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315" sheetId="1" r:id="rId1"/>
    <sheet name="LI-03 (1)" sheetId="2" r:id="rId2"/>
    <sheet name="LI-EDERSA-03 (1)" sheetId="3" r:id="rId3"/>
    <sheet name="TR-03 (1)" sheetId="4" r:id="rId4"/>
    <sheet name="TR-EDERSA-03 (1)" sheetId="5" r:id="rId5"/>
    <sheet name="SA-EDERSA-03 (1)" sheetId="6" r:id="rId6"/>
    <sheet name="SUP-EDERSA" sheetId="7" r:id="rId7"/>
  </sheets>
  <definedNames/>
  <calcPr fullCalcOnLoad="1"/>
</workbook>
</file>

<file path=xl/comments6.xml><?xml version="1.0" encoding="utf-8"?>
<comments xmlns="http://schemas.openxmlformats.org/spreadsheetml/2006/main">
  <authors>
    <author>jmessina</author>
  </authors>
  <commentList>
    <comment ref="G15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<sst xmlns="http://schemas.openxmlformats.org/spreadsheetml/2006/main" count="311" uniqueCount="161">
  <si>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</si>
  <si>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</si>
  <si>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</si>
  <si>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</si>
  <si>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</si>
  <si>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</si>
  <si>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</si>
  <si>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</si>
  <si>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</si>
  <si>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</si>
  <si>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</si>
  <si>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</si>
  <si>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</si>
  <si>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</si>
  <si>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</si>
  <si>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</si>
  <si>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</si>
  <si>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</si>
  <si>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</si>
  <si>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</si>
  <si>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</si>
  <si>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</si>
  <si>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</si>
  <si>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</si>
  <si>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</si>
  <si>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</si>
  <si>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</si>
  <si>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</si>
  <si>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</si>
  <si>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</si>
  <si>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</si>
  <si>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</si>
  <si>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2.2.2.-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</si>
  <si>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</si>
  <si>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</si>
  <si>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</si>
  <si>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</si>
  <si>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</si>
  <si>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</si>
  <si>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</si>
  <si>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</si>
  <si>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</si>
  <si>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</si>
  <si>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</si>
  <si>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</si>
  <si>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</si>
  <si>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</si>
  <si>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</si>
  <si>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</si>
  <si>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</si>
  <si>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</si>
  <si>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</si>
  <si>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</si>
  <si>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</si>
  <si>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</si>
  <si>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</si>
  <si>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</si>
  <si>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</si>
  <si>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</si>
  <si>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</si>
  <si>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</si>
  <si>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</si>
  <si>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</si>
  <si>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</si>
  <si>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</si>
  <si>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</si>
  <si>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</si>
  <si>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</si>
  <si>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</si>
  <si>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</si>
  <si>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</si>
  <si>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</si>
  <si>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</si>
  <si>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</si>
  <si>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</si>
  <si>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</si>
  <si>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</si>
  <si>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</si>
  <si>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</si>
  <si>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</si>
  <si>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</si>
  <si>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</si>
  <si>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</si>
  <si>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</si>
  <si>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</si>
  <si>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</si>
  <si>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</si>
  <si>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</si>
  <si>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</si>
  <si>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</si>
  <si>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</si>
  <si>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</si>
  <si>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</si>
  <si>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</si>
  <si>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</si>
  <si>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</si>
  <si>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</si>
  <si>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</si>
  <si>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</si>
  <si>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</si>
  <si>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</si>
  <si>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</si>
  <si>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</si>
  <si>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</si>
  <si>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</si>
  <si>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</si>
  <si>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</si>
  <si>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</si>
  <si>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</si>
  <si>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</si>
  <si>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</si>
  <si>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</si>
  <si>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</si>
  <si>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</si>
  <si>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</si>
  <si>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</si>
  <si>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</si>
  <si>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</si>
  <si>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</si>
  <si>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</si>
  <si>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</si>
  <si>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</si>
  <si>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</si>
  <si>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</si>
  <si>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</si>
  <si>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</si>
  <si>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</si>
  <si>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</si>
  <si>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</si>
  <si>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</si>
  <si>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</si>
  <si>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</si>
  <si>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</si>
  <si>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Valores remuneratorios Decreto PEN N° 1779/07 -  Res. ENRE N° 330/08 -  Res. ENRE N° 645/08</t>
  </si>
  <si>
    <t>Desde el 01 al 31 de marzo de 2015</t>
  </si>
  <si>
    <t>P</t>
  </si>
  <si>
    <t>SI</t>
  </si>
  <si>
    <t>0,000</t>
  </si>
  <si>
    <t>PICO TRUNCADO I - CDORO. RIVADAVIA</t>
  </si>
  <si>
    <t>F</t>
  </si>
  <si>
    <t>FUTALEUFU - PTO. MADRYN 2</t>
  </si>
  <si>
    <t>PTO. MADRYN - SIERRA GRANDE</t>
  </si>
  <si>
    <t>S.A. OESTE - S.A. ESTE</t>
  </si>
  <si>
    <t>S.A. ESTE - VIEDMA</t>
  </si>
  <si>
    <t>132/33/13,2</t>
  </si>
  <si>
    <t>TRAFO 3</t>
  </si>
  <si>
    <t>TRELEW</t>
  </si>
  <si>
    <t>(DTE 0315)</t>
  </si>
  <si>
    <t>132/33/6.6</t>
  </si>
  <si>
    <t>TR01</t>
  </si>
  <si>
    <t>132/33/13.2</t>
  </si>
  <si>
    <t>4TR05</t>
  </si>
  <si>
    <t>SALIDA LINEA VALCHETA</t>
  </si>
  <si>
    <t>SALIDA PTO. MADRYN</t>
  </si>
  <si>
    <t>SALIDA ALIM. EL SALADO</t>
  </si>
  <si>
    <t>S.A.OESTE</t>
  </si>
  <si>
    <t>S. GRANDE</t>
  </si>
  <si>
    <t>P. COLORADA</t>
  </si>
  <si>
    <t>TOTAL DE PENALIZACIONES A APLICAR</t>
  </si>
  <si>
    <t>RM* =</t>
  </si>
  <si>
    <t>ANEXO III al Memorándum  D.T.E.E.  N°  326 / 2016             .-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</si>
</sst>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#,##0.0000"/>
    <numFmt numFmtId="167" formatCode="0.00_)"/>
    <numFmt numFmtId="168" formatCode="#,##0.00000"/>
    <numFmt numFmtId="169" formatCode="0.0"/>
    <numFmt numFmtId="170" formatCode="&quot;$&quot;\ #,##0.000;&quot;$&quot;\ \-#,##0.000"/>
    <numFmt numFmtId="171" formatCode="#,##0.0"/>
    <numFmt numFmtId="172" formatCode="0.000"/>
    <numFmt numFmtId="173" formatCode="0.000_)"/>
    <numFmt numFmtId="174" formatCode="#,##0;[Red]#,##0"/>
    <numFmt numFmtId="175" formatCode="#,##0.000000"/>
  </numFmts>
  <fonts count="10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2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double"/>
      <right/>
      <top/>
      <bottom style="thin"/>
    </border>
    <border>
      <left style="double"/>
      <right style="double"/>
      <top style="double"/>
      <bottom style="thin"/>
    </border>
    <border>
      <left/>
      <right style="double"/>
      <top/>
      <bottom style="thin"/>
    </border>
    <border>
      <left/>
      <right style="thick"/>
      <top style="double"/>
      <bottom/>
    </border>
    <border>
      <left style="double"/>
      <right style="double"/>
      <top style="thin"/>
      <bottom style="thin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/>
      <top style="double"/>
      <bottom style="thin"/>
    </border>
    <border>
      <left style="double"/>
      <right style="double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double"/>
      <right style="double"/>
      <top style="thin"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 style="double"/>
      <top style="double"/>
      <bottom style="double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2" fillId="29" borderId="1" applyNumberFormat="0" applyAlignment="0" applyProtection="0"/>
    <xf numFmtId="0" fontId="9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1" fillId="0" borderId="8" applyNumberFormat="0" applyFill="0" applyAlignment="0" applyProtection="0"/>
    <xf numFmtId="0" fontId="100" fillId="0" borderId="9" applyNumberFormat="0" applyFill="0" applyAlignment="0" applyProtection="0"/>
  </cellStyleXfs>
  <cellXfs count="7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71" fontId="7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67" fontId="5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67" fontId="5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67" fontId="5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1" fillId="0" borderId="14" xfId="0" applyFont="1" applyFill="1" applyBorder="1" applyAlignment="1" applyProtection="1">
      <alignment horizontal="center"/>
      <protection/>
    </xf>
    <xf numFmtId="22" fontId="5" fillId="0" borderId="18" xfId="0" applyNumberFormat="1" applyFont="1" applyFill="1" applyBorder="1" applyAlignment="1">
      <alignment horizontal="center"/>
    </xf>
    <xf numFmtId="22" fontId="5" fillId="0" borderId="19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Border="1" applyAlignment="1">
      <alignment/>
    </xf>
    <xf numFmtId="7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5" fillId="0" borderId="27" xfId="0" applyNumberFormat="1" applyFont="1" applyBorder="1" applyAlignment="1">
      <alignment horizontal="center"/>
    </xf>
    <xf numFmtId="167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 quotePrefix="1">
      <alignment horizontal="center"/>
      <protection/>
    </xf>
    <xf numFmtId="4" fontId="7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8" fillId="0" borderId="15" xfId="0" applyFont="1" applyFill="1" applyBorder="1" applyAlignment="1">
      <alignment/>
    </xf>
    <xf numFmtId="167" fontId="8" fillId="0" borderId="16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 applyProtection="1" quotePrefix="1">
      <alignment horizontal="center"/>
      <protection/>
    </xf>
    <xf numFmtId="167" fontId="8" fillId="0" borderId="12" xfId="0" applyNumberFormat="1" applyFont="1" applyFill="1" applyBorder="1" applyAlignment="1">
      <alignment horizontal="right"/>
    </xf>
    <xf numFmtId="7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167" fontId="8" fillId="0" borderId="0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Border="1" applyAlignment="1" applyProtection="1" quotePrefix="1">
      <alignment horizontal="center"/>
      <protection/>
    </xf>
    <xf numFmtId="2" fontId="2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 applyProtection="1">
      <alignment horizontal="left"/>
      <protection/>
    </xf>
    <xf numFmtId="2" fontId="8" fillId="0" borderId="0" xfId="0" applyNumberFormat="1" applyFont="1" applyBorder="1" applyAlignment="1" applyProtection="1">
      <alignment horizontal="center"/>
      <protection/>
    </xf>
    <xf numFmtId="5" fontId="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3" fillId="0" borderId="0" xfId="0" applyFont="1" applyBorder="1" applyAlignment="1" applyProtection="1">
      <alignment horizontal="centerContinuous"/>
      <protection/>
    </xf>
    <xf numFmtId="0" fontId="13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1" xfId="0" applyFont="1" applyBorder="1" applyAlignment="1">
      <alignment horizontal="centerContinuous"/>
    </xf>
    <xf numFmtId="0" fontId="1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1" fillId="0" borderId="0" xfId="0" applyFont="1" applyAlignment="1">
      <alignment horizontal="centerContinuous"/>
    </xf>
    <xf numFmtId="0" fontId="28" fillId="0" borderId="0" xfId="0" applyFont="1" applyFill="1" applyBorder="1" applyAlignment="1" applyProtection="1">
      <alignment horizontal="centerContinuous"/>
      <protection/>
    </xf>
    <xf numFmtId="0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3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5" fillId="0" borderId="1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7" fontId="6" fillId="0" borderId="31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Continuous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22" fontId="5" fillId="0" borderId="0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164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 quotePrefix="1">
      <alignment horizontal="center" vertical="center" wrapText="1"/>
      <protection/>
    </xf>
    <xf numFmtId="0" fontId="25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 applyProtection="1" quotePrefix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2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30" xfId="0" applyFont="1" applyBorder="1" applyAlignment="1" applyProtection="1">
      <alignment horizontal="left"/>
      <protection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5" fillId="0" borderId="31" xfId="0" applyFont="1" applyFill="1" applyBorder="1" applyAlignment="1" applyProtection="1">
      <alignment horizontal="center" vertical="center"/>
      <protection/>
    </xf>
    <xf numFmtId="167" fontId="8" fillId="0" borderId="12" xfId="0" applyNumberFormat="1" applyFont="1" applyFill="1" applyBorder="1" applyAlignment="1">
      <alignment horizontal="center"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Continuous"/>
    </xf>
    <xf numFmtId="0" fontId="36" fillId="0" borderId="0" xfId="0" applyFont="1" applyFill="1" applyBorder="1" applyAlignment="1">
      <alignment/>
    </xf>
    <xf numFmtId="167" fontId="8" fillId="0" borderId="0" xfId="0" applyNumberFormat="1" applyFont="1" applyBorder="1" applyAlignment="1" applyProtection="1">
      <alignment horizontal="right"/>
      <protection/>
    </xf>
    <xf numFmtId="0" fontId="6" fillId="0" borderId="30" xfId="0" applyFont="1" applyFill="1" applyBorder="1" applyAlignment="1">
      <alignment horizontal="center"/>
    </xf>
    <xf numFmtId="0" fontId="13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38" fillId="0" borderId="32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7" fontId="38" fillId="0" borderId="0" xfId="0" applyNumberFormat="1" applyFont="1" applyBorder="1" applyAlignment="1" applyProtection="1">
      <alignment horizontal="center"/>
      <protection/>
    </xf>
    <xf numFmtId="167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9" fillId="0" borderId="28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1" xfId="0" applyFont="1" applyFill="1" applyBorder="1" applyAlignment="1">
      <alignment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7" fontId="47" fillId="33" borderId="12" xfId="0" applyNumberFormat="1" applyFont="1" applyFill="1" applyBorder="1" applyAlignment="1" applyProtection="1">
      <alignment horizontal="center"/>
      <protection/>
    </xf>
    <xf numFmtId="167" fontId="47" fillId="33" borderId="13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170" fontId="47" fillId="33" borderId="12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8" fillId="0" borderId="10" xfId="0" applyFont="1" applyBorder="1" applyAlignment="1">
      <alignment/>
    </xf>
    <xf numFmtId="168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10" fontId="16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right"/>
      <protection/>
    </xf>
    <xf numFmtId="7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8" fillId="0" borderId="0" xfId="0" applyNumberFormat="1" applyFont="1" applyBorder="1" applyAlignment="1" applyProtection="1">
      <alignment horizontal="center"/>
      <protection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2" fillId="34" borderId="28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52" fillId="35" borderId="28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/>
    </xf>
    <xf numFmtId="0" fontId="53" fillId="35" borderId="12" xfId="0" applyFont="1" applyFill="1" applyBorder="1" applyAlignment="1">
      <alignment/>
    </xf>
    <xf numFmtId="0" fontId="26" fillId="36" borderId="28" xfId="0" applyFont="1" applyFill="1" applyBorder="1" applyAlignment="1" applyProtection="1">
      <alignment horizontal="centerContinuous" vertical="center" wrapText="1"/>
      <protection/>
    </xf>
    <xf numFmtId="0" fontId="23" fillId="36" borderId="29" xfId="0" applyFont="1" applyFill="1" applyBorder="1" applyAlignment="1">
      <alignment horizontal="centerContinuous"/>
    </xf>
    <xf numFmtId="0" fontId="26" fillId="36" borderId="31" xfId="0" applyFont="1" applyFill="1" applyBorder="1" applyAlignment="1">
      <alignment horizontal="centerContinuous" vertical="center"/>
    </xf>
    <xf numFmtId="0" fontId="55" fillId="36" borderId="33" xfId="0" applyFont="1" applyFill="1" applyBorder="1" applyAlignment="1">
      <alignment horizontal="center"/>
    </xf>
    <xf numFmtId="0" fontId="55" fillId="36" borderId="34" xfId="0" applyFont="1" applyFill="1" applyBorder="1" applyAlignment="1">
      <alignment/>
    </xf>
    <xf numFmtId="0" fontId="55" fillId="36" borderId="35" xfId="0" applyFont="1" applyFill="1" applyBorder="1" applyAlignment="1">
      <alignment/>
    </xf>
    <xf numFmtId="0" fontId="55" fillId="36" borderId="36" xfId="0" applyFont="1" applyFill="1" applyBorder="1" applyAlignment="1">
      <alignment horizontal="center"/>
    </xf>
    <xf numFmtId="0" fontId="55" fillId="36" borderId="37" xfId="0" applyFont="1" applyFill="1" applyBorder="1" applyAlignment="1">
      <alignment/>
    </xf>
    <xf numFmtId="0" fontId="55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6" fillId="37" borderId="28" xfId="0" applyFont="1" applyFill="1" applyBorder="1" applyAlignment="1" applyProtection="1">
      <alignment horizontal="centerContinuous" vertical="center" wrapText="1"/>
      <protection/>
    </xf>
    <xf numFmtId="0" fontId="23" fillId="37" borderId="29" xfId="0" applyFont="1" applyFill="1" applyBorder="1" applyAlignment="1">
      <alignment horizontal="centerContinuous"/>
    </xf>
    <xf numFmtId="0" fontId="26" fillId="37" borderId="31" xfId="0" applyFont="1" applyFill="1" applyBorder="1" applyAlignment="1">
      <alignment horizontal="centerContinuous" vertical="center"/>
    </xf>
    <xf numFmtId="0" fontId="55" fillId="37" borderId="33" xfId="0" applyFont="1" applyFill="1" applyBorder="1" applyAlignment="1">
      <alignment horizontal="center"/>
    </xf>
    <xf numFmtId="0" fontId="55" fillId="37" borderId="34" xfId="0" applyFont="1" applyFill="1" applyBorder="1" applyAlignment="1">
      <alignment/>
    </xf>
    <xf numFmtId="0" fontId="55" fillId="37" borderId="35" xfId="0" applyFont="1" applyFill="1" applyBorder="1" applyAlignment="1">
      <alignment/>
    </xf>
    <xf numFmtId="0" fontId="55" fillId="37" borderId="36" xfId="0" applyFont="1" applyFill="1" applyBorder="1" applyAlignment="1">
      <alignment horizontal="center"/>
    </xf>
    <xf numFmtId="0" fontId="55" fillId="37" borderId="37" xfId="0" applyFont="1" applyFill="1" applyBorder="1" applyAlignment="1">
      <alignment/>
    </xf>
    <xf numFmtId="0" fontId="55" fillId="37" borderId="16" xfId="0" applyFont="1" applyFill="1" applyBorder="1" applyAlignment="1">
      <alignment/>
    </xf>
    <xf numFmtId="0" fontId="26" fillId="36" borderId="28" xfId="0" applyFont="1" applyFill="1" applyBorder="1" applyAlignment="1">
      <alignment horizontal="center" vertical="center" wrapText="1"/>
    </xf>
    <xf numFmtId="0" fontId="26" fillId="38" borderId="28" xfId="0" applyFont="1" applyFill="1" applyBorder="1" applyAlignment="1">
      <alignment horizontal="center" vertical="center" wrapText="1"/>
    </xf>
    <xf numFmtId="0" fontId="55" fillId="38" borderId="15" xfId="0" applyFont="1" applyFill="1" applyBorder="1" applyAlignment="1">
      <alignment/>
    </xf>
    <xf numFmtId="0" fontId="55" fillId="38" borderId="12" xfId="0" applyFont="1" applyFill="1" applyBorder="1" applyAlignment="1">
      <alignment/>
    </xf>
    <xf numFmtId="0" fontId="52" fillId="39" borderId="28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2" fontId="51" fillId="34" borderId="28" xfId="0" applyNumberFormat="1" applyFont="1" applyFill="1" applyBorder="1" applyAlignment="1">
      <alignment horizontal="center"/>
    </xf>
    <xf numFmtId="2" fontId="51" fillId="35" borderId="28" xfId="0" applyNumberFormat="1" applyFont="1" applyFill="1" applyBorder="1" applyAlignment="1">
      <alignment horizontal="center"/>
    </xf>
    <xf numFmtId="167" fontId="56" fillId="36" borderId="28" xfId="0" applyNumberFormat="1" applyFont="1" applyFill="1" applyBorder="1" applyAlignment="1" applyProtection="1" quotePrefix="1">
      <alignment horizontal="center"/>
      <protection/>
    </xf>
    <xf numFmtId="4" fontId="56" fillId="36" borderId="28" xfId="0" applyNumberFormat="1" applyFont="1" applyFill="1" applyBorder="1" applyAlignment="1">
      <alignment horizontal="center"/>
    </xf>
    <xf numFmtId="167" fontId="56" fillId="37" borderId="28" xfId="0" applyNumberFormat="1" applyFont="1" applyFill="1" applyBorder="1" applyAlignment="1" applyProtection="1" quotePrefix="1">
      <alignment horizontal="center"/>
      <protection/>
    </xf>
    <xf numFmtId="4" fontId="56" fillId="37" borderId="28" xfId="0" applyNumberFormat="1" applyFont="1" applyFill="1" applyBorder="1" applyAlignment="1">
      <alignment horizontal="center"/>
    </xf>
    <xf numFmtId="167" fontId="56" fillId="38" borderId="28" xfId="0" applyNumberFormat="1" applyFont="1" applyFill="1" applyBorder="1" applyAlignment="1" applyProtection="1" quotePrefix="1">
      <alignment horizontal="center"/>
      <protection/>
    </xf>
    <xf numFmtId="4" fontId="51" fillId="39" borderId="28" xfId="0" applyNumberFormat="1" applyFont="1" applyFill="1" applyBorder="1" applyAlignment="1">
      <alignment horizontal="center"/>
    </xf>
    <xf numFmtId="0" fontId="52" fillId="39" borderId="28" xfId="0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51" fillId="39" borderId="12" xfId="0" applyFont="1" applyFill="1" applyBorder="1" applyAlignment="1">
      <alignment/>
    </xf>
    <xf numFmtId="4" fontId="51" fillId="39" borderId="12" xfId="0" applyNumberFormat="1" applyFont="1" applyFill="1" applyBorder="1" applyAlignment="1" applyProtection="1">
      <alignment horizontal="center"/>
      <protection/>
    </xf>
    <xf numFmtId="0" fontId="51" fillId="39" borderId="13" xfId="0" applyFont="1" applyFill="1" applyBorder="1" applyAlignment="1">
      <alignment/>
    </xf>
    <xf numFmtId="0" fontId="56" fillId="38" borderId="15" xfId="0" applyFont="1" applyFill="1" applyBorder="1" applyAlignment="1">
      <alignment/>
    </xf>
    <xf numFmtId="0" fontId="56" fillId="38" borderId="12" xfId="0" applyFont="1" applyFill="1" applyBorder="1" applyAlignment="1">
      <alignment/>
    </xf>
    <xf numFmtId="2" fontId="56" fillId="38" borderId="12" xfId="0" applyNumberFormat="1" applyFont="1" applyFill="1" applyBorder="1" applyAlignment="1">
      <alignment horizontal="center"/>
    </xf>
    <xf numFmtId="0" fontId="56" fillId="38" borderId="13" xfId="0" applyFont="1" applyFill="1" applyBorder="1" applyAlignment="1">
      <alignment/>
    </xf>
    <xf numFmtId="7" fontId="56" fillId="38" borderId="28" xfId="0" applyNumberFormat="1" applyFont="1" applyFill="1" applyBorder="1" applyAlignment="1">
      <alignment horizontal="center"/>
    </xf>
    <xf numFmtId="0" fontId="26" fillId="40" borderId="28" xfId="0" applyFont="1" applyFill="1" applyBorder="1" applyAlignment="1">
      <alignment horizontal="center" vertical="center" wrapText="1"/>
    </xf>
    <xf numFmtId="0" fontId="56" fillId="40" borderId="15" xfId="0" applyFont="1" applyFill="1" applyBorder="1" applyAlignment="1">
      <alignment/>
    </xf>
    <xf numFmtId="0" fontId="56" fillId="40" borderId="12" xfId="0" applyFont="1" applyFill="1" applyBorder="1" applyAlignment="1">
      <alignment/>
    </xf>
    <xf numFmtId="2" fontId="56" fillId="40" borderId="12" xfId="0" applyNumberFormat="1" applyFont="1" applyFill="1" applyBorder="1" applyAlignment="1">
      <alignment horizontal="center"/>
    </xf>
    <xf numFmtId="0" fontId="56" fillId="40" borderId="13" xfId="0" applyFont="1" applyFill="1" applyBorder="1" applyAlignment="1">
      <alignment/>
    </xf>
    <xf numFmtId="7" fontId="56" fillId="40" borderId="28" xfId="0" applyNumberFormat="1" applyFont="1" applyFill="1" applyBorder="1" applyAlignment="1">
      <alignment horizontal="center"/>
    </xf>
    <xf numFmtId="0" fontId="52" fillId="41" borderId="30" xfId="0" applyFont="1" applyFill="1" applyBorder="1" applyAlignment="1" applyProtection="1">
      <alignment horizontal="centerContinuous" vertical="center" wrapText="1"/>
      <protection/>
    </xf>
    <xf numFmtId="0" fontId="52" fillId="41" borderId="31" xfId="0" applyFont="1" applyFill="1" applyBorder="1" applyAlignment="1">
      <alignment horizontal="centerContinuous" vertical="center"/>
    </xf>
    <xf numFmtId="0" fontId="51" fillId="41" borderId="33" xfId="0" applyFont="1" applyFill="1" applyBorder="1" applyAlignment="1">
      <alignment horizontal="center"/>
    </xf>
    <xf numFmtId="0" fontId="51" fillId="41" borderId="35" xfId="0" applyFont="1" applyFill="1" applyBorder="1" applyAlignment="1">
      <alignment/>
    </xf>
    <xf numFmtId="0" fontId="51" fillId="41" borderId="36" xfId="0" applyFont="1" applyFill="1" applyBorder="1" applyAlignment="1">
      <alignment horizontal="center"/>
    </xf>
    <xf numFmtId="0" fontId="51" fillId="41" borderId="16" xfId="0" applyFont="1" applyFill="1" applyBorder="1" applyAlignment="1">
      <alignment/>
    </xf>
    <xf numFmtId="167" fontId="51" fillId="41" borderId="36" xfId="0" applyNumberFormat="1" applyFont="1" applyFill="1" applyBorder="1" applyAlignment="1" applyProtection="1" quotePrefix="1">
      <alignment horizontal="center"/>
      <protection/>
    </xf>
    <xf numFmtId="167" fontId="51" fillId="41" borderId="19" xfId="0" applyNumberFormat="1" applyFont="1" applyFill="1" applyBorder="1" applyAlignment="1" applyProtection="1" quotePrefix="1">
      <alignment horizontal="center"/>
      <protection/>
    </xf>
    <xf numFmtId="7" fontId="51" fillId="41" borderId="28" xfId="0" applyNumberFormat="1" applyFont="1" applyFill="1" applyBorder="1" applyAlignment="1">
      <alignment horizontal="center"/>
    </xf>
    <xf numFmtId="0" fontId="52" fillId="34" borderId="30" xfId="0" applyFont="1" applyFill="1" applyBorder="1" applyAlignment="1" applyProtection="1">
      <alignment horizontal="centerContinuous" vertical="center" wrapText="1"/>
      <protection/>
    </xf>
    <xf numFmtId="0" fontId="52" fillId="34" borderId="31" xfId="0" applyFont="1" applyFill="1" applyBorder="1" applyAlignment="1">
      <alignment horizontal="centerContinuous" vertical="center"/>
    </xf>
    <xf numFmtId="0" fontId="51" fillId="34" borderId="33" xfId="0" applyFont="1" applyFill="1" applyBorder="1" applyAlignment="1">
      <alignment horizontal="center"/>
    </xf>
    <xf numFmtId="0" fontId="51" fillId="34" borderId="35" xfId="0" applyFont="1" applyFill="1" applyBorder="1" applyAlignment="1">
      <alignment/>
    </xf>
    <xf numFmtId="0" fontId="51" fillId="34" borderId="36" xfId="0" applyFont="1" applyFill="1" applyBorder="1" applyAlignment="1">
      <alignment horizontal="center"/>
    </xf>
    <xf numFmtId="0" fontId="51" fillId="34" borderId="16" xfId="0" applyFont="1" applyFill="1" applyBorder="1" applyAlignment="1">
      <alignment/>
    </xf>
    <xf numFmtId="167" fontId="51" fillId="34" borderId="36" xfId="0" applyNumberFormat="1" applyFont="1" applyFill="1" applyBorder="1" applyAlignment="1" applyProtection="1" quotePrefix="1">
      <alignment horizontal="center"/>
      <protection/>
    </xf>
    <xf numFmtId="167" fontId="51" fillId="34" borderId="19" xfId="0" applyNumberFormat="1" applyFont="1" applyFill="1" applyBorder="1" applyAlignment="1" applyProtection="1" quotePrefix="1">
      <alignment horizontal="center"/>
      <protection/>
    </xf>
    <xf numFmtId="7" fontId="51" fillId="34" borderId="28" xfId="0" applyNumberFormat="1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7" fontId="49" fillId="36" borderId="12" xfId="0" applyNumberFormat="1" applyFont="1" applyFill="1" applyBorder="1" applyAlignment="1" applyProtection="1" quotePrefix="1">
      <alignment horizontal="center"/>
      <protection/>
    </xf>
    <xf numFmtId="0" fontId="49" fillId="36" borderId="13" xfId="0" applyFont="1" applyFill="1" applyBorder="1" applyAlignment="1">
      <alignment/>
    </xf>
    <xf numFmtId="7" fontId="49" fillId="36" borderId="28" xfId="0" applyNumberFormat="1" applyFont="1" applyFill="1" applyBorder="1" applyAlignment="1">
      <alignment horizontal="center"/>
    </xf>
    <xf numFmtId="0" fontId="26" fillId="37" borderId="28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/>
    </xf>
    <xf numFmtId="0" fontId="56" fillId="37" borderId="12" xfId="0" applyFont="1" applyFill="1" applyBorder="1" applyAlignment="1">
      <alignment/>
    </xf>
    <xf numFmtId="167" fontId="56" fillId="37" borderId="12" xfId="0" applyNumberFormat="1" applyFont="1" applyFill="1" applyBorder="1" applyAlignment="1" applyProtection="1" quotePrefix="1">
      <alignment horizontal="center"/>
      <protection/>
    </xf>
    <xf numFmtId="0" fontId="56" fillId="37" borderId="13" xfId="0" applyFont="1" applyFill="1" applyBorder="1" applyAlignment="1">
      <alignment/>
    </xf>
    <xf numFmtId="7" fontId="56" fillId="37" borderId="28" xfId="0" applyNumberFormat="1" applyFont="1" applyFill="1" applyBorder="1" applyAlignment="1">
      <alignment horizontal="center"/>
    </xf>
    <xf numFmtId="0" fontId="51" fillId="41" borderId="38" xfId="0" applyFont="1" applyFill="1" applyBorder="1" applyAlignment="1">
      <alignment/>
    </xf>
    <xf numFmtId="0" fontId="51" fillId="41" borderId="39" xfId="0" applyFont="1" applyFill="1" applyBorder="1" applyAlignment="1">
      <alignment/>
    </xf>
    <xf numFmtId="0" fontId="51" fillId="34" borderId="38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2" fillId="37" borderId="28" xfId="0" applyFont="1" applyFill="1" applyBorder="1" applyAlignment="1" applyProtection="1">
      <alignment horizontal="center" vertical="center"/>
      <protection/>
    </xf>
    <xf numFmtId="164" fontId="51" fillId="37" borderId="12" xfId="0" applyNumberFormat="1" applyFont="1" applyFill="1" applyBorder="1" applyAlignment="1" applyProtection="1">
      <alignment horizontal="center"/>
      <protection/>
    </xf>
    <xf numFmtId="167" fontId="5" fillId="0" borderId="35" xfId="0" applyNumberFormat="1" applyFont="1" applyFill="1" applyBorder="1" applyAlignment="1" applyProtection="1">
      <alignment horizontal="center"/>
      <protection/>
    </xf>
    <xf numFmtId="164" fontId="51" fillId="37" borderId="15" xfId="0" applyNumberFormat="1" applyFont="1" applyFill="1" applyBorder="1" applyAlignment="1" applyProtection="1">
      <alignment horizontal="center"/>
      <protection/>
    </xf>
    <xf numFmtId="167" fontId="8" fillId="0" borderId="15" xfId="0" applyNumberFormat="1" applyFont="1" applyFill="1" applyBorder="1" applyAlignment="1">
      <alignment horizontal="center"/>
    </xf>
    <xf numFmtId="2" fontId="56" fillId="36" borderId="15" xfId="0" applyNumberFormat="1" applyFont="1" applyFill="1" applyBorder="1" applyAlignment="1">
      <alignment horizontal="center"/>
    </xf>
    <xf numFmtId="2" fontId="56" fillId="36" borderId="12" xfId="0" applyNumberFormat="1" applyFont="1" applyFill="1" applyBorder="1" applyAlignment="1">
      <alignment horizontal="center"/>
    </xf>
    <xf numFmtId="167" fontId="51" fillId="34" borderId="33" xfId="0" applyNumberFormat="1" applyFont="1" applyFill="1" applyBorder="1" applyAlignment="1" applyProtection="1" quotePrefix="1">
      <alignment horizontal="center"/>
      <protection/>
    </xf>
    <xf numFmtId="167" fontId="51" fillId="34" borderId="40" xfId="0" applyNumberFormat="1" applyFont="1" applyFill="1" applyBorder="1" applyAlignment="1" applyProtection="1" quotePrefix="1">
      <alignment horizontal="center"/>
      <protection/>
    </xf>
    <xf numFmtId="167" fontId="5" fillId="0" borderId="15" xfId="0" applyNumberFormat="1" applyFont="1" applyFill="1" applyBorder="1" applyAlignment="1" applyProtection="1">
      <alignment horizontal="center"/>
      <protection/>
    </xf>
    <xf numFmtId="0" fontId="52" fillId="39" borderId="28" xfId="0" applyFont="1" applyFill="1" applyBorder="1" applyAlignment="1" applyProtection="1">
      <alignment horizontal="centerContinuous" vertical="center" wrapText="1"/>
      <protection/>
    </xf>
    <xf numFmtId="167" fontId="51" fillId="39" borderId="15" xfId="0" applyNumberFormat="1" applyFont="1" applyFill="1" applyBorder="1" applyAlignment="1" applyProtection="1" quotePrefix="1">
      <alignment horizontal="center"/>
      <protection/>
    </xf>
    <xf numFmtId="167" fontId="51" fillId="39" borderId="12" xfId="0" applyNumberFormat="1" applyFont="1" applyFill="1" applyBorder="1" applyAlignment="1" applyProtection="1" quotePrefix="1">
      <alignment horizontal="center"/>
      <protection/>
    </xf>
    <xf numFmtId="2" fontId="56" fillId="36" borderId="28" xfId="0" applyNumberFormat="1" applyFont="1" applyFill="1" applyBorder="1" applyAlignment="1">
      <alignment horizontal="center"/>
    </xf>
    <xf numFmtId="2" fontId="51" fillId="39" borderId="28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167" fontId="59" fillId="33" borderId="12" xfId="0" applyNumberFormat="1" applyFont="1" applyFill="1" applyBorder="1" applyAlignment="1" applyProtection="1">
      <alignment horizontal="center"/>
      <protection/>
    </xf>
    <xf numFmtId="167" fontId="59" fillId="33" borderId="13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57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0" fontId="60" fillId="0" borderId="0" xfId="0" applyFont="1" applyAlignment="1">
      <alignment horizontal="right" vertical="top"/>
    </xf>
    <xf numFmtId="0" fontId="17" fillId="0" borderId="0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1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41" xfId="0" applyFont="1" applyBorder="1" applyAlignment="1">
      <alignment horizontal="centerContinuous"/>
    </xf>
    <xf numFmtId="0" fontId="8" fillId="0" borderId="42" xfId="0" applyFont="1" applyFill="1" applyBorder="1" applyAlignment="1">
      <alignment/>
    </xf>
    <xf numFmtId="0" fontId="8" fillId="0" borderId="43" xfId="0" applyFont="1" applyBorder="1" applyAlignment="1" applyProtection="1">
      <alignment horizontal="right"/>
      <protection/>
    </xf>
    <xf numFmtId="172" fontId="8" fillId="0" borderId="44" xfId="0" applyNumberFormat="1" applyFont="1" applyBorder="1" applyAlignment="1">
      <alignment horizontal="center"/>
    </xf>
    <xf numFmtId="170" fontId="23" fillId="0" borderId="45" xfId="0" applyNumberFormat="1" applyFont="1" applyBorder="1" applyAlignment="1">
      <alignment horizontal="centerContinuous"/>
    </xf>
    <xf numFmtId="0" fontId="8" fillId="0" borderId="46" xfId="0" applyFont="1" applyBorder="1" applyAlignment="1">
      <alignment horizontal="centerContinuous"/>
    </xf>
    <xf numFmtId="0" fontId="8" fillId="0" borderId="47" xfId="0" applyFont="1" applyFill="1" applyBorder="1" applyAlignment="1">
      <alignment/>
    </xf>
    <xf numFmtId="167" fontId="8" fillId="0" borderId="48" xfId="0" applyNumberFormat="1" applyFont="1" applyBorder="1" applyAlignment="1" applyProtection="1">
      <alignment horizontal="right"/>
      <protection/>
    </xf>
    <xf numFmtId="170" fontId="8" fillId="0" borderId="49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23" fillId="0" borderId="48" xfId="0" applyNumberFormat="1" applyFont="1" applyBorder="1" applyAlignment="1">
      <alignment horizontal="centerContinuous"/>
    </xf>
    <xf numFmtId="0" fontId="8" fillId="0" borderId="50" xfId="0" applyFont="1" applyBorder="1" applyAlignment="1">
      <alignment horizontal="centerContinuous"/>
    </xf>
    <xf numFmtId="7" fontId="8" fillId="0" borderId="0" xfId="0" applyNumberFormat="1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/>
    </xf>
    <xf numFmtId="7" fontId="8" fillId="0" borderId="51" xfId="0" applyNumberFormat="1" applyFont="1" applyBorder="1" applyAlignment="1">
      <alignment horizontal="center"/>
    </xf>
    <xf numFmtId="0" fontId="6" fillId="0" borderId="30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2" fontId="8" fillId="0" borderId="45" xfId="0" applyNumberFormat="1" applyFont="1" applyBorder="1" applyAlignment="1" applyProtection="1">
      <alignment horizontal="center"/>
      <protection/>
    </xf>
    <xf numFmtId="167" fontId="8" fillId="0" borderId="45" xfId="0" applyNumberFormat="1" applyFont="1" applyBorder="1" applyAlignment="1" applyProtection="1">
      <alignment horizontal="center"/>
      <protection/>
    </xf>
    <xf numFmtId="7" fontId="17" fillId="0" borderId="53" xfId="0" applyNumberFormat="1" applyFont="1" applyBorder="1" applyAlignment="1">
      <alignment horizontal="center"/>
    </xf>
    <xf numFmtId="0" fontId="8" fillId="0" borderId="54" xfId="0" applyFont="1" applyBorder="1" applyAlignment="1" applyProtection="1">
      <alignment horizontal="center"/>
      <protection/>
    </xf>
    <xf numFmtId="0" fontId="8" fillId="0" borderId="55" xfId="0" applyFont="1" applyBorder="1" applyAlignment="1" applyProtection="1">
      <alignment horizontal="center"/>
      <protection/>
    </xf>
    <xf numFmtId="2" fontId="8" fillId="0" borderId="55" xfId="0" applyNumberFormat="1" applyFont="1" applyBorder="1" applyAlignment="1" applyProtection="1">
      <alignment horizontal="center"/>
      <protection/>
    </xf>
    <xf numFmtId="167" fontId="8" fillId="0" borderId="55" xfId="0" applyNumberFormat="1" applyFont="1" applyBorder="1" applyAlignment="1" applyProtection="1">
      <alignment horizontal="center"/>
      <protection/>
    </xf>
    <xf numFmtId="7" fontId="8" fillId="0" borderId="55" xfId="0" applyNumberFormat="1" applyFont="1" applyBorder="1" applyAlignment="1" applyProtection="1">
      <alignment horizontal="center"/>
      <protection/>
    </xf>
    <xf numFmtId="7" fontId="8" fillId="0" borderId="55" xfId="0" applyNumberFormat="1" applyFont="1" applyBorder="1" applyAlignment="1" applyProtection="1">
      <alignment horizontal="centerContinuous"/>
      <protection/>
    </xf>
    <xf numFmtId="0" fontId="8" fillId="0" borderId="55" xfId="0" applyFont="1" applyBorder="1" applyAlignment="1" applyProtection="1">
      <alignment horizontal="centerContinuous"/>
      <protection/>
    </xf>
    <xf numFmtId="0" fontId="8" fillId="0" borderId="55" xfId="0" applyFont="1" applyBorder="1" applyAlignment="1" applyProtection="1">
      <alignment horizontal="right"/>
      <protection/>
    </xf>
    <xf numFmtId="7" fontId="8" fillId="0" borderId="56" xfId="0" applyNumberFormat="1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/>
      <protection/>
    </xf>
    <xf numFmtId="2" fontId="8" fillId="0" borderId="51" xfId="0" applyNumberFormat="1" applyFont="1" applyBorder="1" applyAlignment="1" applyProtection="1">
      <alignment horizontal="center"/>
      <protection/>
    </xf>
    <xf numFmtId="167" fontId="8" fillId="0" borderId="51" xfId="0" applyNumberFormat="1" applyFont="1" applyBorder="1" applyAlignment="1" applyProtection="1">
      <alignment horizontal="center"/>
      <protection/>
    </xf>
    <xf numFmtId="7" fontId="8" fillId="0" borderId="51" xfId="0" applyNumberFormat="1" applyFont="1" applyBorder="1" applyAlignment="1" applyProtection="1">
      <alignment horizontal="center"/>
      <protection/>
    </xf>
    <xf numFmtId="7" fontId="8" fillId="0" borderId="51" xfId="0" applyNumberFormat="1" applyFont="1" applyBorder="1" applyAlignment="1" applyProtection="1">
      <alignment horizontal="centerContinuous"/>
      <protection/>
    </xf>
    <xf numFmtId="0" fontId="8" fillId="0" borderId="51" xfId="0" applyFont="1" applyBorder="1" applyAlignment="1" applyProtection="1">
      <alignment horizontal="centerContinuous"/>
      <protection/>
    </xf>
    <xf numFmtId="0" fontId="8" fillId="0" borderId="51" xfId="0" applyFont="1" applyBorder="1" applyAlignment="1" applyProtection="1">
      <alignment horizontal="right"/>
      <protection/>
    </xf>
    <xf numFmtId="7" fontId="8" fillId="0" borderId="58" xfId="0" applyNumberFormat="1" applyFont="1" applyBorder="1" applyAlignment="1" applyProtection="1">
      <alignment horizontal="center"/>
      <protection/>
    </xf>
    <xf numFmtId="7" fontId="8" fillId="0" borderId="53" xfId="0" applyNumberFormat="1" applyFont="1" applyBorder="1" applyAlignment="1" applyProtection="1">
      <alignment horizontal="center"/>
      <protection/>
    </xf>
    <xf numFmtId="0" fontId="0" fillId="0" borderId="52" xfId="0" applyBorder="1" applyAlignment="1">
      <alignment horizontal="centerContinuous"/>
    </xf>
    <xf numFmtId="0" fontId="8" fillId="0" borderId="45" xfId="0" applyFont="1" applyBorder="1" applyAlignment="1" applyProtection="1">
      <alignment horizontal="centerContinuous"/>
      <protection/>
    </xf>
    <xf numFmtId="0" fontId="0" fillId="0" borderId="45" xfId="0" applyBorder="1" applyAlignment="1">
      <alignment horizontal="center"/>
    </xf>
    <xf numFmtId="167" fontId="8" fillId="0" borderId="52" xfId="0" applyNumberFormat="1" applyFont="1" applyBorder="1" applyAlignment="1" applyProtection="1">
      <alignment horizontal="centerContinuous"/>
      <protection/>
    </xf>
    <xf numFmtId="2" fontId="20" fillId="0" borderId="59" xfId="0" applyNumberFormat="1" applyFont="1" applyBorder="1" applyAlignment="1">
      <alignment horizontal="centerContinuous"/>
    </xf>
    <xf numFmtId="7" fontId="8" fillId="0" borderId="54" xfId="0" applyNumberFormat="1" applyFont="1" applyBorder="1" applyAlignment="1">
      <alignment horizontal="centerContinuous"/>
    </xf>
    <xf numFmtId="167" fontId="8" fillId="0" borderId="55" xfId="0" applyNumberFormat="1" applyFont="1" applyBorder="1" applyAlignment="1" applyProtection="1" quotePrefix="1">
      <alignment horizontal="center"/>
      <protection/>
    </xf>
    <xf numFmtId="7" fontId="8" fillId="0" borderId="54" xfId="0" applyNumberFormat="1" applyFont="1" applyBorder="1" applyAlignment="1" applyProtection="1">
      <alignment horizontal="centerContinuous"/>
      <protection/>
    </xf>
    <xf numFmtId="2" fontId="20" fillId="0" borderId="60" xfId="0" applyNumberFormat="1" applyFont="1" applyBorder="1" applyAlignment="1">
      <alignment horizontal="centerContinuous"/>
    </xf>
    <xf numFmtId="0" fontId="8" fillId="0" borderId="61" xfId="0" applyFont="1" applyBorder="1" applyAlignment="1" applyProtection="1">
      <alignment horizontal="center"/>
      <protection/>
    </xf>
    <xf numFmtId="7" fontId="8" fillId="0" borderId="62" xfId="0" applyNumberFormat="1" applyFont="1" applyBorder="1" applyAlignment="1" applyProtection="1">
      <alignment horizontal="center"/>
      <protection/>
    </xf>
    <xf numFmtId="7" fontId="8" fillId="0" borderId="6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 horizontal="centerContinuous"/>
      <protection/>
    </xf>
    <xf numFmtId="7" fontId="8" fillId="0" borderId="61" xfId="0" applyNumberFormat="1" applyFont="1" applyBorder="1" applyAlignment="1" applyProtection="1">
      <alignment horizontal="centerContinuous"/>
      <protection/>
    </xf>
    <xf numFmtId="2" fontId="20" fillId="0" borderId="63" xfId="0" applyNumberFormat="1" applyFont="1" applyBorder="1" applyAlignment="1">
      <alignment horizontal="centerContinuous"/>
    </xf>
    <xf numFmtId="7" fontId="8" fillId="0" borderId="57" xfId="0" applyNumberFormat="1" applyFont="1" applyBorder="1" applyAlignment="1">
      <alignment horizontal="centerContinuous"/>
    </xf>
    <xf numFmtId="167" fontId="8" fillId="0" borderId="51" xfId="0" applyNumberFormat="1" applyFont="1" applyBorder="1" applyAlignment="1" applyProtection="1" quotePrefix="1">
      <alignment horizontal="center"/>
      <protection/>
    </xf>
    <xf numFmtId="7" fontId="8" fillId="0" borderId="57" xfId="0" applyNumberFormat="1" applyFont="1" applyBorder="1" applyAlignment="1" applyProtection="1">
      <alignment horizontal="centerContinuous"/>
      <protection/>
    </xf>
    <xf numFmtId="2" fontId="20" fillId="0" borderId="37" xfId="0" applyNumberFormat="1" applyFont="1" applyBorder="1" applyAlignment="1">
      <alignment horizontal="centerContinuous"/>
    </xf>
    <xf numFmtId="7" fontId="8" fillId="0" borderId="52" xfId="0" applyNumberFormat="1" applyFont="1" applyBorder="1" applyAlignment="1" applyProtection="1">
      <alignment horizontal="centerContinuous"/>
      <protection/>
    </xf>
    <xf numFmtId="5" fontId="6" fillId="0" borderId="30" xfId="0" applyNumberFormat="1" applyFont="1" applyBorder="1" applyAlignment="1" applyProtection="1">
      <alignment horizontal="center"/>
      <protection/>
    </xf>
    <xf numFmtId="7" fontId="6" fillId="0" borderId="31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7" fontId="64" fillId="0" borderId="3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8" fontId="6" fillId="0" borderId="31" xfId="0" applyNumberFormat="1" applyFont="1" applyBorder="1" applyAlignment="1" applyProtection="1">
      <alignment horizontal="center"/>
      <protection/>
    </xf>
    <xf numFmtId="7" fontId="8" fillId="0" borderId="0" xfId="0" applyNumberFormat="1" applyFont="1" applyBorder="1" applyAlignment="1" applyProtection="1">
      <alignment horizontal="centerContinuous"/>
      <protection/>
    </xf>
    <xf numFmtId="2" fontId="8" fillId="0" borderId="45" xfId="0" applyNumberFormat="1" applyFont="1" applyBorder="1" applyAlignment="1" applyProtection="1">
      <alignment horizontal="centerContinuous"/>
      <protection/>
    </xf>
    <xf numFmtId="2" fontId="8" fillId="0" borderId="59" xfId="0" applyNumberFormat="1" applyFont="1" applyBorder="1" applyAlignment="1" applyProtection="1">
      <alignment horizontal="centerContinuous"/>
      <protection/>
    </xf>
    <xf numFmtId="2" fontId="8" fillId="0" borderId="55" xfId="0" applyNumberFormat="1" applyFont="1" applyBorder="1" applyAlignment="1" applyProtection="1">
      <alignment horizontal="centerContinuous"/>
      <protection/>
    </xf>
    <xf numFmtId="2" fontId="8" fillId="0" borderId="60" xfId="0" applyNumberFormat="1" applyFont="1" applyBorder="1" applyAlignment="1" applyProtection="1">
      <alignment horizontal="centerContinuous"/>
      <protection/>
    </xf>
    <xf numFmtId="2" fontId="8" fillId="0" borderId="0" xfId="0" applyNumberFormat="1" applyFont="1" applyBorder="1" applyAlignment="1" applyProtection="1">
      <alignment horizontal="centerContinuous"/>
      <protection/>
    </xf>
    <xf numFmtId="2" fontId="8" fillId="0" borderId="63" xfId="0" applyNumberFormat="1" applyFont="1" applyBorder="1" applyAlignment="1" applyProtection="1">
      <alignment horizontal="centerContinuous"/>
      <protection/>
    </xf>
    <xf numFmtId="2" fontId="8" fillId="0" borderId="51" xfId="0" applyNumberFormat="1" applyFont="1" applyBorder="1" applyAlignment="1" applyProtection="1">
      <alignment horizontal="centerContinuous"/>
      <protection/>
    </xf>
    <xf numFmtId="2" fontId="8" fillId="0" borderId="37" xfId="0" applyNumberFormat="1" applyFont="1" applyBorder="1" applyAlignment="1" applyProtection="1">
      <alignment horizontal="centerContinuous"/>
      <protection/>
    </xf>
    <xf numFmtId="0" fontId="60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2" fontId="5" fillId="0" borderId="65" xfId="0" applyNumberFormat="1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/>
      <protection locked="0"/>
    </xf>
    <xf numFmtId="0" fontId="5" fillId="0" borderId="67" xfId="0" applyFont="1" applyBorder="1" applyAlignment="1" applyProtection="1">
      <alignment horizontal="center"/>
      <protection locked="0"/>
    </xf>
    <xf numFmtId="2" fontId="5" fillId="0" borderId="67" xfId="0" applyNumberFormat="1" applyFont="1" applyBorder="1" applyAlignment="1" applyProtection="1">
      <alignment horizontal="center"/>
      <protection locked="0"/>
    </xf>
    <xf numFmtId="167" fontId="5" fillId="0" borderId="13" xfId="0" applyNumberFormat="1" applyFont="1" applyBorder="1" applyAlignment="1" applyProtection="1">
      <alignment horizontal="center"/>
      <protection locked="0"/>
    </xf>
    <xf numFmtId="22" fontId="5" fillId="0" borderId="12" xfId="0" applyNumberFormat="1" applyFont="1" applyBorder="1" applyAlignment="1" applyProtection="1">
      <alignment horizontal="center"/>
      <protection locked="0"/>
    </xf>
    <xf numFmtId="167" fontId="5" fillId="0" borderId="12" xfId="0" applyNumberFormat="1" applyFont="1" applyBorder="1" applyAlignment="1" applyProtection="1">
      <alignment horizontal="center"/>
      <protection locked="0"/>
    </xf>
    <xf numFmtId="22" fontId="5" fillId="0" borderId="13" xfId="0" applyNumberFormat="1" applyFont="1" applyBorder="1" applyAlignment="1" applyProtection="1">
      <alignment horizontal="center"/>
      <protection locked="0"/>
    </xf>
    <xf numFmtId="167" fontId="51" fillId="34" borderId="13" xfId="0" applyNumberFormat="1" applyFont="1" applyFill="1" applyBorder="1" applyAlignment="1" applyProtection="1" quotePrefix="1">
      <alignment horizontal="center"/>
      <protection locked="0"/>
    </xf>
    <xf numFmtId="167" fontId="51" fillId="35" borderId="13" xfId="0" applyNumberFormat="1" applyFont="1" applyFill="1" applyBorder="1" applyAlignment="1" applyProtection="1" quotePrefix="1">
      <alignment horizontal="center"/>
      <protection locked="0"/>
    </xf>
    <xf numFmtId="167" fontId="56" fillId="36" borderId="38" xfId="0" applyNumberFormat="1" applyFont="1" applyFill="1" applyBorder="1" applyAlignment="1" applyProtection="1" quotePrefix="1">
      <alignment horizontal="center"/>
      <protection locked="0"/>
    </xf>
    <xf numFmtId="4" fontId="56" fillId="36" borderId="68" xfId="0" applyNumberFormat="1" applyFont="1" applyFill="1" applyBorder="1" applyAlignment="1" applyProtection="1">
      <alignment horizontal="center"/>
      <protection locked="0"/>
    </xf>
    <xf numFmtId="4" fontId="56" fillId="36" borderId="69" xfId="0" applyNumberFormat="1" applyFont="1" applyFill="1" applyBorder="1" applyAlignment="1" applyProtection="1">
      <alignment horizontal="center"/>
      <protection locked="0"/>
    </xf>
    <xf numFmtId="167" fontId="56" fillId="37" borderId="38" xfId="0" applyNumberFormat="1" applyFont="1" applyFill="1" applyBorder="1" applyAlignment="1" applyProtection="1" quotePrefix="1">
      <alignment horizontal="center"/>
      <protection locked="0"/>
    </xf>
    <xf numFmtId="4" fontId="56" fillId="37" borderId="68" xfId="0" applyNumberFormat="1" applyFont="1" applyFill="1" applyBorder="1" applyAlignment="1" applyProtection="1">
      <alignment horizontal="center"/>
      <protection locked="0"/>
    </xf>
    <xf numFmtId="4" fontId="56" fillId="37" borderId="69" xfId="0" applyNumberFormat="1" applyFont="1" applyFill="1" applyBorder="1" applyAlignment="1" applyProtection="1">
      <alignment horizontal="center"/>
      <protection locked="0"/>
    </xf>
    <xf numFmtId="4" fontId="56" fillId="38" borderId="13" xfId="0" applyNumberFormat="1" applyFont="1" applyFill="1" applyBorder="1" applyAlignment="1" applyProtection="1">
      <alignment horizontal="center"/>
      <protection locked="0"/>
    </xf>
    <xf numFmtId="4" fontId="51" fillId="39" borderId="13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3" fillId="34" borderId="12" xfId="0" applyFont="1" applyFill="1" applyBorder="1" applyAlignment="1" applyProtection="1">
      <alignment/>
      <protection locked="0"/>
    </xf>
    <xf numFmtId="0" fontId="53" fillId="35" borderId="12" xfId="0" applyFont="1" applyFill="1" applyBorder="1" applyAlignment="1" applyProtection="1">
      <alignment/>
      <protection locked="0"/>
    </xf>
    <xf numFmtId="0" fontId="55" fillId="36" borderId="36" xfId="0" applyFont="1" applyFill="1" applyBorder="1" applyAlignment="1" applyProtection="1">
      <alignment horizontal="center"/>
      <protection locked="0"/>
    </xf>
    <xf numFmtId="0" fontId="55" fillId="36" borderId="37" xfId="0" applyFont="1" applyFill="1" applyBorder="1" applyAlignment="1" applyProtection="1">
      <alignment/>
      <protection locked="0"/>
    </xf>
    <xf numFmtId="0" fontId="55" fillId="36" borderId="16" xfId="0" applyFont="1" applyFill="1" applyBorder="1" applyAlignment="1" applyProtection="1">
      <alignment/>
      <protection locked="0"/>
    </xf>
    <xf numFmtId="0" fontId="55" fillId="37" borderId="36" xfId="0" applyFont="1" applyFill="1" applyBorder="1" applyAlignment="1" applyProtection="1">
      <alignment horizontal="center"/>
      <protection locked="0"/>
    </xf>
    <xf numFmtId="0" fontId="55" fillId="37" borderId="37" xfId="0" applyFont="1" applyFill="1" applyBorder="1" applyAlignment="1" applyProtection="1">
      <alignment/>
      <protection locked="0"/>
    </xf>
    <xf numFmtId="0" fontId="55" fillId="37" borderId="16" xfId="0" applyFont="1" applyFill="1" applyBorder="1" applyAlignment="1" applyProtection="1">
      <alignment/>
      <protection locked="0"/>
    </xf>
    <xf numFmtId="0" fontId="55" fillId="38" borderId="12" xfId="0" applyFont="1" applyFill="1" applyBorder="1" applyAlignment="1" applyProtection="1">
      <alignment/>
      <protection locked="0"/>
    </xf>
    <xf numFmtId="0" fontId="53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11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22" fontId="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6" fillId="38" borderId="28" xfId="0" applyFont="1" applyFill="1" applyBorder="1" applyAlignment="1" applyProtection="1">
      <alignment horizontal="center" vertical="center" wrapText="1"/>
      <protection/>
    </xf>
    <xf numFmtId="0" fontId="26" fillId="40" borderId="28" xfId="0" applyFont="1" applyFill="1" applyBorder="1" applyAlignment="1" applyProtection="1">
      <alignment horizontal="center" vertical="center" wrapText="1"/>
      <protection/>
    </xf>
    <xf numFmtId="0" fontId="52" fillId="41" borderId="31" xfId="0" applyFont="1" applyFill="1" applyBorder="1" applyAlignment="1" applyProtection="1">
      <alignment horizontal="centerContinuous" vertical="center"/>
      <protection/>
    </xf>
    <xf numFmtId="0" fontId="52" fillId="34" borderId="31" xfId="0" applyFont="1" applyFill="1" applyBorder="1" applyAlignment="1" applyProtection="1">
      <alignment horizontal="centerContinuous" vertical="center"/>
      <protection/>
    </xf>
    <xf numFmtId="0" fontId="48" fillId="36" borderId="28" xfId="0" applyFont="1" applyFill="1" applyBorder="1" applyAlignment="1" applyProtection="1">
      <alignment horizontal="center" vertical="center" wrapText="1"/>
      <protection/>
    </xf>
    <xf numFmtId="0" fontId="26" fillId="37" borderId="28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/>
    </xf>
    <xf numFmtId="0" fontId="51" fillId="39" borderId="15" xfId="0" applyFont="1" applyFill="1" applyBorder="1" applyAlignment="1" applyProtection="1">
      <alignment/>
      <protection/>
    </xf>
    <xf numFmtId="0" fontId="56" fillId="38" borderId="15" xfId="0" applyFont="1" applyFill="1" applyBorder="1" applyAlignment="1" applyProtection="1">
      <alignment/>
      <protection/>
    </xf>
    <xf numFmtId="0" fontId="56" fillId="40" borderId="15" xfId="0" applyFont="1" applyFill="1" applyBorder="1" applyAlignment="1" applyProtection="1">
      <alignment/>
      <protection/>
    </xf>
    <xf numFmtId="0" fontId="51" fillId="41" borderId="33" xfId="0" applyFont="1" applyFill="1" applyBorder="1" applyAlignment="1" applyProtection="1">
      <alignment horizontal="center"/>
      <protection/>
    </xf>
    <xf numFmtId="0" fontId="51" fillId="41" borderId="35" xfId="0" applyFont="1" applyFill="1" applyBorder="1" applyAlignment="1" applyProtection="1">
      <alignment/>
      <protection/>
    </xf>
    <xf numFmtId="0" fontId="51" fillId="34" borderId="33" xfId="0" applyFont="1" applyFill="1" applyBorder="1" applyAlignment="1" applyProtection="1">
      <alignment horizontal="center"/>
      <protection/>
    </xf>
    <xf numFmtId="0" fontId="51" fillId="34" borderId="35" xfId="0" applyFont="1" applyFill="1" applyBorder="1" applyAlignment="1" applyProtection="1">
      <alignment/>
      <protection/>
    </xf>
    <xf numFmtId="0" fontId="49" fillId="36" borderId="15" xfId="0" applyFont="1" applyFill="1" applyBorder="1" applyAlignment="1" applyProtection="1">
      <alignment/>
      <protection/>
    </xf>
    <xf numFmtId="0" fontId="56" fillId="37" borderId="15" xfId="0" applyFont="1" applyFill="1" applyBorder="1" applyAlignment="1" applyProtection="1">
      <alignment/>
      <protection/>
    </xf>
    <xf numFmtId="7" fontId="8" fillId="0" borderId="15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1" fillId="39" borderId="12" xfId="0" applyFont="1" applyFill="1" applyBorder="1" applyAlignment="1" applyProtection="1">
      <alignment/>
      <protection/>
    </xf>
    <xf numFmtId="0" fontId="56" fillId="38" borderId="12" xfId="0" applyFont="1" applyFill="1" applyBorder="1" applyAlignment="1" applyProtection="1">
      <alignment/>
      <protection/>
    </xf>
    <xf numFmtId="0" fontId="56" fillId="40" borderId="12" xfId="0" applyFont="1" applyFill="1" applyBorder="1" applyAlignment="1" applyProtection="1">
      <alignment/>
      <protection/>
    </xf>
    <xf numFmtId="0" fontId="51" fillId="41" borderId="36" xfId="0" applyFont="1" applyFill="1" applyBorder="1" applyAlignment="1" applyProtection="1">
      <alignment horizontal="center"/>
      <protection/>
    </xf>
    <xf numFmtId="0" fontId="51" fillId="41" borderId="16" xfId="0" applyFont="1" applyFill="1" applyBorder="1" applyAlignment="1" applyProtection="1">
      <alignment/>
      <protection/>
    </xf>
    <xf numFmtId="0" fontId="51" fillId="34" borderId="36" xfId="0" applyFont="1" applyFill="1" applyBorder="1" applyAlignment="1" applyProtection="1">
      <alignment horizontal="center"/>
      <protection/>
    </xf>
    <xf numFmtId="0" fontId="51" fillId="34" borderId="16" xfId="0" applyFont="1" applyFill="1" applyBorder="1" applyAlignment="1" applyProtection="1">
      <alignment/>
      <protection/>
    </xf>
    <xf numFmtId="0" fontId="49" fillId="36" borderId="12" xfId="0" applyFont="1" applyFill="1" applyBorder="1" applyAlignment="1" applyProtection="1">
      <alignment/>
      <protection/>
    </xf>
    <xf numFmtId="0" fontId="56" fillId="37" borderId="12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167" fontId="8" fillId="0" borderId="16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38" fillId="0" borderId="32" xfId="0" applyFont="1" applyBorder="1" applyAlignment="1" applyProtection="1">
      <alignment horizontal="center"/>
      <protection/>
    </xf>
    <xf numFmtId="7" fontId="56" fillId="38" borderId="28" xfId="0" applyNumberFormat="1" applyFont="1" applyFill="1" applyBorder="1" applyAlignment="1" applyProtection="1">
      <alignment horizontal="center"/>
      <protection/>
    </xf>
    <xf numFmtId="7" fontId="56" fillId="40" borderId="28" xfId="0" applyNumberFormat="1" applyFont="1" applyFill="1" applyBorder="1" applyAlignment="1" applyProtection="1">
      <alignment horizontal="center"/>
      <protection/>
    </xf>
    <xf numFmtId="7" fontId="51" fillId="41" borderId="28" xfId="0" applyNumberFormat="1" applyFont="1" applyFill="1" applyBorder="1" applyAlignment="1" applyProtection="1">
      <alignment horizontal="center"/>
      <protection/>
    </xf>
    <xf numFmtId="7" fontId="51" fillId="34" borderId="28" xfId="0" applyNumberFormat="1" applyFont="1" applyFill="1" applyBorder="1" applyAlignment="1" applyProtection="1">
      <alignment horizontal="center"/>
      <protection/>
    </xf>
    <xf numFmtId="7" fontId="49" fillId="36" borderId="28" xfId="0" applyNumberFormat="1" applyFont="1" applyFill="1" applyBorder="1" applyAlignment="1" applyProtection="1">
      <alignment horizontal="center"/>
      <protection/>
    </xf>
    <xf numFmtId="7" fontId="56" fillId="37" borderId="28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7" fontId="9" fillId="0" borderId="28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11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165" fontId="5" fillId="0" borderId="18" xfId="0" applyNumberFormat="1" applyFont="1" applyBorder="1" applyAlignment="1" applyProtection="1" quotePrefix="1">
      <alignment horizontal="center"/>
      <protection locked="0"/>
    </xf>
    <xf numFmtId="2" fontId="5" fillId="0" borderId="18" xfId="0" applyNumberFormat="1" applyFont="1" applyBorder="1" applyAlignment="1" applyProtection="1" quotePrefix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22" fontId="5" fillId="0" borderId="12" xfId="0" applyNumberFormat="1" applyFont="1" applyFill="1" applyBorder="1" applyAlignment="1" applyProtection="1">
      <alignment horizontal="center"/>
      <protection locked="0"/>
    </xf>
    <xf numFmtId="167" fontId="5" fillId="0" borderId="12" xfId="0" applyNumberFormat="1" applyFont="1" applyFill="1" applyBorder="1" applyAlignment="1" applyProtection="1">
      <alignment horizontal="center"/>
      <protection locked="0"/>
    </xf>
    <xf numFmtId="0" fontId="51" fillId="39" borderId="13" xfId="0" applyFont="1" applyFill="1" applyBorder="1" applyAlignment="1" applyProtection="1">
      <alignment/>
      <protection locked="0"/>
    </xf>
    <xf numFmtId="0" fontId="56" fillId="38" borderId="13" xfId="0" applyFont="1" applyFill="1" applyBorder="1" applyAlignment="1" applyProtection="1">
      <alignment/>
      <protection locked="0"/>
    </xf>
    <xf numFmtId="0" fontId="56" fillId="40" borderId="13" xfId="0" applyFont="1" applyFill="1" applyBorder="1" applyAlignment="1" applyProtection="1">
      <alignment/>
      <protection locked="0"/>
    </xf>
    <xf numFmtId="0" fontId="51" fillId="41" borderId="38" xfId="0" applyFont="1" applyFill="1" applyBorder="1" applyAlignment="1" applyProtection="1">
      <alignment/>
      <protection locked="0"/>
    </xf>
    <xf numFmtId="0" fontId="51" fillId="41" borderId="39" xfId="0" applyFont="1" applyFill="1" applyBorder="1" applyAlignment="1" applyProtection="1">
      <alignment/>
      <protection locked="0"/>
    </xf>
    <xf numFmtId="0" fontId="51" fillId="34" borderId="38" xfId="0" applyFont="1" applyFill="1" applyBorder="1" applyAlignment="1" applyProtection="1">
      <alignment/>
      <protection locked="0"/>
    </xf>
    <xf numFmtId="0" fontId="51" fillId="34" borderId="39" xfId="0" applyFont="1" applyFill="1" applyBorder="1" applyAlignment="1" applyProtection="1">
      <alignment/>
      <protection locked="0"/>
    </xf>
    <xf numFmtId="0" fontId="49" fillId="36" borderId="13" xfId="0" applyFont="1" applyFill="1" applyBorder="1" applyAlignment="1" applyProtection="1">
      <alignment/>
      <protection locked="0"/>
    </xf>
    <xf numFmtId="0" fontId="56" fillId="37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22" fontId="5" fillId="0" borderId="18" xfId="0" applyNumberFormat="1" applyFont="1" applyFill="1" applyBorder="1" applyAlignment="1" applyProtection="1">
      <alignment horizontal="center"/>
      <protection locked="0"/>
    </xf>
    <xf numFmtId="22" fontId="5" fillId="0" borderId="19" xfId="0" applyNumberFormat="1" applyFont="1" applyFill="1" applyBorder="1" applyAlignment="1" applyProtection="1">
      <alignment horizontal="center"/>
      <protection locked="0"/>
    </xf>
    <xf numFmtId="167" fontId="5" fillId="0" borderId="16" xfId="0" applyNumberFormat="1" applyFont="1" applyFill="1" applyBorder="1" applyAlignment="1" applyProtection="1">
      <alignment horizontal="center"/>
      <protection locked="0"/>
    </xf>
    <xf numFmtId="0" fontId="51" fillId="37" borderId="13" xfId="0" applyFont="1" applyFill="1" applyBorder="1" applyAlignment="1" applyProtection="1">
      <alignment/>
      <protection locked="0"/>
    </xf>
    <xf numFmtId="0" fontId="56" fillId="36" borderId="13" xfId="0" applyFont="1" applyFill="1" applyBorder="1" applyAlignment="1" applyProtection="1">
      <alignment/>
      <protection locked="0"/>
    </xf>
    <xf numFmtId="171" fontId="7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167" fontId="9" fillId="0" borderId="45" xfId="0" applyNumberFormat="1" applyFont="1" applyBorder="1" applyAlignment="1" applyProtection="1">
      <alignment horizontal="center"/>
      <protection/>
    </xf>
    <xf numFmtId="167" fontId="63" fillId="0" borderId="0" xfId="0" applyNumberFormat="1" applyFont="1" applyBorder="1" applyAlignment="1" applyProtection="1" quotePrefix="1">
      <alignment horizontal="left"/>
      <protection/>
    </xf>
    <xf numFmtId="167" fontId="63" fillId="0" borderId="55" xfId="0" applyNumberFormat="1" applyFont="1" applyBorder="1" applyAlignment="1" applyProtection="1" quotePrefix="1">
      <alignment horizontal="left"/>
      <protection/>
    </xf>
    <xf numFmtId="167" fontId="63" fillId="0" borderId="51" xfId="0" applyNumberFormat="1" applyFont="1" applyBorder="1" applyAlignment="1" applyProtection="1" quotePrefix="1">
      <alignment horizontal="left"/>
      <protection/>
    </xf>
    <xf numFmtId="167" fontId="9" fillId="0" borderId="45" xfId="0" applyNumberFormat="1" applyFont="1" applyBorder="1" applyAlignment="1" applyProtection="1">
      <alignment horizontal="left"/>
      <protection/>
    </xf>
    <xf numFmtId="173" fontId="9" fillId="0" borderId="45" xfId="0" applyNumberFormat="1" applyFont="1" applyBorder="1" applyAlignment="1" applyProtection="1">
      <alignment horizontal="right"/>
      <protection/>
    </xf>
    <xf numFmtId="173" fontId="9" fillId="0" borderId="5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2" fontId="0" fillId="0" borderId="0" xfId="0" applyNumberFormat="1" applyFont="1" applyBorder="1" applyAlignment="1">
      <alignment horizontal="centerContinuous" vertical="center"/>
    </xf>
    <xf numFmtId="166" fontId="0" fillId="0" borderId="0" xfId="0" applyNumberFormat="1" applyFont="1" applyBorder="1" applyAlignment="1">
      <alignment horizontal="centerContinuous"/>
    </xf>
    <xf numFmtId="170" fontId="2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5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Continuous"/>
    </xf>
    <xf numFmtId="0" fontId="5" fillId="0" borderId="18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8" fontId="9" fillId="0" borderId="28" xfId="49" applyNumberFormat="1" applyFont="1" applyBorder="1" applyAlignment="1">
      <alignment horizontal="right"/>
    </xf>
    <xf numFmtId="167" fontId="5" fillId="0" borderId="12" xfId="0" applyNumberFormat="1" applyFont="1" applyBorder="1" applyAlignment="1" applyProtection="1" quotePrefix="1">
      <alignment horizontal="center"/>
      <protection/>
    </xf>
    <xf numFmtId="2" fontId="51" fillId="34" borderId="12" xfId="0" applyNumberFormat="1" applyFont="1" applyFill="1" applyBorder="1" applyAlignment="1" applyProtection="1">
      <alignment horizontal="center"/>
      <protection/>
    </xf>
    <xf numFmtId="2" fontId="51" fillId="35" borderId="12" xfId="0" applyNumberFormat="1" applyFont="1" applyFill="1" applyBorder="1" applyAlignment="1" applyProtection="1">
      <alignment horizontal="center"/>
      <protection/>
    </xf>
    <xf numFmtId="167" fontId="56" fillId="36" borderId="36" xfId="0" applyNumberFormat="1" applyFont="1" applyFill="1" applyBorder="1" applyAlignment="1" applyProtection="1" quotePrefix="1">
      <alignment horizontal="center"/>
      <protection/>
    </xf>
    <xf numFmtId="167" fontId="56" fillId="36" borderId="37" xfId="0" applyNumberFormat="1" applyFont="1" applyFill="1" applyBorder="1" applyAlignment="1" applyProtection="1" quotePrefix="1">
      <alignment horizontal="center"/>
      <protection/>
    </xf>
    <xf numFmtId="4" fontId="56" fillId="36" borderId="16" xfId="0" applyNumberFormat="1" applyFont="1" applyFill="1" applyBorder="1" applyAlignment="1" applyProtection="1">
      <alignment horizontal="center"/>
      <protection/>
    </xf>
    <xf numFmtId="167" fontId="56" fillId="37" borderId="36" xfId="0" applyNumberFormat="1" applyFont="1" applyFill="1" applyBorder="1" applyAlignment="1" applyProtection="1" quotePrefix="1">
      <alignment horizontal="center"/>
      <protection/>
    </xf>
    <xf numFmtId="167" fontId="56" fillId="37" borderId="37" xfId="0" applyNumberFormat="1" applyFont="1" applyFill="1" applyBorder="1" applyAlignment="1" applyProtection="1" quotePrefix="1">
      <alignment horizontal="center"/>
      <protection/>
    </xf>
    <xf numFmtId="4" fontId="56" fillId="37" borderId="16" xfId="0" applyNumberFormat="1" applyFont="1" applyFill="1" applyBorder="1" applyAlignment="1" applyProtection="1">
      <alignment horizontal="center"/>
      <protection/>
    </xf>
    <xf numFmtId="4" fontId="56" fillId="38" borderId="12" xfId="0" applyNumberFormat="1" applyFont="1" applyFill="1" applyBorder="1" applyAlignment="1" applyProtection="1">
      <alignment horizontal="center"/>
      <protection/>
    </xf>
    <xf numFmtId="4" fontId="51" fillId="39" borderId="12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center"/>
      <protection/>
    </xf>
    <xf numFmtId="167" fontId="5" fillId="0" borderId="12" xfId="0" applyNumberFormat="1" applyFont="1" applyFill="1" applyBorder="1" applyAlignment="1" applyProtection="1" quotePrefix="1">
      <alignment horizontal="center"/>
      <protection/>
    </xf>
    <xf numFmtId="2" fontId="56" fillId="38" borderId="12" xfId="0" applyNumberFormat="1" applyFont="1" applyFill="1" applyBorder="1" applyAlignment="1" applyProtection="1">
      <alignment horizontal="center"/>
      <protection/>
    </xf>
    <xf numFmtId="2" fontId="56" fillId="40" borderId="12" xfId="0" applyNumberFormat="1" applyFont="1" applyFill="1" applyBorder="1" applyAlignment="1" applyProtection="1">
      <alignment horizontal="center"/>
      <protection/>
    </xf>
    <xf numFmtId="2" fontId="56" fillId="36" borderId="12" xfId="0" applyNumberFormat="1" applyFont="1" applyFill="1" applyBorder="1" applyAlignment="1" applyProtection="1">
      <alignment horizontal="center"/>
      <protection/>
    </xf>
    <xf numFmtId="167" fontId="5" fillId="0" borderId="12" xfId="0" applyNumberFormat="1" applyFont="1" applyBorder="1" applyAlignment="1" applyProtection="1">
      <alignment horizontal="center"/>
      <protection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 applyProtection="1">
      <alignment horizontal="left"/>
      <protection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7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70" xfId="0" applyFont="1" applyFill="1" applyBorder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7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172" fontId="0" fillId="0" borderId="30" xfId="0" applyNumberFormat="1" applyFont="1" applyBorder="1" applyAlignment="1">
      <alignment horizontal="centerContinuous" vertical="center"/>
    </xf>
    <xf numFmtId="0" fontId="24" fillId="0" borderId="31" xfId="0" applyFont="1" applyBorder="1" applyAlignment="1" applyProtection="1">
      <alignment horizontal="centerContinuous" vertical="center"/>
      <protection/>
    </xf>
    <xf numFmtId="166" fontId="0" fillId="0" borderId="31" xfId="0" applyNumberFormat="1" applyFont="1" applyBorder="1" applyAlignment="1">
      <alignment horizontal="centerContinuous" vertical="center"/>
    </xf>
    <xf numFmtId="170" fontId="0" fillId="0" borderId="71" xfId="0" applyNumberFormat="1" applyFont="1" applyBorder="1" applyAlignment="1" applyProtection="1">
      <alignment horizontal="center"/>
      <protection/>
    </xf>
    <xf numFmtId="170" fontId="23" fillId="0" borderId="71" xfId="0" applyNumberFormat="1" applyFont="1" applyBorder="1" applyAlignment="1">
      <alignment horizontal="center"/>
    </xf>
    <xf numFmtId="0" fontId="0" fillId="0" borderId="72" xfId="0" applyFont="1" applyBorder="1" applyAlignment="1" applyProtection="1">
      <alignment horizontal="left"/>
      <protection/>
    </xf>
    <xf numFmtId="170" fontId="0" fillId="0" borderId="73" xfId="0" applyNumberFormat="1" applyFont="1" applyBorder="1" applyAlignment="1" applyProtection="1">
      <alignment horizontal="centerContinuous"/>
      <protection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09"/>
    </row>
    <row r="2" spans="2:10" s="109" customFormat="1" ht="26.25">
      <c r="B2" s="110" t="s">
        <v>160</v>
      </c>
      <c r="C2" s="127"/>
      <c r="D2" s="111"/>
      <c r="E2" s="111"/>
      <c r="F2" s="111"/>
      <c r="G2" s="111"/>
      <c r="H2" s="111"/>
      <c r="I2" s="111"/>
      <c r="J2" s="111"/>
    </row>
    <row r="3" spans="3:19" ht="12.75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8" t="s">
        <v>16</v>
      </c>
      <c r="B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2" customFormat="1" ht="11.25">
      <c r="A5" s="128" t="s">
        <v>17</v>
      </c>
      <c r="B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2:19" s="109" customFormat="1" ht="26.25">
      <c r="B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114" customFormat="1" ht="21">
      <c r="B7" s="168" t="s">
        <v>0</v>
      </c>
      <c r="C7" s="133"/>
      <c r="D7" s="134"/>
      <c r="E7" s="134"/>
      <c r="F7" s="135"/>
      <c r="G7" s="135"/>
      <c r="H7" s="135"/>
      <c r="I7" s="135"/>
      <c r="J7" s="135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8" t="s">
        <v>1</v>
      </c>
      <c r="C9" s="133"/>
      <c r="D9" s="134"/>
      <c r="E9" s="134"/>
      <c r="F9" s="134"/>
      <c r="G9" s="134"/>
      <c r="H9" s="134"/>
      <c r="I9" s="135"/>
      <c r="J9" s="135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6"/>
      <c r="E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8" t="s">
        <v>158</v>
      </c>
      <c r="C11" s="85"/>
      <c r="D11" s="40"/>
      <c r="E11" s="40"/>
      <c r="F11" s="134"/>
      <c r="G11" s="134"/>
      <c r="H11" s="134"/>
      <c r="I11" s="135"/>
      <c r="J11" s="135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7" customFormat="1" ht="16.5" thickBot="1">
      <c r="D12" s="7"/>
      <c r="E12" s="7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2:19" s="137" customFormat="1" ht="16.5" thickTop="1">
      <c r="B13" s="384">
        <v>1</v>
      </c>
      <c r="C13" s="406"/>
      <c r="D13" s="139"/>
      <c r="E13" s="139"/>
      <c r="F13" s="139"/>
      <c r="G13" s="139"/>
      <c r="H13" s="139"/>
      <c r="I13" s="139"/>
      <c r="J13" s="140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s="121" customFormat="1" ht="19.5">
      <c r="B14" s="235" t="s">
        <v>134</v>
      </c>
      <c r="C14" s="141"/>
      <c r="D14" s="142"/>
      <c r="E14" s="143"/>
      <c r="F14" s="143"/>
      <c r="G14" s="143"/>
      <c r="H14" s="143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4"/>
      <c r="C15" s="145"/>
      <c r="D15" s="145"/>
      <c r="E15" s="47"/>
      <c r="F15" s="146"/>
      <c r="G15" s="146"/>
      <c r="H15" s="146"/>
      <c r="I15" s="47"/>
      <c r="J15" s="147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5">
        <f>IF(B13=2,"Sanciones duplicadas por tasa de falla &gt; 4 Sal. x año/100km.","")</f>
      </c>
      <c r="C16" s="238"/>
      <c r="D16" s="238"/>
      <c r="E16" s="117"/>
      <c r="F16" s="143"/>
      <c r="G16" s="143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4"/>
      <c r="C17" s="145"/>
      <c r="D17" s="145"/>
      <c r="E17" s="47"/>
      <c r="F17" s="146"/>
      <c r="G17" s="146"/>
      <c r="H17" s="47"/>
      <c r="I17"/>
      <c r="J17" s="147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4"/>
      <c r="C18" s="148" t="s">
        <v>18</v>
      </c>
      <c r="D18" s="149" t="s">
        <v>19</v>
      </c>
      <c r="E18" s="47"/>
      <c r="F18" s="146"/>
      <c r="G18" s="146"/>
      <c r="H18" s="146"/>
      <c r="I18" s="46"/>
      <c r="J18" s="1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4"/>
      <c r="C19"/>
      <c r="D19" s="148" t="s">
        <v>20</v>
      </c>
      <c r="E19" s="149" t="s">
        <v>21</v>
      </c>
      <c r="F19" s="146"/>
      <c r="G19" s="146"/>
      <c r="H19" s="146"/>
      <c r="I19" s="46">
        <f>'LI-03 (1)'!AA40</f>
        <v>162197.46</v>
      </c>
      <c r="J19" s="147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4"/>
      <c r="C20" s="148"/>
      <c r="D20" s="148" t="s">
        <v>22</v>
      </c>
      <c r="E20" s="149" t="s">
        <v>23</v>
      </c>
      <c r="F20" s="146"/>
      <c r="G20" s="146"/>
      <c r="H20" s="146"/>
      <c r="I20" s="46">
        <f>'LI-EDERSA-03 (1)'!AA43</f>
        <v>15781.72</v>
      </c>
      <c r="J20" s="1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3.5">
      <c r="B21" s="44"/>
      <c r="C21" s="150"/>
      <c r="D21" s="151"/>
      <c r="E21" s="8"/>
      <c r="F21" s="152"/>
      <c r="G21" s="152"/>
      <c r="H21" s="152"/>
      <c r="I21" s="153"/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s="121" customFormat="1" ht="19.5">
      <c r="B22" s="144"/>
      <c r="C22" s="148" t="s">
        <v>24</v>
      </c>
      <c r="D22" s="149" t="s">
        <v>25</v>
      </c>
      <c r="E22" s="47"/>
      <c r="F22" s="146"/>
      <c r="G22" s="146"/>
      <c r="H22" s="146"/>
      <c r="I22" s="46"/>
      <c r="J22" s="147"/>
      <c r="K22" s="47"/>
      <c r="L22" s="47"/>
      <c r="M22" s="47"/>
      <c r="N22" s="47"/>
      <c r="O22" s="47"/>
      <c r="P22" s="47"/>
      <c r="Q22" s="47"/>
      <c r="R22" s="47"/>
      <c r="S22" s="47"/>
    </row>
    <row r="23" spans="2:19" ht="8.25" customHeight="1">
      <c r="B23" s="44"/>
      <c r="C23" s="150"/>
      <c r="D23" s="150"/>
      <c r="E23" s="8"/>
      <c r="F23" s="152"/>
      <c r="G23" s="152"/>
      <c r="H23" s="152"/>
      <c r="I23" s="154"/>
      <c r="J23" s="11"/>
      <c r="K23" s="8"/>
      <c r="L23" s="8"/>
      <c r="M23" s="8"/>
      <c r="N23" s="8"/>
      <c r="O23" s="8"/>
      <c r="P23" s="8"/>
      <c r="Q23" s="8"/>
      <c r="R23" s="8"/>
      <c r="S23" s="8"/>
    </row>
    <row r="24" spans="2:19" s="121" customFormat="1" ht="19.5">
      <c r="B24" s="144"/>
      <c r="C24" s="148"/>
      <c r="D24" s="148" t="s">
        <v>26</v>
      </c>
      <c r="E24" s="9" t="s">
        <v>27</v>
      </c>
      <c r="F24" s="146"/>
      <c r="G24" s="146"/>
      <c r="H24" s="146"/>
      <c r="I24" s="46"/>
      <c r="J24" s="147"/>
      <c r="K24" s="47"/>
      <c r="L24" s="47"/>
      <c r="M24" s="47"/>
      <c r="N24" s="47"/>
      <c r="O24" s="47"/>
      <c r="P24" s="47"/>
      <c r="Q24" s="47"/>
      <c r="R24" s="47"/>
      <c r="S24" s="47"/>
    </row>
    <row r="25" spans="2:19" s="121" customFormat="1" ht="19.5">
      <c r="B25" s="144"/>
      <c r="C25" s="148"/>
      <c r="D25" s="148"/>
      <c r="E25" s="148" t="s">
        <v>28</v>
      </c>
      <c r="F25" s="149" t="s">
        <v>21</v>
      </c>
      <c r="G25" s="146"/>
      <c r="H25" s="146"/>
      <c r="I25" s="46">
        <f>'TR-03 (1)'!AC36</f>
        <v>96.54</v>
      </c>
      <c r="J25" s="1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4"/>
      <c r="C26" s="148"/>
      <c r="D26" s="148"/>
      <c r="E26" s="148" t="s">
        <v>29</v>
      </c>
      <c r="F26" s="149" t="s">
        <v>23</v>
      </c>
      <c r="G26" s="146"/>
      <c r="H26" s="146"/>
      <c r="I26" s="46">
        <f>'TR-EDERSA-03 (1)'!AC45</f>
        <v>48.14</v>
      </c>
      <c r="J26" s="1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3.5">
      <c r="B27" s="44"/>
      <c r="C27" s="150"/>
      <c r="D27" s="150"/>
      <c r="E27" s="8"/>
      <c r="F27" s="152"/>
      <c r="G27" s="152"/>
      <c r="H27" s="152"/>
      <c r="I27" s="154"/>
      <c r="J27" s="11"/>
      <c r="K27" s="8"/>
      <c r="L27" s="8"/>
      <c r="M27" s="8"/>
      <c r="N27" s="8"/>
      <c r="O27" s="8"/>
      <c r="P27" s="8"/>
      <c r="Q27" s="8"/>
      <c r="R27" s="8"/>
      <c r="S27" s="8"/>
    </row>
    <row r="28" spans="2:19" s="121" customFormat="1" ht="19.5">
      <c r="B28" s="144"/>
      <c r="C28" s="148"/>
      <c r="D28" s="148" t="s">
        <v>30</v>
      </c>
      <c r="E28" s="9" t="s">
        <v>31</v>
      </c>
      <c r="F28" s="146"/>
      <c r="G28" s="146"/>
      <c r="H28" s="146"/>
      <c r="I28" s="46"/>
      <c r="J28" s="1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s="121" customFormat="1" ht="19.5">
      <c r="B29" s="144"/>
      <c r="C29" s="148"/>
      <c r="D29" s="148"/>
      <c r="E29" s="148" t="s">
        <v>32</v>
      </c>
      <c r="F29" s="149" t="s">
        <v>23</v>
      </c>
      <c r="G29" s="146"/>
      <c r="H29" s="146"/>
      <c r="I29" s="46">
        <f>'SA-EDERSA-03 (1)'!V45</f>
        <v>512.2457999999999</v>
      </c>
      <c r="J29" s="1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ht="13.5">
      <c r="B30" s="44"/>
      <c r="C30" s="150"/>
      <c r="D30" s="151"/>
      <c r="E30" s="8"/>
      <c r="F30" s="152"/>
      <c r="G30" s="152"/>
      <c r="H30" s="152"/>
      <c r="I30" s="153"/>
      <c r="J30" s="11"/>
      <c r="K30" s="8"/>
      <c r="L30" s="8"/>
      <c r="M30" s="8"/>
      <c r="N30" s="8"/>
      <c r="O30" s="8"/>
      <c r="P30" s="8"/>
      <c r="Q30" s="8"/>
      <c r="R30" s="8"/>
      <c r="S30" s="8"/>
    </row>
    <row r="31" spans="2:19" s="121" customFormat="1" ht="19.5">
      <c r="B31" s="144"/>
      <c r="C31" s="148" t="s">
        <v>33</v>
      </c>
      <c r="D31" s="149" t="s">
        <v>34</v>
      </c>
      <c r="E31" s="47"/>
      <c r="F31" s="146"/>
      <c r="G31" s="146"/>
      <c r="H31" s="146"/>
      <c r="I31" s="46">
        <v>0</v>
      </c>
      <c r="J31" s="147"/>
      <c r="K31" s="47"/>
      <c r="L31" s="47"/>
      <c r="M31" s="47"/>
      <c r="N31" s="47"/>
      <c r="O31" s="47"/>
      <c r="P31" s="47"/>
      <c r="Q31" s="47"/>
      <c r="R31" s="47"/>
      <c r="S31" s="47"/>
    </row>
    <row r="32" spans="2:19" s="121" customFormat="1" ht="19.5">
      <c r="B32" s="144"/>
      <c r="C32" s="148"/>
      <c r="D32" s="149"/>
      <c r="E32" s="47"/>
      <c r="F32" s="146"/>
      <c r="G32" s="146"/>
      <c r="H32" s="146"/>
      <c r="I32" s="46"/>
      <c r="J32" s="1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s="121" customFormat="1" ht="19.5">
      <c r="B33" s="144"/>
      <c r="C33" s="148" t="s">
        <v>35</v>
      </c>
      <c r="D33" s="9" t="s">
        <v>36</v>
      </c>
      <c r="E33" s="146"/>
      <c r="F33"/>
      <c r="G33" s="146"/>
      <c r="H33" s="146"/>
      <c r="I33" s="46"/>
      <c r="J33" s="147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1" customFormat="1" ht="19.5">
      <c r="B34" s="144"/>
      <c r="C34" s="148"/>
      <c r="D34" s="148" t="s">
        <v>37</v>
      </c>
      <c r="E34" s="149" t="s">
        <v>23</v>
      </c>
      <c r="F34"/>
      <c r="G34" s="146"/>
      <c r="H34" s="146"/>
      <c r="I34" s="46">
        <f>'SUP-EDERSA'!I57</f>
        <v>4391.405527180035</v>
      </c>
      <c r="J34" s="147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20.25" thickBot="1">
      <c r="B35" s="144"/>
      <c r="C35" s="145"/>
      <c r="D35" s="145"/>
      <c r="E35" s="47"/>
      <c r="F35" s="146"/>
      <c r="G35" s="146"/>
      <c r="H35" s="146"/>
      <c r="I35" s="47"/>
      <c r="J35" s="1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20.25" thickBot="1" thickTop="1">
      <c r="B36" s="144"/>
      <c r="C36" s="148"/>
      <c r="D36" s="148"/>
      <c r="F36" s="155" t="s">
        <v>38</v>
      </c>
      <c r="G36" s="156">
        <f>SUM(I18:I34)</f>
        <v>183027.51132718005</v>
      </c>
      <c r="H36" s="237"/>
      <c r="J36" s="1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1" customFormat="1" ht="8.25" customHeight="1" thickTop="1">
      <c r="B37" s="144"/>
      <c r="C37" s="148"/>
      <c r="D37" s="148"/>
      <c r="F37" s="656"/>
      <c r="G37" s="237"/>
      <c r="H37" s="237"/>
      <c r="J37" s="1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21" customFormat="1" ht="18.75">
      <c r="B38" s="144"/>
      <c r="C38" s="657" t="s">
        <v>133</v>
      </c>
      <c r="D38" s="148"/>
      <c r="F38" s="656"/>
      <c r="G38" s="237"/>
      <c r="H38" s="237"/>
      <c r="J38" s="1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s="137" customFormat="1" ht="6.75" customHeight="1" thickBot="1">
      <c r="B39" s="157"/>
      <c r="C39" s="158"/>
      <c r="D39" s="158"/>
      <c r="E39" s="159"/>
      <c r="F39" s="159"/>
      <c r="G39" s="159"/>
      <c r="H39" s="159"/>
      <c r="I39" s="159"/>
      <c r="J39" s="160"/>
      <c r="K39" s="138"/>
      <c r="L39" s="138"/>
      <c r="M39" s="84"/>
      <c r="N39" s="161"/>
      <c r="O39" s="161"/>
      <c r="P39" s="162"/>
      <c r="Q39" s="163"/>
      <c r="R39" s="138"/>
      <c r="S39" s="138"/>
    </row>
    <row r="40" spans="4:19" ht="13.5" thickTop="1">
      <c r="D40" s="8"/>
      <c r="F40" s="8"/>
      <c r="G40" s="8"/>
      <c r="H40" s="8"/>
      <c r="I40" s="8"/>
      <c r="J40" s="8"/>
      <c r="K40" s="8"/>
      <c r="L40" s="8"/>
      <c r="M40" s="30"/>
      <c r="N40" s="164"/>
      <c r="O40" s="164"/>
      <c r="P40" s="8"/>
      <c r="Q40" s="36"/>
      <c r="R40" s="8"/>
      <c r="S40" s="8"/>
    </row>
    <row r="41" spans="4:19" ht="12.75">
      <c r="D41" s="8"/>
      <c r="F41" s="8"/>
      <c r="G41" s="8"/>
      <c r="H41" s="8"/>
      <c r="I41" s="8"/>
      <c r="J41" s="8"/>
      <c r="K41" s="8"/>
      <c r="L41" s="8"/>
      <c r="M41" s="8"/>
      <c r="N41" s="165"/>
      <c r="O41" s="165"/>
      <c r="P41" s="166"/>
      <c r="Q41" s="36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165"/>
      <c r="O42" s="165"/>
      <c r="P42" s="166"/>
      <c r="Q42" s="36"/>
      <c r="R42" s="8"/>
      <c r="S42" s="8"/>
    </row>
    <row r="43" spans="4:19" ht="12.75">
      <c r="D43" s="8"/>
      <c r="E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P44" s="8"/>
      <c r="Q44" s="8"/>
      <c r="R44" s="8"/>
      <c r="S44" s="8"/>
    </row>
    <row r="45" spans="4:19" ht="12.75">
      <c r="D45" s="8"/>
      <c r="E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16:19" ht="12.75">
      <c r="P49" s="8"/>
      <c r="Q49" s="8"/>
      <c r="R49" s="8"/>
      <c r="S49" s="8"/>
    </row>
    <row r="50" spans="16:19" ht="12.75">
      <c r="P50" s="8"/>
      <c r="Q50" s="8"/>
      <c r="R50" s="8"/>
      <c r="S50" s="8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zoomScale="70" zoomScaleNormal="70" zoomScalePageLayoutView="0" workbookViewId="0" topLeftCell="A1">
      <selection activeCell="A22" sqref="A22:IV24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9" customFormat="1" ht="26.25">
      <c r="AB1" s="409"/>
    </row>
    <row r="2" spans="2:28" s="109" customFormat="1" ht="26.25">
      <c r="B2" s="110" t="str">
        <f>+'TOT-0315'!B2</f>
        <v>ANEXO III al Memorándum  D.T.E.E.  N°  326 / 2016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676" t="s">
        <v>16</v>
      </c>
      <c r="C4" s="675"/>
    </row>
    <row r="5" spans="1:3" s="112" customFormat="1" ht="11.25">
      <c r="A5" s="676" t="s">
        <v>130</v>
      </c>
      <c r="C5" s="675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39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40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41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+'TOT-0315'!B14</f>
        <v>Desde el 01 al 31 de marzo de 2015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497" t="s">
        <v>42</v>
      </c>
      <c r="G16" s="711">
        <v>254.839</v>
      </c>
      <c r="H16" s="712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497" t="s">
        <v>43</v>
      </c>
      <c r="G17" s="711">
        <v>243.513</v>
      </c>
      <c r="H17" s="713"/>
      <c r="I17" s="91"/>
      <c r="K17" s="97" t="s">
        <v>44</v>
      </c>
      <c r="L17" s="98">
        <f>30*'TOT-0315'!B13</f>
        <v>30</v>
      </c>
      <c r="M17" s="236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01" customFormat="1" ht="14.25" thickBot="1" thickTop="1">
      <c r="A18" s="697"/>
      <c r="B18" s="698"/>
      <c r="C18" s="699">
        <v>3</v>
      </c>
      <c r="D18" s="699">
        <v>4</v>
      </c>
      <c r="E18" s="699">
        <v>5</v>
      </c>
      <c r="F18" s="699">
        <v>6</v>
      </c>
      <c r="G18" s="699">
        <v>7</v>
      </c>
      <c r="H18" s="699">
        <v>8</v>
      </c>
      <c r="I18" s="699">
        <v>9</v>
      </c>
      <c r="J18" s="699">
        <v>10</v>
      </c>
      <c r="K18" s="699">
        <v>11</v>
      </c>
      <c r="L18" s="699">
        <v>12</v>
      </c>
      <c r="M18" s="699">
        <v>13</v>
      </c>
      <c r="N18" s="699">
        <v>14</v>
      </c>
      <c r="O18" s="699">
        <v>15</v>
      </c>
      <c r="P18" s="699">
        <v>16</v>
      </c>
      <c r="Q18" s="699">
        <v>17</v>
      </c>
      <c r="R18" s="699">
        <v>18</v>
      </c>
      <c r="S18" s="699">
        <v>19</v>
      </c>
      <c r="T18" s="699">
        <v>20</v>
      </c>
      <c r="U18" s="699">
        <v>21</v>
      </c>
      <c r="V18" s="699">
        <v>22</v>
      </c>
      <c r="W18" s="699">
        <v>23</v>
      </c>
      <c r="X18" s="699">
        <v>24</v>
      </c>
      <c r="Y18" s="699">
        <v>25</v>
      </c>
      <c r="Z18" s="699">
        <v>26</v>
      </c>
      <c r="AA18" s="699">
        <v>27</v>
      </c>
      <c r="AB18" s="700"/>
    </row>
    <row r="19" spans="1:28" s="108" customFormat="1" ht="33.75" customHeight="1" thickBot="1" thickTop="1">
      <c r="A19" s="99"/>
      <c r="B19" s="100"/>
      <c r="C19" s="101" t="s">
        <v>45</v>
      </c>
      <c r="D19" s="101" t="s">
        <v>129</v>
      </c>
      <c r="E19" s="101" t="s">
        <v>128</v>
      </c>
      <c r="F19" s="102" t="s">
        <v>19</v>
      </c>
      <c r="G19" s="103" t="s">
        <v>46</v>
      </c>
      <c r="H19" s="104" t="s">
        <v>47</v>
      </c>
      <c r="I19" s="264" t="s">
        <v>48</v>
      </c>
      <c r="J19" s="102" t="s">
        <v>49</v>
      </c>
      <c r="K19" s="102" t="s">
        <v>50</v>
      </c>
      <c r="L19" s="103" t="s">
        <v>51</v>
      </c>
      <c r="M19" s="103" t="s">
        <v>52</v>
      </c>
      <c r="N19" s="105" t="s">
        <v>53</v>
      </c>
      <c r="O19" s="103" t="s">
        <v>54</v>
      </c>
      <c r="P19" s="293" t="s">
        <v>55</v>
      </c>
      <c r="Q19" s="296" t="s">
        <v>56</v>
      </c>
      <c r="R19" s="299" t="s">
        <v>57</v>
      </c>
      <c r="S19" s="300"/>
      <c r="T19" s="301"/>
      <c r="U19" s="310" t="s">
        <v>58</v>
      </c>
      <c r="V19" s="311"/>
      <c r="W19" s="312"/>
      <c r="X19" s="320" t="s">
        <v>59</v>
      </c>
      <c r="Y19" s="323" t="s">
        <v>60</v>
      </c>
      <c r="Z19" s="106" t="s">
        <v>61</v>
      </c>
      <c r="AA19" s="106" t="s">
        <v>62</v>
      </c>
      <c r="AB19" s="107"/>
    </row>
    <row r="20" spans="1:28" ht="16.5" customHeight="1" thickTop="1">
      <c r="A20" s="1"/>
      <c r="B20" s="2"/>
      <c r="C20" s="51"/>
      <c r="D20" s="674"/>
      <c r="E20" s="674"/>
      <c r="F20" s="407"/>
      <c r="G20" s="53"/>
      <c r="H20" s="53"/>
      <c r="I20" s="400"/>
      <c r="J20" s="53"/>
      <c r="K20" s="54"/>
      <c r="L20" s="54"/>
      <c r="M20" s="54"/>
      <c r="N20" s="52"/>
      <c r="O20" s="53"/>
      <c r="P20" s="294"/>
      <c r="Q20" s="297"/>
      <c r="R20" s="302"/>
      <c r="S20" s="303"/>
      <c r="T20" s="304"/>
      <c r="U20" s="313"/>
      <c r="V20" s="314"/>
      <c r="W20" s="315"/>
      <c r="X20" s="321"/>
      <c r="Y20" s="324"/>
      <c r="Z20" s="308"/>
      <c r="AA20" s="408"/>
      <c r="AB20" s="3"/>
    </row>
    <row r="21" spans="1:28" ht="16.5" customHeight="1">
      <c r="A21" s="1"/>
      <c r="B21" s="2"/>
      <c r="C21" s="520"/>
      <c r="D21" s="672"/>
      <c r="E21" s="672"/>
      <c r="F21" s="520"/>
      <c r="G21" s="521"/>
      <c r="H21" s="521"/>
      <c r="I21" s="401"/>
      <c r="J21" s="520"/>
      <c r="K21" s="522"/>
      <c r="L21" s="90"/>
      <c r="M21" s="90"/>
      <c r="N21" s="523"/>
      <c r="O21" s="520"/>
      <c r="P21" s="524"/>
      <c r="Q21" s="525"/>
      <c r="R21" s="526"/>
      <c r="S21" s="527"/>
      <c r="T21" s="528"/>
      <c r="U21" s="529"/>
      <c r="V21" s="530"/>
      <c r="W21" s="531"/>
      <c r="X21" s="532"/>
      <c r="Y21" s="533"/>
      <c r="Z21" s="534"/>
      <c r="AA21" s="90"/>
      <c r="AB21" s="3"/>
    </row>
    <row r="22" spans="1:28" ht="16.5" customHeight="1">
      <c r="A22" s="1"/>
      <c r="B22" s="2"/>
      <c r="C22" s="498">
        <v>1</v>
      </c>
      <c r="D22" s="498">
        <v>285655</v>
      </c>
      <c r="E22" s="498">
        <v>2036</v>
      </c>
      <c r="F22" s="499" t="s">
        <v>138</v>
      </c>
      <c r="G22" s="500">
        <v>132</v>
      </c>
      <c r="H22" s="501">
        <v>138</v>
      </c>
      <c r="I22" s="402">
        <f aca="true" t="shared" si="0" ref="I22:I35">IF(H22&gt;25,H22,25)*IF(G22=330,$G$16,$G$17)/100</f>
        <v>336.04794000000004</v>
      </c>
      <c r="J22" s="506">
        <v>42070.92847222222</v>
      </c>
      <c r="K22" s="506">
        <v>42071.770833333336</v>
      </c>
      <c r="L22" s="13">
        <f aca="true" t="shared" si="1" ref="L22:L35">IF(F22="","",(K22-J22)*24)</f>
        <v>20.216666666732635</v>
      </c>
      <c r="M22" s="14">
        <f aca="true" t="shared" si="2" ref="M22:M35">IF(F22="","",ROUND((K22-J22)*24*60,0))</f>
        <v>1213</v>
      </c>
      <c r="N22" s="507" t="s">
        <v>139</v>
      </c>
      <c r="O22" s="694" t="s">
        <v>137</v>
      </c>
      <c r="P22" s="679" t="str">
        <f aca="true" t="shared" si="3" ref="P22:P35">IF(N22="P",ROUND(M22/60,2)*I22*$L$17*0.01,"--")</f>
        <v>--</v>
      </c>
      <c r="Q22" s="680" t="str">
        <f aca="true" t="shared" si="4" ref="Q22:Q35">IF(N22="RP",ROUND(M22/60,2)*I22*$L$17*0.01*O22/100,"--")</f>
        <v>--</v>
      </c>
      <c r="R22" s="681">
        <f aca="true" t="shared" si="5" ref="R22:R35">IF(N22="F",I22*$L$17,"--")</f>
        <v>10081.4382</v>
      </c>
      <c r="S22" s="682">
        <f aca="true" t="shared" si="6" ref="S22:S35">IF(AND(M22&gt;10,N22="F"),I22*$L$17*IF(M22&gt;180,3,ROUND(M22/60,2)),"--")</f>
        <v>30244.3146</v>
      </c>
      <c r="T22" s="683">
        <f aca="true" t="shared" si="7" ref="T22:T35">IF(AND(M22&gt;180,N22="F"),(ROUND(M22/60,2)-3)*I22*$L$17*0.1,"--")</f>
        <v>17360.2365804</v>
      </c>
      <c r="U22" s="684" t="str">
        <f aca="true" t="shared" si="8" ref="U22:U35">IF(N22="R",I22*$L$17*O22/100,"--")</f>
        <v>--</v>
      </c>
      <c r="V22" s="685" t="str">
        <f aca="true" t="shared" si="9" ref="V22:V35">IF(AND(M22&gt;10,N22="R"),I22*$L$17*O22/100*IF(M22&gt;180,3,ROUND(M22/60,2)),"--")</f>
        <v>--</v>
      </c>
      <c r="W22" s="686" t="str">
        <f aca="true" t="shared" si="10" ref="W22:W35">IF(AND(M22&gt;180,N22="R"),(ROUND(M22/60,2)-3)*O22/100*I22*$L$17*0.1,"--")</f>
        <v>--</v>
      </c>
      <c r="X22" s="687" t="str">
        <f aca="true" t="shared" si="11" ref="X22:X35">IF(N22="RF",ROUND(M22/60,2)*I22*$L$17*0.1,"--")</f>
        <v>--</v>
      </c>
      <c r="Y22" s="688" t="str">
        <f aca="true" t="shared" si="12" ref="Y22:Y35">IF(N22="RR",ROUND(M22/60,2)*O22/100*I22*$L$17*0.1,"--")</f>
        <v>--</v>
      </c>
      <c r="Z22" s="689" t="s">
        <v>136</v>
      </c>
      <c r="AA22" s="55">
        <f aca="true" t="shared" si="13" ref="AA22:AA35">IF(F22="","",SUM(P22:Y22)*IF(Z22="SI",1,2))</f>
        <v>57685.9893804</v>
      </c>
      <c r="AB22" s="3"/>
    </row>
    <row r="23" spans="1:28" ht="16.5" customHeight="1">
      <c r="A23" s="1"/>
      <c r="B23" s="2"/>
      <c r="C23" s="498">
        <v>2</v>
      </c>
      <c r="D23" s="498">
        <v>286379</v>
      </c>
      <c r="E23" s="498">
        <v>1638</v>
      </c>
      <c r="F23" s="499" t="s">
        <v>140</v>
      </c>
      <c r="G23" s="500">
        <v>330</v>
      </c>
      <c r="H23" s="501">
        <v>550</v>
      </c>
      <c r="I23" s="402">
        <f t="shared" si="0"/>
        <v>1401.6145000000001</v>
      </c>
      <c r="J23" s="506">
        <v>42075.39375</v>
      </c>
      <c r="K23" s="506">
        <v>42075.41736111111</v>
      </c>
      <c r="L23" s="13">
        <f t="shared" si="1"/>
        <v>0.566666666592937</v>
      </c>
      <c r="M23" s="14">
        <f t="shared" si="2"/>
        <v>34</v>
      </c>
      <c r="N23" s="507" t="s">
        <v>139</v>
      </c>
      <c r="O23" s="694" t="s">
        <v>137</v>
      </c>
      <c r="P23" s="679" t="str">
        <f t="shared" si="3"/>
        <v>--</v>
      </c>
      <c r="Q23" s="680" t="str">
        <f t="shared" si="4"/>
        <v>--</v>
      </c>
      <c r="R23" s="681">
        <f t="shared" si="5"/>
        <v>42048.435000000005</v>
      </c>
      <c r="S23" s="682">
        <f t="shared" si="6"/>
        <v>23967.60795</v>
      </c>
      <c r="T23" s="683" t="str">
        <f t="shared" si="7"/>
        <v>--</v>
      </c>
      <c r="U23" s="684" t="str">
        <f t="shared" si="8"/>
        <v>--</v>
      </c>
      <c r="V23" s="685" t="str">
        <f t="shared" si="9"/>
        <v>--</v>
      </c>
      <c r="W23" s="686" t="str">
        <f t="shared" si="10"/>
        <v>--</v>
      </c>
      <c r="X23" s="687" t="str">
        <f t="shared" si="11"/>
        <v>--</v>
      </c>
      <c r="Y23" s="688" t="str">
        <f t="shared" si="12"/>
        <v>--</v>
      </c>
      <c r="Z23" s="689" t="s">
        <v>136</v>
      </c>
      <c r="AA23" s="55">
        <f t="shared" si="13"/>
        <v>66016.04295</v>
      </c>
      <c r="AB23" s="3"/>
    </row>
    <row r="24" spans="1:28" ht="16.5" customHeight="1">
      <c r="A24" s="1"/>
      <c r="B24" s="2"/>
      <c r="C24" s="498">
        <v>3</v>
      </c>
      <c r="D24" s="498">
        <v>286870</v>
      </c>
      <c r="E24" s="498">
        <v>1631</v>
      </c>
      <c r="F24" s="499" t="s">
        <v>141</v>
      </c>
      <c r="G24" s="500">
        <v>132</v>
      </c>
      <c r="H24" s="501">
        <v>121.5</v>
      </c>
      <c r="I24" s="402">
        <f t="shared" si="0"/>
        <v>295.868295</v>
      </c>
      <c r="J24" s="506">
        <v>42086.18958333333</v>
      </c>
      <c r="K24" s="506">
        <v>42086.45486111111</v>
      </c>
      <c r="L24" s="13">
        <f t="shared" si="1"/>
        <v>6.366666666639503</v>
      </c>
      <c r="M24" s="14">
        <f t="shared" si="2"/>
        <v>382</v>
      </c>
      <c r="N24" s="507" t="s">
        <v>139</v>
      </c>
      <c r="O24" s="694" t="s">
        <v>137</v>
      </c>
      <c r="P24" s="679" t="str">
        <f t="shared" si="3"/>
        <v>--</v>
      </c>
      <c r="Q24" s="680" t="str">
        <f t="shared" si="4"/>
        <v>--</v>
      </c>
      <c r="R24" s="681">
        <f t="shared" si="5"/>
        <v>8876.04885</v>
      </c>
      <c r="S24" s="682">
        <f t="shared" si="6"/>
        <v>26628.146549999998</v>
      </c>
      <c r="T24" s="683">
        <f t="shared" si="7"/>
        <v>2991.2284624500003</v>
      </c>
      <c r="U24" s="684" t="str">
        <f t="shared" si="8"/>
        <v>--</v>
      </c>
      <c r="V24" s="685" t="str">
        <f t="shared" si="9"/>
        <v>--</v>
      </c>
      <c r="W24" s="686" t="str">
        <f t="shared" si="10"/>
        <v>--</v>
      </c>
      <c r="X24" s="687" t="str">
        <f t="shared" si="11"/>
        <v>--</v>
      </c>
      <c r="Y24" s="688" t="str">
        <f t="shared" si="12"/>
        <v>--</v>
      </c>
      <c r="Z24" s="689" t="s">
        <v>136</v>
      </c>
      <c r="AA24" s="55">
        <f t="shared" si="13"/>
        <v>38495.42386245</v>
      </c>
      <c r="AB24" s="3"/>
    </row>
    <row r="25" spans="1:28" ht="16.5" customHeight="1">
      <c r="A25" s="1"/>
      <c r="B25" s="2"/>
      <c r="C25" s="498"/>
      <c r="D25" s="498"/>
      <c r="E25" s="498"/>
      <c r="F25" s="499"/>
      <c r="G25" s="500"/>
      <c r="H25" s="501"/>
      <c r="I25" s="402">
        <f t="shared" si="0"/>
        <v>60.87825</v>
      </c>
      <c r="J25" s="506"/>
      <c r="K25" s="506"/>
      <c r="L25" s="13">
        <f t="shared" si="1"/>
      </c>
      <c r="M25" s="14">
        <f t="shared" si="2"/>
      </c>
      <c r="N25" s="507"/>
      <c r="O25" s="678">
        <f aca="true" t="shared" si="14" ref="O25:O35">IF(F25="","","--")</f>
      </c>
      <c r="P25" s="679" t="str">
        <f t="shared" si="3"/>
        <v>--</v>
      </c>
      <c r="Q25" s="680" t="str">
        <f t="shared" si="4"/>
        <v>--</v>
      </c>
      <c r="R25" s="681" t="str">
        <f t="shared" si="5"/>
        <v>--</v>
      </c>
      <c r="S25" s="682" t="str">
        <f t="shared" si="6"/>
        <v>--</v>
      </c>
      <c r="T25" s="683" t="str">
        <f t="shared" si="7"/>
        <v>--</v>
      </c>
      <c r="U25" s="684" t="str">
        <f t="shared" si="8"/>
        <v>--</v>
      </c>
      <c r="V25" s="685" t="str">
        <f t="shared" si="9"/>
        <v>--</v>
      </c>
      <c r="W25" s="686" t="str">
        <f t="shared" si="10"/>
        <v>--</v>
      </c>
      <c r="X25" s="687" t="str">
        <f t="shared" si="11"/>
        <v>--</v>
      </c>
      <c r="Y25" s="688" t="str">
        <f t="shared" si="12"/>
        <v>--</v>
      </c>
      <c r="Z25" s="689">
        <f aca="true" t="shared" si="15" ref="Z25:Z35">IF(F25="","","SI")</f>
      </c>
      <c r="AA25" s="55">
        <f t="shared" si="13"/>
      </c>
      <c r="AB25" s="3"/>
    </row>
    <row r="26" spans="1:28" ht="16.5" customHeight="1">
      <c r="A26" s="1"/>
      <c r="B26" s="2"/>
      <c r="C26" s="498"/>
      <c r="D26" s="498"/>
      <c r="E26" s="498"/>
      <c r="F26" s="499"/>
      <c r="G26" s="500"/>
      <c r="H26" s="501"/>
      <c r="I26" s="402">
        <f t="shared" si="0"/>
        <v>60.87825</v>
      </c>
      <c r="J26" s="506"/>
      <c r="K26" s="506"/>
      <c r="L26" s="13">
        <f t="shared" si="1"/>
      </c>
      <c r="M26" s="14">
        <f t="shared" si="2"/>
      </c>
      <c r="N26" s="507"/>
      <c r="O26" s="678">
        <f t="shared" si="14"/>
      </c>
      <c r="P26" s="679" t="str">
        <f t="shared" si="3"/>
        <v>--</v>
      </c>
      <c r="Q26" s="680" t="str">
        <f t="shared" si="4"/>
        <v>--</v>
      </c>
      <c r="R26" s="681" t="str">
        <f t="shared" si="5"/>
        <v>--</v>
      </c>
      <c r="S26" s="682" t="str">
        <f t="shared" si="6"/>
        <v>--</v>
      </c>
      <c r="T26" s="683" t="str">
        <f t="shared" si="7"/>
        <v>--</v>
      </c>
      <c r="U26" s="684" t="str">
        <f t="shared" si="8"/>
        <v>--</v>
      </c>
      <c r="V26" s="685" t="str">
        <f t="shared" si="9"/>
        <v>--</v>
      </c>
      <c r="W26" s="686" t="str">
        <f t="shared" si="10"/>
        <v>--</v>
      </c>
      <c r="X26" s="687" t="str">
        <f t="shared" si="11"/>
        <v>--</v>
      </c>
      <c r="Y26" s="688" t="str">
        <f t="shared" si="12"/>
        <v>--</v>
      </c>
      <c r="Z26" s="689">
        <f t="shared" si="15"/>
      </c>
      <c r="AA26" s="55">
        <f t="shared" si="13"/>
      </c>
      <c r="AB26" s="3"/>
    </row>
    <row r="27" spans="1:28" ht="16.5" customHeight="1">
      <c r="A27" s="1"/>
      <c r="B27" s="2"/>
      <c r="C27" s="498"/>
      <c r="D27" s="498"/>
      <c r="E27" s="498"/>
      <c r="F27" s="499"/>
      <c r="G27" s="500"/>
      <c r="H27" s="501"/>
      <c r="I27" s="402">
        <f t="shared" si="0"/>
        <v>60.87825</v>
      </c>
      <c r="J27" s="506"/>
      <c r="K27" s="506"/>
      <c r="L27" s="13">
        <f t="shared" si="1"/>
      </c>
      <c r="M27" s="14">
        <f t="shared" si="2"/>
      </c>
      <c r="N27" s="507"/>
      <c r="O27" s="678">
        <f t="shared" si="14"/>
      </c>
      <c r="P27" s="679" t="str">
        <f t="shared" si="3"/>
        <v>--</v>
      </c>
      <c r="Q27" s="680" t="str">
        <f t="shared" si="4"/>
        <v>--</v>
      </c>
      <c r="R27" s="681" t="str">
        <f t="shared" si="5"/>
        <v>--</v>
      </c>
      <c r="S27" s="682" t="str">
        <f t="shared" si="6"/>
        <v>--</v>
      </c>
      <c r="T27" s="683" t="str">
        <f t="shared" si="7"/>
        <v>--</v>
      </c>
      <c r="U27" s="684" t="str">
        <f t="shared" si="8"/>
        <v>--</v>
      </c>
      <c r="V27" s="685" t="str">
        <f t="shared" si="9"/>
        <v>--</v>
      </c>
      <c r="W27" s="686" t="str">
        <f t="shared" si="10"/>
        <v>--</v>
      </c>
      <c r="X27" s="687" t="str">
        <f t="shared" si="11"/>
        <v>--</v>
      </c>
      <c r="Y27" s="688" t="str">
        <f t="shared" si="12"/>
        <v>--</v>
      </c>
      <c r="Z27" s="689">
        <f t="shared" si="15"/>
      </c>
      <c r="AA27" s="55">
        <f t="shared" si="13"/>
      </c>
      <c r="AB27" s="3"/>
    </row>
    <row r="28" spans="1:28" ht="16.5" customHeight="1">
      <c r="A28" s="1"/>
      <c r="B28" s="2"/>
      <c r="C28" s="498"/>
      <c r="D28" s="498"/>
      <c r="E28" s="498"/>
      <c r="F28" s="499"/>
      <c r="G28" s="500"/>
      <c r="H28" s="501"/>
      <c r="I28" s="402">
        <f t="shared" si="0"/>
        <v>60.87825</v>
      </c>
      <c r="J28" s="506"/>
      <c r="K28" s="506"/>
      <c r="L28" s="13">
        <f t="shared" si="1"/>
      </c>
      <c r="M28" s="14">
        <f t="shared" si="2"/>
      </c>
      <c r="N28" s="507"/>
      <c r="O28" s="678">
        <f t="shared" si="14"/>
      </c>
      <c r="P28" s="679" t="str">
        <f t="shared" si="3"/>
        <v>--</v>
      </c>
      <c r="Q28" s="680" t="str">
        <f t="shared" si="4"/>
        <v>--</v>
      </c>
      <c r="R28" s="681" t="str">
        <f t="shared" si="5"/>
        <v>--</v>
      </c>
      <c r="S28" s="682" t="str">
        <f t="shared" si="6"/>
        <v>--</v>
      </c>
      <c r="T28" s="683" t="str">
        <f t="shared" si="7"/>
        <v>--</v>
      </c>
      <c r="U28" s="684" t="str">
        <f t="shared" si="8"/>
        <v>--</v>
      </c>
      <c r="V28" s="685" t="str">
        <f t="shared" si="9"/>
        <v>--</v>
      </c>
      <c r="W28" s="686" t="str">
        <f t="shared" si="10"/>
        <v>--</v>
      </c>
      <c r="X28" s="687" t="str">
        <f t="shared" si="11"/>
        <v>--</v>
      </c>
      <c r="Y28" s="688" t="str">
        <f t="shared" si="12"/>
        <v>--</v>
      </c>
      <c r="Z28" s="689">
        <f t="shared" si="15"/>
      </c>
      <c r="AA28" s="55">
        <f t="shared" si="13"/>
      </c>
      <c r="AB28" s="3"/>
    </row>
    <row r="29" spans="1:28" ht="16.5" customHeight="1">
      <c r="A29" s="1"/>
      <c r="B29" s="2"/>
      <c r="C29" s="498"/>
      <c r="D29" s="498"/>
      <c r="E29" s="498"/>
      <c r="F29" s="499"/>
      <c r="G29" s="500"/>
      <c r="H29" s="501"/>
      <c r="I29" s="402">
        <f t="shared" si="0"/>
        <v>60.87825</v>
      </c>
      <c r="J29" s="506"/>
      <c r="K29" s="506"/>
      <c r="L29" s="13">
        <f t="shared" si="1"/>
      </c>
      <c r="M29" s="14">
        <f t="shared" si="2"/>
      </c>
      <c r="N29" s="507"/>
      <c r="O29" s="678">
        <f t="shared" si="14"/>
      </c>
      <c r="P29" s="679" t="str">
        <f t="shared" si="3"/>
        <v>--</v>
      </c>
      <c r="Q29" s="680" t="str">
        <f t="shared" si="4"/>
        <v>--</v>
      </c>
      <c r="R29" s="681" t="str">
        <f t="shared" si="5"/>
        <v>--</v>
      </c>
      <c r="S29" s="682" t="str">
        <f t="shared" si="6"/>
        <v>--</v>
      </c>
      <c r="T29" s="683" t="str">
        <f t="shared" si="7"/>
        <v>--</v>
      </c>
      <c r="U29" s="684" t="str">
        <f t="shared" si="8"/>
        <v>--</v>
      </c>
      <c r="V29" s="685" t="str">
        <f t="shared" si="9"/>
        <v>--</v>
      </c>
      <c r="W29" s="686" t="str">
        <f t="shared" si="10"/>
        <v>--</v>
      </c>
      <c r="X29" s="687" t="str">
        <f t="shared" si="11"/>
        <v>--</v>
      </c>
      <c r="Y29" s="688" t="str">
        <f t="shared" si="12"/>
        <v>--</v>
      </c>
      <c r="Z29" s="689">
        <f t="shared" si="15"/>
      </c>
      <c r="AA29" s="55">
        <f t="shared" si="13"/>
      </c>
      <c r="AB29" s="3"/>
    </row>
    <row r="30" spans="1:28" ht="16.5" customHeight="1">
      <c r="A30" s="1"/>
      <c r="B30" s="2"/>
      <c r="C30" s="498"/>
      <c r="D30" s="498"/>
      <c r="E30" s="498"/>
      <c r="F30" s="499"/>
      <c r="G30" s="500"/>
      <c r="H30" s="501"/>
      <c r="I30" s="402">
        <f t="shared" si="0"/>
        <v>60.87825</v>
      </c>
      <c r="J30" s="506"/>
      <c r="K30" s="506"/>
      <c r="L30" s="13">
        <f t="shared" si="1"/>
      </c>
      <c r="M30" s="14">
        <f t="shared" si="2"/>
      </c>
      <c r="N30" s="507"/>
      <c r="O30" s="678">
        <f t="shared" si="14"/>
      </c>
      <c r="P30" s="679" t="str">
        <f t="shared" si="3"/>
        <v>--</v>
      </c>
      <c r="Q30" s="680" t="str">
        <f t="shared" si="4"/>
        <v>--</v>
      </c>
      <c r="R30" s="681" t="str">
        <f t="shared" si="5"/>
        <v>--</v>
      </c>
      <c r="S30" s="682" t="str">
        <f t="shared" si="6"/>
        <v>--</v>
      </c>
      <c r="T30" s="683" t="str">
        <f t="shared" si="7"/>
        <v>--</v>
      </c>
      <c r="U30" s="684" t="str">
        <f t="shared" si="8"/>
        <v>--</v>
      </c>
      <c r="V30" s="685" t="str">
        <f t="shared" si="9"/>
        <v>--</v>
      </c>
      <c r="W30" s="686" t="str">
        <f t="shared" si="10"/>
        <v>--</v>
      </c>
      <c r="X30" s="687" t="str">
        <f t="shared" si="11"/>
        <v>--</v>
      </c>
      <c r="Y30" s="688" t="str">
        <f t="shared" si="12"/>
        <v>--</v>
      </c>
      <c r="Z30" s="689">
        <f t="shared" si="15"/>
      </c>
      <c r="AA30" s="55">
        <f t="shared" si="13"/>
      </c>
      <c r="AB30" s="3"/>
    </row>
    <row r="31" spans="1:28" ht="16.5" customHeight="1">
      <c r="A31" s="1"/>
      <c r="B31" s="2"/>
      <c r="C31" s="498"/>
      <c r="D31" s="498"/>
      <c r="E31" s="498"/>
      <c r="F31" s="499"/>
      <c r="G31" s="500"/>
      <c r="H31" s="501"/>
      <c r="I31" s="402">
        <f t="shared" si="0"/>
        <v>60.87825</v>
      </c>
      <c r="J31" s="506"/>
      <c r="K31" s="506"/>
      <c r="L31" s="13">
        <f t="shared" si="1"/>
      </c>
      <c r="M31" s="14">
        <f t="shared" si="2"/>
      </c>
      <c r="N31" s="507"/>
      <c r="O31" s="678">
        <f t="shared" si="14"/>
      </c>
      <c r="P31" s="679" t="str">
        <f t="shared" si="3"/>
        <v>--</v>
      </c>
      <c r="Q31" s="680" t="str">
        <f t="shared" si="4"/>
        <v>--</v>
      </c>
      <c r="R31" s="681" t="str">
        <f t="shared" si="5"/>
        <v>--</v>
      </c>
      <c r="S31" s="682" t="str">
        <f t="shared" si="6"/>
        <v>--</v>
      </c>
      <c r="T31" s="683" t="str">
        <f t="shared" si="7"/>
        <v>--</v>
      </c>
      <c r="U31" s="684" t="str">
        <f t="shared" si="8"/>
        <v>--</v>
      </c>
      <c r="V31" s="685" t="str">
        <f t="shared" si="9"/>
        <v>--</v>
      </c>
      <c r="W31" s="686" t="str">
        <f t="shared" si="10"/>
        <v>--</v>
      </c>
      <c r="X31" s="687" t="str">
        <f t="shared" si="11"/>
        <v>--</v>
      </c>
      <c r="Y31" s="688" t="str">
        <f t="shared" si="12"/>
        <v>--</v>
      </c>
      <c r="Z31" s="689">
        <f t="shared" si="15"/>
      </c>
      <c r="AA31" s="55">
        <f t="shared" si="13"/>
      </c>
      <c r="AB31" s="3"/>
    </row>
    <row r="32" spans="1:28" ht="16.5" customHeight="1">
      <c r="A32" s="1"/>
      <c r="B32" s="2"/>
      <c r="C32" s="498"/>
      <c r="D32" s="498"/>
      <c r="E32" s="498"/>
      <c r="F32" s="499"/>
      <c r="G32" s="500"/>
      <c r="H32" s="501"/>
      <c r="I32" s="402">
        <f t="shared" si="0"/>
        <v>60.87825</v>
      </c>
      <c r="J32" s="506"/>
      <c r="K32" s="506"/>
      <c r="L32" s="13">
        <f t="shared" si="1"/>
      </c>
      <c r="M32" s="14">
        <f t="shared" si="2"/>
      </c>
      <c r="N32" s="507"/>
      <c r="O32" s="678">
        <f t="shared" si="14"/>
      </c>
      <c r="P32" s="679" t="str">
        <f t="shared" si="3"/>
        <v>--</v>
      </c>
      <c r="Q32" s="680" t="str">
        <f t="shared" si="4"/>
        <v>--</v>
      </c>
      <c r="R32" s="681" t="str">
        <f t="shared" si="5"/>
        <v>--</v>
      </c>
      <c r="S32" s="682" t="str">
        <f t="shared" si="6"/>
        <v>--</v>
      </c>
      <c r="T32" s="683" t="str">
        <f t="shared" si="7"/>
        <v>--</v>
      </c>
      <c r="U32" s="684" t="str">
        <f t="shared" si="8"/>
        <v>--</v>
      </c>
      <c r="V32" s="685" t="str">
        <f t="shared" si="9"/>
        <v>--</v>
      </c>
      <c r="W32" s="686" t="str">
        <f t="shared" si="10"/>
        <v>--</v>
      </c>
      <c r="X32" s="687" t="str">
        <f t="shared" si="11"/>
        <v>--</v>
      </c>
      <c r="Y32" s="688" t="str">
        <f t="shared" si="12"/>
        <v>--</v>
      </c>
      <c r="Z32" s="689">
        <f t="shared" si="15"/>
      </c>
      <c r="AA32" s="55">
        <f t="shared" si="13"/>
      </c>
      <c r="AB32" s="3"/>
    </row>
    <row r="33" spans="1:28" ht="16.5" customHeight="1">
      <c r="A33" s="1"/>
      <c r="B33" s="2"/>
      <c r="C33" s="498"/>
      <c r="D33" s="498"/>
      <c r="E33" s="498"/>
      <c r="F33" s="499"/>
      <c r="G33" s="500"/>
      <c r="H33" s="501"/>
      <c r="I33" s="402">
        <f t="shared" si="0"/>
        <v>60.87825</v>
      </c>
      <c r="J33" s="506"/>
      <c r="K33" s="506"/>
      <c r="L33" s="13">
        <f t="shared" si="1"/>
      </c>
      <c r="M33" s="14">
        <f t="shared" si="2"/>
      </c>
      <c r="N33" s="507"/>
      <c r="O33" s="678">
        <f t="shared" si="14"/>
      </c>
      <c r="P33" s="679" t="str">
        <f t="shared" si="3"/>
        <v>--</v>
      </c>
      <c r="Q33" s="680" t="str">
        <f t="shared" si="4"/>
        <v>--</v>
      </c>
      <c r="R33" s="681" t="str">
        <f t="shared" si="5"/>
        <v>--</v>
      </c>
      <c r="S33" s="682" t="str">
        <f t="shared" si="6"/>
        <v>--</v>
      </c>
      <c r="T33" s="683" t="str">
        <f t="shared" si="7"/>
        <v>--</v>
      </c>
      <c r="U33" s="684" t="str">
        <f t="shared" si="8"/>
        <v>--</v>
      </c>
      <c r="V33" s="685" t="str">
        <f t="shared" si="9"/>
        <v>--</v>
      </c>
      <c r="W33" s="686" t="str">
        <f t="shared" si="10"/>
        <v>--</v>
      </c>
      <c r="X33" s="687" t="str">
        <f t="shared" si="11"/>
        <v>--</v>
      </c>
      <c r="Y33" s="688" t="str">
        <f t="shared" si="12"/>
        <v>--</v>
      </c>
      <c r="Z33" s="689">
        <f t="shared" si="15"/>
      </c>
      <c r="AA33" s="55">
        <f t="shared" si="13"/>
      </c>
      <c r="AB33" s="3"/>
    </row>
    <row r="34" spans="1:28" ht="16.5" customHeight="1">
      <c r="A34" s="1"/>
      <c r="B34" s="2"/>
      <c r="C34" s="498"/>
      <c r="D34" s="498"/>
      <c r="E34" s="498"/>
      <c r="F34" s="499"/>
      <c r="G34" s="500"/>
      <c r="H34" s="501"/>
      <c r="I34" s="402">
        <f t="shared" si="0"/>
        <v>60.87825</v>
      </c>
      <c r="J34" s="506"/>
      <c r="K34" s="506"/>
      <c r="L34" s="13">
        <f t="shared" si="1"/>
      </c>
      <c r="M34" s="14">
        <f t="shared" si="2"/>
      </c>
      <c r="N34" s="507"/>
      <c r="O34" s="678">
        <f t="shared" si="14"/>
      </c>
      <c r="P34" s="679" t="str">
        <f t="shared" si="3"/>
        <v>--</v>
      </c>
      <c r="Q34" s="680" t="str">
        <f t="shared" si="4"/>
        <v>--</v>
      </c>
      <c r="R34" s="681" t="str">
        <f t="shared" si="5"/>
        <v>--</v>
      </c>
      <c r="S34" s="682" t="str">
        <f t="shared" si="6"/>
        <v>--</v>
      </c>
      <c r="T34" s="683" t="str">
        <f t="shared" si="7"/>
        <v>--</v>
      </c>
      <c r="U34" s="684" t="str">
        <f t="shared" si="8"/>
        <v>--</v>
      </c>
      <c r="V34" s="685" t="str">
        <f t="shared" si="9"/>
        <v>--</v>
      </c>
      <c r="W34" s="686" t="str">
        <f t="shared" si="10"/>
        <v>--</v>
      </c>
      <c r="X34" s="687" t="str">
        <f t="shared" si="11"/>
        <v>--</v>
      </c>
      <c r="Y34" s="688" t="str">
        <f t="shared" si="12"/>
        <v>--</v>
      </c>
      <c r="Z34" s="689">
        <f t="shared" si="15"/>
      </c>
      <c r="AA34" s="55">
        <f t="shared" si="13"/>
      </c>
      <c r="AB34" s="3"/>
    </row>
    <row r="35" spans="2:28" ht="16.5" customHeight="1">
      <c r="B35" s="56"/>
      <c r="C35" s="498"/>
      <c r="D35" s="498"/>
      <c r="E35" s="498"/>
      <c r="F35" s="499"/>
      <c r="G35" s="500"/>
      <c r="H35" s="501"/>
      <c r="I35" s="402">
        <f t="shared" si="0"/>
        <v>60.87825</v>
      </c>
      <c r="J35" s="506"/>
      <c r="K35" s="506"/>
      <c r="L35" s="13">
        <f t="shared" si="1"/>
      </c>
      <c r="M35" s="14">
        <f t="shared" si="2"/>
      </c>
      <c r="N35" s="507"/>
      <c r="O35" s="678">
        <f t="shared" si="14"/>
      </c>
      <c r="P35" s="679" t="str">
        <f t="shared" si="3"/>
        <v>--</v>
      </c>
      <c r="Q35" s="680" t="str">
        <f t="shared" si="4"/>
        <v>--</v>
      </c>
      <c r="R35" s="681" t="str">
        <f t="shared" si="5"/>
        <v>--</v>
      </c>
      <c r="S35" s="682" t="str">
        <f t="shared" si="6"/>
        <v>--</v>
      </c>
      <c r="T35" s="683" t="str">
        <f t="shared" si="7"/>
        <v>--</v>
      </c>
      <c r="U35" s="684" t="str">
        <f t="shared" si="8"/>
        <v>--</v>
      </c>
      <c r="V35" s="685" t="str">
        <f t="shared" si="9"/>
        <v>--</v>
      </c>
      <c r="W35" s="686" t="str">
        <f t="shared" si="10"/>
        <v>--</v>
      </c>
      <c r="X35" s="687" t="str">
        <f t="shared" si="11"/>
        <v>--</v>
      </c>
      <c r="Y35" s="688" t="str">
        <f t="shared" si="12"/>
        <v>--</v>
      </c>
      <c r="Z35" s="689">
        <f t="shared" si="15"/>
      </c>
      <c r="AA35" s="55">
        <f t="shared" si="13"/>
      </c>
      <c r="AB35" s="3"/>
    </row>
    <row r="36" spans="2:28" ht="16.5" customHeight="1">
      <c r="B36" s="56"/>
      <c r="C36" s="498"/>
      <c r="D36" s="498"/>
      <c r="E36" s="498"/>
      <c r="F36" s="499"/>
      <c r="G36" s="500"/>
      <c r="H36" s="501"/>
      <c r="I36" s="402">
        <f>IF(H36&gt;25,H36,25)*IF(G36=330,$G$16,$G$17)/100</f>
        <v>60.87825</v>
      </c>
      <c r="J36" s="506"/>
      <c r="K36" s="506"/>
      <c r="L36" s="13">
        <f>IF(F36="","",(K36-J36)*24)</f>
      </c>
      <c r="M36" s="14">
        <f>IF(F36="","",ROUND((K36-J36)*24*60,0))</f>
      </c>
      <c r="N36" s="507"/>
      <c r="O36" s="678">
        <f>IF(F36="","","--")</f>
      </c>
      <c r="P36" s="679" t="str">
        <f>IF(N36="P",ROUND(M36/60,2)*I36*$L$17*0.01,"--")</f>
        <v>--</v>
      </c>
      <c r="Q36" s="680" t="str">
        <f>IF(N36="RP",ROUND(M36/60,2)*I36*$L$17*0.01*O36/100,"--")</f>
        <v>--</v>
      </c>
      <c r="R36" s="681" t="str">
        <f>IF(N36="F",I36*$L$17,"--")</f>
        <v>--</v>
      </c>
      <c r="S36" s="682" t="str">
        <f>IF(AND(M36&gt;10,N36="F"),I36*$L$17*IF(M36&gt;180,3,ROUND(M36/60,2)),"--")</f>
        <v>--</v>
      </c>
      <c r="T36" s="683" t="str">
        <f>IF(AND(M36&gt;180,N36="F"),(ROUND(M36/60,2)-3)*I36*$L$17*0.1,"--")</f>
        <v>--</v>
      </c>
      <c r="U36" s="684" t="str">
        <f>IF(N36="R",I36*$L$17*O36/100,"--")</f>
        <v>--</v>
      </c>
      <c r="V36" s="685" t="str">
        <f>IF(AND(M36&gt;10,N36="R"),I36*$L$17*O36/100*IF(M36&gt;180,3,ROUND(M36/60,2)),"--")</f>
        <v>--</v>
      </c>
      <c r="W36" s="686" t="str">
        <f>IF(AND(M36&gt;180,N36="R"),(ROUND(M36/60,2)-3)*O36/100*I36*$L$17*0.1,"--")</f>
        <v>--</v>
      </c>
      <c r="X36" s="687" t="str">
        <f>IF(N36="RF",ROUND(M36/60,2)*I36*$L$17*0.1,"--")</f>
        <v>--</v>
      </c>
      <c r="Y36" s="688" t="str">
        <f>IF(N36="RR",ROUND(M36/60,2)*O36/100*I36*$L$17*0.1,"--")</f>
        <v>--</v>
      </c>
      <c r="Z36" s="689">
        <f>IF(F36="","","SI")</f>
      </c>
      <c r="AA36" s="55">
        <f>IF(F36="","",SUM(P36:Y36)*IF(Z36="SI",1,2))</f>
      </c>
      <c r="AB36" s="3"/>
    </row>
    <row r="37" spans="2:28" ht="16.5" customHeight="1">
      <c r="B37" s="56"/>
      <c r="C37" s="498"/>
      <c r="D37" s="498"/>
      <c r="E37" s="498"/>
      <c r="F37" s="499"/>
      <c r="G37" s="500"/>
      <c r="H37" s="501"/>
      <c r="I37" s="402">
        <f>IF(H37&gt;25,H37,25)*IF(G37=330,$G$16,$G$17)/100</f>
        <v>60.87825</v>
      </c>
      <c r="J37" s="506"/>
      <c r="K37" s="506"/>
      <c r="L37" s="13">
        <f>IF(F37="","",(K37-J37)*24)</f>
      </c>
      <c r="M37" s="14">
        <f>IF(F37="","",ROUND((K37-J37)*24*60,0))</f>
      </c>
      <c r="N37" s="507"/>
      <c r="O37" s="678">
        <f>IF(F37="","","--")</f>
      </c>
      <c r="P37" s="679" t="str">
        <f>IF(N37="P",ROUND(M37/60,2)*I37*$L$17*0.01,"--")</f>
        <v>--</v>
      </c>
      <c r="Q37" s="680" t="str">
        <f>IF(N37="RP",ROUND(M37/60,2)*I37*$L$17*0.01*O37/100,"--")</f>
        <v>--</v>
      </c>
      <c r="R37" s="681" t="str">
        <f>IF(N37="F",I37*$L$17,"--")</f>
        <v>--</v>
      </c>
      <c r="S37" s="682" t="str">
        <f>IF(AND(M37&gt;10,N37="F"),I37*$L$17*IF(M37&gt;180,3,ROUND(M37/60,2)),"--")</f>
        <v>--</v>
      </c>
      <c r="T37" s="683" t="str">
        <f>IF(AND(M37&gt;180,N37="F"),(ROUND(M37/60,2)-3)*I37*$L$17*0.1,"--")</f>
        <v>--</v>
      </c>
      <c r="U37" s="684" t="str">
        <f>IF(N37="R",I37*$L$17*O37/100,"--")</f>
        <v>--</v>
      </c>
      <c r="V37" s="685" t="str">
        <f>IF(AND(M37&gt;10,N37="R"),I37*$L$17*O37/100*IF(M37&gt;180,3,ROUND(M37/60,2)),"--")</f>
        <v>--</v>
      </c>
      <c r="W37" s="686" t="str">
        <f>IF(AND(M37&gt;180,N37="R"),(ROUND(M37/60,2)-3)*O37/100*I37*$L$17*0.1,"--")</f>
        <v>--</v>
      </c>
      <c r="X37" s="687" t="str">
        <f>IF(N37="RF",ROUND(M37/60,2)*I37*$L$17*0.1,"--")</f>
        <v>--</v>
      </c>
      <c r="Y37" s="688" t="str">
        <f>IF(N37="RR",ROUND(M37/60,2)*O37/100*I37*$L$17*0.1,"--")</f>
        <v>--</v>
      </c>
      <c r="Z37" s="689">
        <f>IF(F37="","","SI")</f>
      </c>
      <c r="AA37" s="55">
        <f>IF(F37="","",SUM(P37:Y37)*IF(Z37="SI",1,2))</f>
      </c>
      <c r="AB37" s="3"/>
    </row>
    <row r="38" spans="2:28" ht="16.5" customHeight="1">
      <c r="B38" s="56"/>
      <c r="C38" s="498"/>
      <c r="D38" s="498"/>
      <c r="E38" s="498"/>
      <c r="F38" s="499"/>
      <c r="G38" s="500"/>
      <c r="H38" s="501"/>
      <c r="I38" s="402">
        <f>IF(H38&gt;25,H38,25)*IF(G38=330,$G$16,$G$17)/100</f>
        <v>60.87825</v>
      </c>
      <c r="J38" s="506"/>
      <c r="K38" s="506"/>
      <c r="L38" s="13">
        <f>IF(F38="","",(K38-J38)*24)</f>
      </c>
      <c r="M38" s="14">
        <f>IF(F38="","",ROUND((K38-J38)*24*60,0))</f>
      </c>
      <c r="N38" s="507"/>
      <c r="O38" s="678">
        <f>IF(F38="","","--")</f>
      </c>
      <c r="P38" s="679" t="str">
        <f>IF(N38="P",ROUND(M38/60,2)*I38*$L$17*0.01,"--")</f>
        <v>--</v>
      </c>
      <c r="Q38" s="680" t="str">
        <f>IF(N38="RP",ROUND(M38/60,2)*I38*$L$17*0.01*O38/100,"--")</f>
        <v>--</v>
      </c>
      <c r="R38" s="681" t="str">
        <f>IF(N38="F",I38*$L$17,"--")</f>
        <v>--</v>
      </c>
      <c r="S38" s="682" t="str">
        <f>IF(AND(M38&gt;10,N38="F"),I38*$L$17*IF(M38&gt;180,3,ROUND(M38/60,2)),"--")</f>
        <v>--</v>
      </c>
      <c r="T38" s="683" t="str">
        <f>IF(AND(M38&gt;180,N38="F"),(ROUND(M38/60,2)-3)*I38*$L$17*0.1,"--")</f>
        <v>--</v>
      </c>
      <c r="U38" s="684" t="str">
        <f>IF(N38="R",I38*$L$17*O38/100,"--")</f>
        <v>--</v>
      </c>
      <c r="V38" s="685" t="str">
        <f>IF(AND(M38&gt;10,N38="R"),I38*$L$17*O38/100*IF(M38&gt;180,3,ROUND(M38/60,2)),"--")</f>
        <v>--</v>
      </c>
      <c r="W38" s="686" t="str">
        <f>IF(AND(M38&gt;180,N38="R"),(ROUND(M38/60,2)-3)*O38/100*I38*$L$17*0.1,"--")</f>
        <v>--</v>
      </c>
      <c r="X38" s="687" t="str">
        <f>IF(N38="RF",ROUND(M38/60,2)*I38*$L$17*0.1,"--")</f>
        <v>--</v>
      </c>
      <c r="Y38" s="688" t="str">
        <f>IF(N38="RR",ROUND(M38/60,2)*O38/100*I38*$L$17*0.1,"--")</f>
        <v>--</v>
      </c>
      <c r="Z38" s="689">
        <f>IF(F38="","","SI")</f>
      </c>
      <c r="AA38" s="55">
        <f>IF(F38="","",SUM(P38:Y38)*IF(Z38="SI",1,2))</f>
      </c>
      <c r="AB38" s="3"/>
    </row>
    <row r="39" spans="1:28" ht="16.5" customHeight="1" thickBot="1">
      <c r="A39" s="1"/>
      <c r="B39" s="2"/>
      <c r="C39" s="502"/>
      <c r="D39" s="502"/>
      <c r="E39" s="502"/>
      <c r="F39" s="503"/>
      <c r="G39" s="504"/>
      <c r="H39" s="505"/>
      <c r="I39" s="403"/>
      <c r="J39" s="505"/>
      <c r="K39" s="505"/>
      <c r="L39" s="15"/>
      <c r="M39" s="15"/>
      <c r="N39" s="505"/>
      <c r="O39" s="508"/>
      <c r="P39" s="509"/>
      <c r="Q39" s="510"/>
      <c r="R39" s="511"/>
      <c r="S39" s="512"/>
      <c r="T39" s="513"/>
      <c r="U39" s="514"/>
      <c r="V39" s="515"/>
      <c r="W39" s="516"/>
      <c r="X39" s="517"/>
      <c r="Y39" s="518"/>
      <c r="Z39" s="519"/>
      <c r="AA39" s="57"/>
      <c r="AB39" s="3"/>
    </row>
    <row r="40" spans="1:28" ht="16.5" customHeight="1" thickBot="1" thickTop="1">
      <c r="A40" s="1"/>
      <c r="B40" s="2"/>
      <c r="C40" s="239" t="s">
        <v>63</v>
      </c>
      <c r="D40" s="695"/>
      <c r="E40" s="673"/>
      <c r="F40" s="240"/>
      <c r="G40" s="16"/>
      <c r="H40" s="17"/>
      <c r="I40" s="58"/>
      <c r="J40" s="58"/>
      <c r="K40" s="58"/>
      <c r="L40" s="58"/>
      <c r="M40" s="58"/>
      <c r="N40" s="58"/>
      <c r="O40" s="59"/>
      <c r="P40" s="326">
        <f aca="true" t="shared" si="16" ref="P40:Y40">ROUND(SUM(P20:P39),2)</f>
        <v>0</v>
      </c>
      <c r="Q40" s="327">
        <f t="shared" si="16"/>
        <v>0</v>
      </c>
      <c r="R40" s="328">
        <f t="shared" si="16"/>
        <v>61005.92</v>
      </c>
      <c r="S40" s="328">
        <f t="shared" si="16"/>
        <v>80840.07</v>
      </c>
      <c r="T40" s="329">
        <f t="shared" si="16"/>
        <v>20351.47</v>
      </c>
      <c r="U40" s="330">
        <f t="shared" si="16"/>
        <v>0</v>
      </c>
      <c r="V40" s="330">
        <f t="shared" si="16"/>
        <v>0</v>
      </c>
      <c r="W40" s="331">
        <f t="shared" si="16"/>
        <v>0</v>
      </c>
      <c r="X40" s="332">
        <f t="shared" si="16"/>
        <v>0</v>
      </c>
      <c r="Y40" s="333">
        <f t="shared" si="16"/>
        <v>0</v>
      </c>
      <c r="Z40" s="60"/>
      <c r="AA40" s="677">
        <f>ROUND(SUM(AA20:AA39),2)</f>
        <v>162197.46</v>
      </c>
      <c r="AB40" s="61"/>
    </row>
    <row r="41" spans="1:28" s="254" customFormat="1" ht="9.75" thickTop="1">
      <c r="A41" s="243"/>
      <c r="B41" s="244"/>
      <c r="C41" s="241"/>
      <c r="D41" s="241"/>
      <c r="E41" s="241"/>
      <c r="F41" s="242"/>
      <c r="G41" s="245"/>
      <c r="H41" s="246"/>
      <c r="I41" s="247"/>
      <c r="J41" s="247"/>
      <c r="K41" s="247"/>
      <c r="L41" s="247"/>
      <c r="M41" s="247"/>
      <c r="N41" s="247"/>
      <c r="O41" s="248"/>
      <c r="P41" s="249"/>
      <c r="Q41" s="249"/>
      <c r="R41" s="250"/>
      <c r="S41" s="250"/>
      <c r="T41" s="251"/>
      <c r="U41" s="251"/>
      <c r="V41" s="251"/>
      <c r="W41" s="251"/>
      <c r="X41" s="251"/>
      <c r="Y41" s="251"/>
      <c r="Z41" s="251"/>
      <c r="AA41" s="252"/>
      <c r="AB41" s="253"/>
    </row>
    <row r="42" spans="1:28" s="10" customFormat="1" ht="16.5" customHeight="1" thickBot="1">
      <c r="A42" s="8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</row>
    <row r="43" spans="1:28" ht="13.5" thickTop="1">
      <c r="A43" s="1"/>
      <c r="B43" s="1"/>
      <c r="AB43" s="1"/>
    </row>
    <row r="88" spans="1:2" ht="12.75">
      <c r="A88" s="1"/>
      <c r="B88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A22" sqref="A22:IV24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09"/>
    </row>
    <row r="2" spans="2:28" s="109" customFormat="1" ht="26.25">
      <c r="B2" s="110" t="str">
        <f>+'TOT-0315'!B2</f>
        <v>ANEXO III al Memorándum  D.T.E.E.  N°  326 / 2016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76" t="s">
        <v>16</v>
      </c>
      <c r="C4" s="675"/>
      <c r="D4" s="675"/>
    </row>
    <row r="5" spans="1:4" s="112" customFormat="1" ht="11.25">
      <c r="A5" s="676" t="s">
        <v>130</v>
      </c>
      <c r="C5" s="675"/>
      <c r="D5" s="675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39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127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+'TOT-0315'!B14</f>
        <v>Desde el 01 al 31 de marzo de 2015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497" t="s">
        <v>42</v>
      </c>
      <c r="G15" s="711"/>
      <c r="H15" s="712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497" t="s">
        <v>43</v>
      </c>
      <c r="G16" s="711">
        <v>69.722</v>
      </c>
      <c r="H16" s="713"/>
      <c r="I16" s="91"/>
      <c r="K16" s="97" t="s">
        <v>44</v>
      </c>
      <c r="L16" s="98">
        <f>30*'TOT-0315'!B13</f>
        <v>30</v>
      </c>
      <c r="M16" s="236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65"/>
      <c r="G17" s="666"/>
      <c r="H17" s="667"/>
      <c r="I17" s="91"/>
      <c r="K17" s="97"/>
      <c r="L17" s="98"/>
      <c r="M17" s="236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01" customFormat="1" ht="15" customHeight="1" thickBot="1">
      <c r="A18" s="697"/>
      <c r="B18" s="698"/>
      <c r="C18" s="699">
        <v>3</v>
      </c>
      <c r="D18" s="699">
        <v>4</v>
      </c>
      <c r="E18" s="699">
        <v>5</v>
      </c>
      <c r="F18" s="699">
        <v>6</v>
      </c>
      <c r="G18" s="699">
        <v>7</v>
      </c>
      <c r="H18" s="699">
        <v>8</v>
      </c>
      <c r="I18" s="699">
        <v>9</v>
      </c>
      <c r="J18" s="699">
        <v>10</v>
      </c>
      <c r="K18" s="699">
        <v>11</v>
      </c>
      <c r="L18" s="699">
        <v>12</v>
      </c>
      <c r="M18" s="699">
        <v>13</v>
      </c>
      <c r="N18" s="699">
        <v>14</v>
      </c>
      <c r="O18" s="699">
        <v>15</v>
      </c>
      <c r="P18" s="699">
        <v>16</v>
      </c>
      <c r="Q18" s="699">
        <v>17</v>
      </c>
      <c r="R18" s="699">
        <v>18</v>
      </c>
      <c r="S18" s="699">
        <v>19</v>
      </c>
      <c r="T18" s="699">
        <v>20</v>
      </c>
      <c r="U18" s="699">
        <v>21</v>
      </c>
      <c r="V18" s="699">
        <v>22</v>
      </c>
      <c r="W18" s="699">
        <v>23</v>
      </c>
      <c r="X18" s="699">
        <v>24</v>
      </c>
      <c r="Y18" s="699">
        <v>25</v>
      </c>
      <c r="Z18" s="699">
        <v>26</v>
      </c>
      <c r="AA18" s="699">
        <v>27</v>
      </c>
      <c r="AB18" s="700"/>
    </row>
    <row r="19" spans="1:28" s="108" customFormat="1" ht="33.75" customHeight="1" thickBot="1" thickTop="1">
      <c r="A19" s="99"/>
      <c r="B19" s="100"/>
      <c r="C19" s="101" t="s">
        <v>45</v>
      </c>
      <c r="D19" s="101" t="s">
        <v>129</v>
      </c>
      <c r="E19" s="101" t="s">
        <v>128</v>
      </c>
      <c r="F19" s="102" t="s">
        <v>19</v>
      </c>
      <c r="G19" s="103" t="s">
        <v>46</v>
      </c>
      <c r="H19" s="104" t="s">
        <v>47</v>
      </c>
      <c r="I19" s="264" t="s">
        <v>48</v>
      </c>
      <c r="J19" s="102" t="s">
        <v>49</v>
      </c>
      <c r="K19" s="102" t="s">
        <v>50</v>
      </c>
      <c r="L19" s="103" t="s">
        <v>51</v>
      </c>
      <c r="M19" s="103" t="s">
        <v>52</v>
      </c>
      <c r="N19" s="105" t="s">
        <v>53</v>
      </c>
      <c r="O19" s="103" t="s">
        <v>54</v>
      </c>
      <c r="P19" s="293" t="s">
        <v>55</v>
      </c>
      <c r="Q19" s="296" t="s">
        <v>56</v>
      </c>
      <c r="R19" s="299" t="s">
        <v>57</v>
      </c>
      <c r="S19" s="300"/>
      <c r="T19" s="301"/>
      <c r="U19" s="310" t="s">
        <v>58</v>
      </c>
      <c r="V19" s="311"/>
      <c r="W19" s="312"/>
      <c r="X19" s="320" t="s">
        <v>59</v>
      </c>
      <c r="Y19" s="323" t="s">
        <v>60</v>
      </c>
      <c r="Z19" s="106" t="s">
        <v>61</v>
      </c>
      <c r="AA19" s="106" t="s">
        <v>62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5"/>
      <c r="J20" s="53"/>
      <c r="K20" s="54"/>
      <c r="L20" s="54"/>
      <c r="M20" s="54"/>
      <c r="N20" s="52"/>
      <c r="O20" s="53"/>
      <c r="P20" s="294"/>
      <c r="Q20" s="297"/>
      <c r="R20" s="302"/>
      <c r="S20" s="303"/>
      <c r="T20" s="304"/>
      <c r="U20" s="313"/>
      <c r="V20" s="314"/>
      <c r="W20" s="315"/>
      <c r="X20" s="321"/>
      <c r="Y20" s="324"/>
      <c r="Z20" s="308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66"/>
      <c r="J21" s="51"/>
      <c r="K21" s="90"/>
      <c r="L21" s="90"/>
      <c r="M21" s="90"/>
      <c r="N21" s="88"/>
      <c r="O21" s="51"/>
      <c r="P21" s="295"/>
      <c r="Q21" s="298"/>
      <c r="R21" s="305"/>
      <c r="S21" s="306"/>
      <c r="T21" s="307"/>
      <c r="U21" s="316"/>
      <c r="V21" s="317"/>
      <c r="W21" s="318"/>
      <c r="X21" s="322"/>
      <c r="Y21" s="325"/>
      <c r="Z21" s="309"/>
      <c r="AA21" s="90"/>
      <c r="AB21" s="3"/>
    </row>
    <row r="22" spans="1:28" ht="16.5" customHeight="1">
      <c r="A22" s="1"/>
      <c r="B22" s="2"/>
      <c r="C22" s="498">
        <v>4</v>
      </c>
      <c r="D22" s="498">
        <v>286381</v>
      </c>
      <c r="E22" s="498">
        <v>1634</v>
      </c>
      <c r="F22" s="499" t="s">
        <v>142</v>
      </c>
      <c r="G22" s="500">
        <v>132</v>
      </c>
      <c r="H22" s="501">
        <v>23</v>
      </c>
      <c r="I22" s="267">
        <f>IF(H22&gt;25,H22,25)*IF(G22=330,$G$15,$G$16)/100</f>
        <v>17.4305</v>
      </c>
      <c r="J22" s="506">
        <v>42076.28402777778</v>
      </c>
      <c r="K22" s="506">
        <v>42076.41527777778</v>
      </c>
      <c r="L22" s="13">
        <f aca="true" t="shared" si="0" ref="L22:L41">IF(F22="","",(K22-J22)*24)</f>
        <v>3.1499999999650754</v>
      </c>
      <c r="M22" s="14">
        <f aca="true" t="shared" si="1" ref="M22:M41">IF(F22="","",ROUND((K22-J22)*24*60,0))</f>
        <v>189</v>
      </c>
      <c r="N22" s="507" t="s">
        <v>139</v>
      </c>
      <c r="O22" s="694" t="s">
        <v>137</v>
      </c>
      <c r="P22" s="679" t="str">
        <f aca="true" t="shared" si="2" ref="P22:P41">IF(N22="P",ROUND(M22/60,2)*I22*$L$16*0.01,"--")</f>
        <v>--</v>
      </c>
      <c r="Q22" s="680" t="str">
        <f>IF(N22="RP",ROUND(M22/60,2)*I22*$L$16*0.01*O22/100,"--")</f>
        <v>--</v>
      </c>
      <c r="R22" s="681">
        <f aca="true" t="shared" si="3" ref="R22:R41">IF(N22="F",I22*$L$16,"--")</f>
        <v>522.915</v>
      </c>
      <c r="S22" s="682">
        <f aca="true" t="shared" si="4" ref="S22:S41">IF(AND(M22&gt;10,N22="F"),I22*$L$16*IF(M22&gt;180,3,ROUND(M22/60,2)),"--")</f>
        <v>1568.745</v>
      </c>
      <c r="T22" s="683">
        <f aca="true" t="shared" si="5" ref="T22:T41">IF(AND(M22&gt;180,N22="F"),(ROUND(M22/60,2)-3)*I22*$L$16*0.1,"--")</f>
        <v>7.843724999999996</v>
      </c>
      <c r="U22" s="684" t="str">
        <f aca="true" t="shared" si="6" ref="U22:U41">IF(N22="R",I22*$L$16*O22/100,"--")</f>
        <v>--</v>
      </c>
      <c r="V22" s="685" t="str">
        <f aca="true" t="shared" si="7" ref="V22:V41">IF(AND(M22&gt;10,N22="R"),I22*$L$16*O22/100*IF(M22&gt;180,3,ROUND(M22/60,2)),"--")</f>
        <v>--</v>
      </c>
      <c r="W22" s="686" t="str">
        <f aca="true" t="shared" si="8" ref="W22:W41">IF(AND(M22&gt;180,N22="R"),(ROUND(M22/60,2)-3)*O22/100*I22*$L$16*0.1,"--")</f>
        <v>--</v>
      </c>
      <c r="X22" s="687" t="str">
        <f aca="true" t="shared" si="9" ref="X22:X41">IF(N22="RF",ROUND(M22/60,2)*I22*$L$16*0.1,"--")</f>
        <v>--</v>
      </c>
      <c r="Y22" s="688" t="str">
        <f aca="true" t="shared" si="10" ref="Y22:Y41">IF(N22="RR",ROUND(M22/60,2)*O22/100*I22*$L$16*0.1,"--")</f>
        <v>--</v>
      </c>
      <c r="Z22" s="689" t="s">
        <v>136</v>
      </c>
      <c r="AA22" s="55">
        <f aca="true" t="shared" si="11" ref="AA22:AA41">IF(F22="","",SUM(P22:Y22)*IF(Z22="SI",1,2))</f>
        <v>2099.503725</v>
      </c>
      <c r="AB22" s="3"/>
    </row>
    <row r="23" spans="1:28" ht="16.5" customHeight="1">
      <c r="A23" s="1"/>
      <c r="B23" s="2"/>
      <c r="C23" s="498">
        <v>5</v>
      </c>
      <c r="D23" s="498">
        <v>286382</v>
      </c>
      <c r="E23" s="498">
        <v>1635</v>
      </c>
      <c r="F23" s="499" t="s">
        <v>143</v>
      </c>
      <c r="G23" s="500">
        <v>132</v>
      </c>
      <c r="H23" s="501">
        <v>162.60000610351562</v>
      </c>
      <c r="I23" s="267">
        <f aca="true" t="shared" si="12" ref="I23:I38">IF(H23&gt;25,H23,25)*IF(G23=330,$G$15,$G$16)/100</f>
        <v>113.36797625549316</v>
      </c>
      <c r="J23" s="506">
        <v>42076.28402777778</v>
      </c>
      <c r="K23" s="506">
        <v>42076.41527777778</v>
      </c>
      <c r="L23" s="13">
        <f t="shared" si="0"/>
        <v>3.1499999999650754</v>
      </c>
      <c r="M23" s="14">
        <f t="shared" si="1"/>
        <v>189</v>
      </c>
      <c r="N23" s="507" t="s">
        <v>139</v>
      </c>
      <c r="O23" s="694" t="s">
        <v>137</v>
      </c>
      <c r="P23" s="679" t="str">
        <f t="shared" si="2"/>
        <v>--</v>
      </c>
      <c r="Q23" s="680" t="str">
        <f aca="true" t="shared" si="13" ref="Q23:Q38">IF(N23="RP",ROUND(M23/60,2)*I23*$L$16*0.01*O23/100,"--")</f>
        <v>--</v>
      </c>
      <c r="R23" s="681">
        <f t="shared" si="3"/>
        <v>3401.0392876647948</v>
      </c>
      <c r="S23" s="682">
        <f t="shared" si="4"/>
        <v>10203.117862994384</v>
      </c>
      <c r="T23" s="683">
        <f t="shared" si="5"/>
        <v>51.01558931497189</v>
      </c>
      <c r="U23" s="684" t="str">
        <f t="shared" si="6"/>
        <v>--</v>
      </c>
      <c r="V23" s="685" t="str">
        <f t="shared" si="7"/>
        <v>--</v>
      </c>
      <c r="W23" s="686" t="str">
        <f t="shared" si="8"/>
        <v>--</v>
      </c>
      <c r="X23" s="687" t="str">
        <f t="shared" si="9"/>
        <v>--</v>
      </c>
      <c r="Y23" s="688" t="str">
        <f t="shared" si="10"/>
        <v>--</v>
      </c>
      <c r="Z23" s="689" t="s">
        <v>136</v>
      </c>
      <c r="AA23" s="55">
        <f t="shared" si="11"/>
        <v>13655.17273997415</v>
      </c>
      <c r="AB23" s="3"/>
    </row>
    <row r="24" spans="1:28" ht="16.5" customHeight="1">
      <c r="A24" s="1"/>
      <c r="B24" s="2"/>
      <c r="C24" s="498">
        <v>6</v>
      </c>
      <c r="D24" s="498">
        <v>286886</v>
      </c>
      <c r="E24" s="498">
        <v>1632</v>
      </c>
      <c r="F24" s="499" t="s">
        <v>4</v>
      </c>
      <c r="G24" s="500">
        <v>132</v>
      </c>
      <c r="H24" s="501">
        <v>31</v>
      </c>
      <c r="I24" s="267">
        <f t="shared" si="12"/>
        <v>21.613819999999997</v>
      </c>
      <c r="J24" s="506">
        <v>42089.40625</v>
      </c>
      <c r="K24" s="506">
        <v>42089.57986111111</v>
      </c>
      <c r="L24" s="13">
        <f t="shared" si="0"/>
        <v>4.166666666627862</v>
      </c>
      <c r="M24" s="14">
        <f t="shared" si="1"/>
        <v>250</v>
      </c>
      <c r="N24" s="507" t="s">
        <v>135</v>
      </c>
      <c r="O24" s="694" t="s">
        <v>137</v>
      </c>
      <c r="P24" s="679">
        <f t="shared" si="2"/>
        <v>27.038888819999997</v>
      </c>
      <c r="Q24" s="680" t="str">
        <f t="shared" si="13"/>
        <v>--</v>
      </c>
      <c r="R24" s="681" t="str">
        <f t="shared" si="3"/>
        <v>--</v>
      </c>
      <c r="S24" s="682" t="str">
        <f t="shared" si="4"/>
        <v>--</v>
      </c>
      <c r="T24" s="683" t="str">
        <f t="shared" si="5"/>
        <v>--</v>
      </c>
      <c r="U24" s="684" t="str">
        <f t="shared" si="6"/>
        <v>--</v>
      </c>
      <c r="V24" s="685" t="str">
        <f t="shared" si="7"/>
        <v>--</v>
      </c>
      <c r="W24" s="686" t="str">
        <f t="shared" si="8"/>
        <v>--</v>
      </c>
      <c r="X24" s="687" t="str">
        <f t="shared" si="9"/>
        <v>--</v>
      </c>
      <c r="Y24" s="688" t="str">
        <f t="shared" si="10"/>
        <v>--</v>
      </c>
      <c r="Z24" s="689" t="s">
        <v>136</v>
      </c>
      <c r="AA24" s="55">
        <f t="shared" si="11"/>
        <v>27.038888819999997</v>
      </c>
      <c r="AB24" s="3"/>
    </row>
    <row r="25" spans="1:28" ht="16.5" customHeight="1">
      <c r="A25" s="1"/>
      <c r="B25" s="2"/>
      <c r="C25" s="498"/>
      <c r="D25" s="498"/>
      <c r="E25" s="498"/>
      <c r="F25" s="499"/>
      <c r="G25" s="500"/>
      <c r="H25" s="501"/>
      <c r="I25" s="267">
        <f t="shared" si="12"/>
        <v>17.4305</v>
      </c>
      <c r="J25" s="506"/>
      <c r="K25" s="506"/>
      <c r="L25" s="13">
        <f t="shared" si="0"/>
      </c>
      <c r="M25" s="14">
        <f t="shared" si="1"/>
      </c>
      <c r="N25" s="507"/>
      <c r="O25" s="678">
        <f aca="true" t="shared" si="14" ref="O25:O41">IF(F25="","","--")</f>
      </c>
      <c r="P25" s="679" t="str">
        <f t="shared" si="2"/>
        <v>--</v>
      </c>
      <c r="Q25" s="680" t="str">
        <f t="shared" si="13"/>
        <v>--</v>
      </c>
      <c r="R25" s="681" t="str">
        <f t="shared" si="3"/>
        <v>--</v>
      </c>
      <c r="S25" s="682" t="str">
        <f t="shared" si="4"/>
        <v>--</v>
      </c>
      <c r="T25" s="683" t="str">
        <f t="shared" si="5"/>
        <v>--</v>
      </c>
      <c r="U25" s="684" t="str">
        <f t="shared" si="6"/>
        <v>--</v>
      </c>
      <c r="V25" s="685" t="str">
        <f t="shared" si="7"/>
        <v>--</v>
      </c>
      <c r="W25" s="686" t="str">
        <f t="shared" si="8"/>
        <v>--</v>
      </c>
      <c r="X25" s="687" t="str">
        <f t="shared" si="9"/>
        <v>--</v>
      </c>
      <c r="Y25" s="688" t="str">
        <f t="shared" si="10"/>
        <v>--</v>
      </c>
      <c r="Z25" s="689">
        <f aca="true" t="shared" si="15" ref="Z25:Z41">IF(F25="","","SI")</f>
      </c>
      <c r="AA25" s="55">
        <f t="shared" si="11"/>
      </c>
      <c r="AB25" s="3"/>
    </row>
    <row r="26" spans="1:28" ht="16.5" customHeight="1">
      <c r="A26" s="1"/>
      <c r="B26" s="2"/>
      <c r="C26" s="498"/>
      <c r="D26" s="498"/>
      <c r="E26" s="498"/>
      <c r="F26" s="499"/>
      <c r="G26" s="500"/>
      <c r="H26" s="501"/>
      <c r="I26" s="267">
        <f t="shared" si="12"/>
        <v>17.4305</v>
      </c>
      <c r="J26" s="506"/>
      <c r="K26" s="506"/>
      <c r="L26" s="13">
        <f t="shared" si="0"/>
      </c>
      <c r="M26" s="14">
        <f t="shared" si="1"/>
      </c>
      <c r="N26" s="507"/>
      <c r="O26" s="678">
        <f t="shared" si="14"/>
      </c>
      <c r="P26" s="679" t="str">
        <f t="shared" si="2"/>
        <v>--</v>
      </c>
      <c r="Q26" s="680" t="str">
        <f t="shared" si="13"/>
        <v>--</v>
      </c>
      <c r="R26" s="681" t="str">
        <f t="shared" si="3"/>
        <v>--</v>
      </c>
      <c r="S26" s="682" t="str">
        <f t="shared" si="4"/>
        <v>--</v>
      </c>
      <c r="T26" s="683" t="str">
        <f t="shared" si="5"/>
        <v>--</v>
      </c>
      <c r="U26" s="684" t="str">
        <f t="shared" si="6"/>
        <v>--</v>
      </c>
      <c r="V26" s="685" t="str">
        <f t="shared" si="7"/>
        <v>--</v>
      </c>
      <c r="W26" s="686" t="str">
        <f t="shared" si="8"/>
        <v>--</v>
      </c>
      <c r="X26" s="687" t="str">
        <f t="shared" si="9"/>
        <v>--</v>
      </c>
      <c r="Y26" s="688" t="str">
        <f t="shared" si="10"/>
        <v>--</v>
      </c>
      <c r="Z26" s="689">
        <f t="shared" si="15"/>
      </c>
      <c r="AA26" s="55">
        <f t="shared" si="11"/>
      </c>
      <c r="AB26" s="3"/>
    </row>
    <row r="27" spans="1:28" ht="16.5" customHeight="1">
      <c r="A27" s="1"/>
      <c r="B27" s="2"/>
      <c r="C27" s="498"/>
      <c r="D27" s="498"/>
      <c r="E27" s="498"/>
      <c r="F27" s="499"/>
      <c r="G27" s="500"/>
      <c r="H27" s="501"/>
      <c r="I27" s="267">
        <f t="shared" si="12"/>
        <v>17.4305</v>
      </c>
      <c r="J27" s="506"/>
      <c r="K27" s="506"/>
      <c r="L27" s="13">
        <f t="shared" si="0"/>
      </c>
      <c r="M27" s="14">
        <f t="shared" si="1"/>
      </c>
      <c r="N27" s="507"/>
      <c r="O27" s="678">
        <f t="shared" si="14"/>
      </c>
      <c r="P27" s="679" t="str">
        <f t="shared" si="2"/>
        <v>--</v>
      </c>
      <c r="Q27" s="680" t="str">
        <f t="shared" si="13"/>
        <v>--</v>
      </c>
      <c r="R27" s="681" t="str">
        <f t="shared" si="3"/>
        <v>--</v>
      </c>
      <c r="S27" s="682" t="str">
        <f t="shared" si="4"/>
        <v>--</v>
      </c>
      <c r="T27" s="683" t="str">
        <f t="shared" si="5"/>
        <v>--</v>
      </c>
      <c r="U27" s="684" t="str">
        <f t="shared" si="6"/>
        <v>--</v>
      </c>
      <c r="V27" s="685" t="str">
        <f t="shared" si="7"/>
        <v>--</v>
      </c>
      <c r="W27" s="686" t="str">
        <f t="shared" si="8"/>
        <v>--</v>
      </c>
      <c r="X27" s="687" t="str">
        <f t="shared" si="9"/>
        <v>--</v>
      </c>
      <c r="Y27" s="688" t="str">
        <f t="shared" si="10"/>
        <v>--</v>
      </c>
      <c r="Z27" s="689">
        <f t="shared" si="15"/>
      </c>
      <c r="AA27" s="55">
        <f t="shared" si="11"/>
      </c>
      <c r="AB27" s="3"/>
    </row>
    <row r="28" spans="1:28" ht="16.5" customHeight="1">
      <c r="A28" s="1"/>
      <c r="B28" s="2"/>
      <c r="C28" s="498"/>
      <c r="D28" s="498"/>
      <c r="E28" s="498"/>
      <c r="F28" s="499"/>
      <c r="G28" s="500"/>
      <c r="H28" s="501"/>
      <c r="I28" s="267">
        <f t="shared" si="12"/>
        <v>17.4305</v>
      </c>
      <c r="J28" s="506"/>
      <c r="K28" s="506"/>
      <c r="L28" s="13">
        <f t="shared" si="0"/>
      </c>
      <c r="M28" s="14">
        <f t="shared" si="1"/>
      </c>
      <c r="N28" s="507"/>
      <c r="O28" s="678">
        <f t="shared" si="14"/>
      </c>
      <c r="P28" s="679" t="str">
        <f t="shared" si="2"/>
        <v>--</v>
      </c>
      <c r="Q28" s="680" t="str">
        <f t="shared" si="13"/>
        <v>--</v>
      </c>
      <c r="R28" s="681" t="str">
        <f t="shared" si="3"/>
        <v>--</v>
      </c>
      <c r="S28" s="682" t="str">
        <f t="shared" si="4"/>
        <v>--</v>
      </c>
      <c r="T28" s="683" t="str">
        <f t="shared" si="5"/>
        <v>--</v>
      </c>
      <c r="U28" s="684" t="str">
        <f t="shared" si="6"/>
        <v>--</v>
      </c>
      <c r="V28" s="685" t="str">
        <f t="shared" si="7"/>
        <v>--</v>
      </c>
      <c r="W28" s="686" t="str">
        <f t="shared" si="8"/>
        <v>--</v>
      </c>
      <c r="X28" s="687" t="str">
        <f t="shared" si="9"/>
        <v>--</v>
      </c>
      <c r="Y28" s="688" t="str">
        <f t="shared" si="10"/>
        <v>--</v>
      </c>
      <c r="Z28" s="689">
        <f t="shared" si="15"/>
      </c>
      <c r="AA28" s="55">
        <f t="shared" si="11"/>
      </c>
      <c r="AB28" s="3"/>
    </row>
    <row r="29" spans="1:28" ht="16.5" customHeight="1">
      <c r="A29" s="1"/>
      <c r="B29" s="2"/>
      <c r="C29" s="498"/>
      <c r="D29" s="498"/>
      <c r="E29" s="498"/>
      <c r="F29" s="499"/>
      <c r="G29" s="500"/>
      <c r="H29" s="501"/>
      <c r="I29" s="267">
        <f t="shared" si="12"/>
        <v>17.4305</v>
      </c>
      <c r="J29" s="506"/>
      <c r="K29" s="506"/>
      <c r="L29" s="13">
        <f t="shared" si="0"/>
      </c>
      <c r="M29" s="14">
        <f t="shared" si="1"/>
      </c>
      <c r="N29" s="507"/>
      <c r="O29" s="678">
        <f t="shared" si="14"/>
      </c>
      <c r="P29" s="679" t="str">
        <f t="shared" si="2"/>
        <v>--</v>
      </c>
      <c r="Q29" s="680" t="str">
        <f t="shared" si="13"/>
        <v>--</v>
      </c>
      <c r="R29" s="681" t="str">
        <f t="shared" si="3"/>
        <v>--</v>
      </c>
      <c r="S29" s="682" t="str">
        <f t="shared" si="4"/>
        <v>--</v>
      </c>
      <c r="T29" s="683" t="str">
        <f t="shared" si="5"/>
        <v>--</v>
      </c>
      <c r="U29" s="684" t="str">
        <f t="shared" si="6"/>
        <v>--</v>
      </c>
      <c r="V29" s="685" t="str">
        <f t="shared" si="7"/>
        <v>--</v>
      </c>
      <c r="W29" s="686" t="str">
        <f t="shared" si="8"/>
        <v>--</v>
      </c>
      <c r="X29" s="687" t="str">
        <f t="shared" si="9"/>
        <v>--</v>
      </c>
      <c r="Y29" s="688" t="str">
        <f t="shared" si="10"/>
        <v>--</v>
      </c>
      <c r="Z29" s="689">
        <f t="shared" si="15"/>
      </c>
      <c r="AA29" s="55">
        <f t="shared" si="11"/>
      </c>
      <c r="AB29" s="3"/>
    </row>
    <row r="30" spans="1:28" ht="16.5" customHeight="1">
      <c r="A30" s="1"/>
      <c r="B30" s="2"/>
      <c r="C30" s="498"/>
      <c r="D30" s="498"/>
      <c r="E30" s="498"/>
      <c r="F30" s="499"/>
      <c r="G30" s="500"/>
      <c r="H30" s="501"/>
      <c r="I30" s="267">
        <f t="shared" si="12"/>
        <v>17.4305</v>
      </c>
      <c r="J30" s="506"/>
      <c r="K30" s="506"/>
      <c r="L30" s="13">
        <f t="shared" si="0"/>
      </c>
      <c r="M30" s="14">
        <f t="shared" si="1"/>
      </c>
      <c r="N30" s="507"/>
      <c r="O30" s="678">
        <f t="shared" si="14"/>
      </c>
      <c r="P30" s="679" t="str">
        <f t="shared" si="2"/>
        <v>--</v>
      </c>
      <c r="Q30" s="680" t="str">
        <f t="shared" si="13"/>
        <v>--</v>
      </c>
      <c r="R30" s="681" t="str">
        <f t="shared" si="3"/>
        <v>--</v>
      </c>
      <c r="S30" s="682" t="str">
        <f t="shared" si="4"/>
        <v>--</v>
      </c>
      <c r="T30" s="683" t="str">
        <f t="shared" si="5"/>
        <v>--</v>
      </c>
      <c r="U30" s="684" t="str">
        <f t="shared" si="6"/>
        <v>--</v>
      </c>
      <c r="V30" s="685" t="str">
        <f t="shared" si="7"/>
        <v>--</v>
      </c>
      <c r="W30" s="686" t="str">
        <f t="shared" si="8"/>
        <v>--</v>
      </c>
      <c r="X30" s="687" t="str">
        <f t="shared" si="9"/>
        <v>--</v>
      </c>
      <c r="Y30" s="688" t="str">
        <f t="shared" si="10"/>
        <v>--</v>
      </c>
      <c r="Z30" s="689">
        <f t="shared" si="15"/>
      </c>
      <c r="AA30" s="55">
        <f t="shared" si="11"/>
      </c>
      <c r="AB30" s="3"/>
    </row>
    <row r="31" spans="1:28" ht="16.5" customHeight="1">
      <c r="A31" s="1"/>
      <c r="B31" s="2"/>
      <c r="C31" s="498"/>
      <c r="D31" s="498"/>
      <c r="E31" s="498"/>
      <c r="F31" s="499"/>
      <c r="G31" s="500"/>
      <c r="H31" s="501"/>
      <c r="I31" s="267">
        <f t="shared" si="12"/>
        <v>17.4305</v>
      </c>
      <c r="J31" s="506"/>
      <c r="K31" s="506"/>
      <c r="L31" s="13">
        <f t="shared" si="0"/>
      </c>
      <c r="M31" s="14">
        <f t="shared" si="1"/>
      </c>
      <c r="N31" s="507"/>
      <c r="O31" s="678">
        <f t="shared" si="14"/>
      </c>
      <c r="P31" s="679" t="str">
        <f t="shared" si="2"/>
        <v>--</v>
      </c>
      <c r="Q31" s="680" t="str">
        <f t="shared" si="13"/>
        <v>--</v>
      </c>
      <c r="R31" s="681" t="str">
        <f t="shared" si="3"/>
        <v>--</v>
      </c>
      <c r="S31" s="682" t="str">
        <f t="shared" si="4"/>
        <v>--</v>
      </c>
      <c r="T31" s="683" t="str">
        <f t="shared" si="5"/>
        <v>--</v>
      </c>
      <c r="U31" s="684" t="str">
        <f t="shared" si="6"/>
        <v>--</v>
      </c>
      <c r="V31" s="685" t="str">
        <f t="shared" si="7"/>
        <v>--</v>
      </c>
      <c r="W31" s="686" t="str">
        <f t="shared" si="8"/>
        <v>--</v>
      </c>
      <c r="X31" s="687" t="str">
        <f t="shared" si="9"/>
        <v>--</v>
      </c>
      <c r="Y31" s="688" t="str">
        <f t="shared" si="10"/>
        <v>--</v>
      </c>
      <c r="Z31" s="689">
        <f t="shared" si="15"/>
      </c>
      <c r="AA31" s="55">
        <f t="shared" si="11"/>
      </c>
      <c r="AB31" s="3"/>
    </row>
    <row r="32" spans="1:28" ht="16.5" customHeight="1">
      <c r="A32" s="1"/>
      <c r="B32" s="2"/>
      <c r="C32" s="498"/>
      <c r="D32" s="498"/>
      <c r="E32" s="498"/>
      <c r="F32" s="499"/>
      <c r="G32" s="500"/>
      <c r="H32" s="501"/>
      <c r="I32" s="267">
        <f t="shared" si="12"/>
        <v>17.4305</v>
      </c>
      <c r="J32" s="506"/>
      <c r="K32" s="506"/>
      <c r="L32" s="13">
        <f t="shared" si="0"/>
      </c>
      <c r="M32" s="14">
        <f t="shared" si="1"/>
      </c>
      <c r="N32" s="507"/>
      <c r="O32" s="678">
        <f t="shared" si="14"/>
      </c>
      <c r="P32" s="679" t="str">
        <f t="shared" si="2"/>
        <v>--</v>
      </c>
      <c r="Q32" s="680" t="str">
        <f t="shared" si="13"/>
        <v>--</v>
      </c>
      <c r="R32" s="681" t="str">
        <f t="shared" si="3"/>
        <v>--</v>
      </c>
      <c r="S32" s="682" t="str">
        <f t="shared" si="4"/>
        <v>--</v>
      </c>
      <c r="T32" s="683" t="str">
        <f t="shared" si="5"/>
        <v>--</v>
      </c>
      <c r="U32" s="684" t="str">
        <f t="shared" si="6"/>
        <v>--</v>
      </c>
      <c r="V32" s="685" t="str">
        <f t="shared" si="7"/>
        <v>--</v>
      </c>
      <c r="W32" s="686" t="str">
        <f t="shared" si="8"/>
        <v>--</v>
      </c>
      <c r="X32" s="687" t="str">
        <f t="shared" si="9"/>
        <v>--</v>
      </c>
      <c r="Y32" s="688" t="str">
        <f t="shared" si="10"/>
        <v>--</v>
      </c>
      <c r="Z32" s="689">
        <f t="shared" si="15"/>
      </c>
      <c r="AA32" s="55">
        <f t="shared" si="11"/>
      </c>
      <c r="AB32" s="3"/>
    </row>
    <row r="33" spans="1:28" ht="16.5" customHeight="1">
      <c r="A33" s="1"/>
      <c r="B33" s="2"/>
      <c r="C33" s="498"/>
      <c r="D33" s="498"/>
      <c r="E33" s="498"/>
      <c r="F33" s="499"/>
      <c r="G33" s="500"/>
      <c r="H33" s="501"/>
      <c r="I33" s="267">
        <f t="shared" si="12"/>
        <v>17.4305</v>
      </c>
      <c r="J33" s="506"/>
      <c r="K33" s="506"/>
      <c r="L33" s="13">
        <f t="shared" si="0"/>
      </c>
      <c r="M33" s="14">
        <f t="shared" si="1"/>
      </c>
      <c r="N33" s="507"/>
      <c r="O33" s="678">
        <f t="shared" si="14"/>
      </c>
      <c r="P33" s="679" t="str">
        <f t="shared" si="2"/>
        <v>--</v>
      </c>
      <c r="Q33" s="680" t="str">
        <f t="shared" si="13"/>
        <v>--</v>
      </c>
      <c r="R33" s="681" t="str">
        <f t="shared" si="3"/>
        <v>--</v>
      </c>
      <c r="S33" s="682" t="str">
        <f t="shared" si="4"/>
        <v>--</v>
      </c>
      <c r="T33" s="683" t="str">
        <f t="shared" si="5"/>
        <v>--</v>
      </c>
      <c r="U33" s="684" t="str">
        <f t="shared" si="6"/>
        <v>--</v>
      </c>
      <c r="V33" s="685" t="str">
        <f t="shared" si="7"/>
        <v>--</v>
      </c>
      <c r="W33" s="686" t="str">
        <f t="shared" si="8"/>
        <v>--</v>
      </c>
      <c r="X33" s="687" t="str">
        <f t="shared" si="9"/>
        <v>--</v>
      </c>
      <c r="Y33" s="688" t="str">
        <f t="shared" si="10"/>
        <v>--</v>
      </c>
      <c r="Z33" s="689">
        <f t="shared" si="15"/>
      </c>
      <c r="AA33" s="55">
        <f t="shared" si="11"/>
      </c>
      <c r="AB33" s="3"/>
    </row>
    <row r="34" spans="1:28" ht="16.5" customHeight="1">
      <c r="A34" s="1"/>
      <c r="B34" s="2"/>
      <c r="C34" s="498"/>
      <c r="D34" s="498"/>
      <c r="E34" s="498"/>
      <c r="F34" s="499"/>
      <c r="G34" s="500"/>
      <c r="H34" s="501"/>
      <c r="I34" s="267">
        <f t="shared" si="12"/>
        <v>17.4305</v>
      </c>
      <c r="J34" s="506"/>
      <c r="K34" s="506"/>
      <c r="L34" s="13">
        <f t="shared" si="0"/>
      </c>
      <c r="M34" s="14">
        <f t="shared" si="1"/>
      </c>
      <c r="N34" s="507"/>
      <c r="O34" s="678">
        <f t="shared" si="14"/>
      </c>
      <c r="P34" s="679" t="str">
        <f t="shared" si="2"/>
        <v>--</v>
      </c>
      <c r="Q34" s="680" t="str">
        <f t="shared" si="13"/>
        <v>--</v>
      </c>
      <c r="R34" s="681" t="str">
        <f t="shared" si="3"/>
        <v>--</v>
      </c>
      <c r="S34" s="682" t="str">
        <f t="shared" si="4"/>
        <v>--</v>
      </c>
      <c r="T34" s="683" t="str">
        <f t="shared" si="5"/>
        <v>--</v>
      </c>
      <c r="U34" s="684" t="str">
        <f t="shared" si="6"/>
        <v>--</v>
      </c>
      <c r="V34" s="685" t="str">
        <f t="shared" si="7"/>
        <v>--</v>
      </c>
      <c r="W34" s="686" t="str">
        <f t="shared" si="8"/>
        <v>--</v>
      </c>
      <c r="X34" s="687" t="str">
        <f t="shared" si="9"/>
        <v>--</v>
      </c>
      <c r="Y34" s="688" t="str">
        <f t="shared" si="10"/>
        <v>--</v>
      </c>
      <c r="Z34" s="689">
        <f t="shared" si="15"/>
      </c>
      <c r="AA34" s="55">
        <f t="shared" si="11"/>
      </c>
      <c r="AB34" s="3"/>
    </row>
    <row r="35" spans="1:28" ht="16.5" customHeight="1">
      <c r="A35" s="1"/>
      <c r="B35" s="2"/>
      <c r="C35" s="498"/>
      <c r="D35" s="498"/>
      <c r="E35" s="498"/>
      <c r="F35" s="499"/>
      <c r="G35" s="500"/>
      <c r="H35" s="501"/>
      <c r="I35" s="267">
        <f t="shared" si="12"/>
        <v>17.4305</v>
      </c>
      <c r="J35" s="506"/>
      <c r="K35" s="506"/>
      <c r="L35" s="13">
        <f t="shared" si="0"/>
      </c>
      <c r="M35" s="14">
        <f t="shared" si="1"/>
      </c>
      <c r="N35" s="507"/>
      <c r="O35" s="678">
        <f t="shared" si="14"/>
      </c>
      <c r="P35" s="679" t="str">
        <f t="shared" si="2"/>
        <v>--</v>
      </c>
      <c r="Q35" s="680" t="str">
        <f t="shared" si="13"/>
        <v>--</v>
      </c>
      <c r="R35" s="681" t="str">
        <f t="shared" si="3"/>
        <v>--</v>
      </c>
      <c r="S35" s="682" t="str">
        <f t="shared" si="4"/>
        <v>--</v>
      </c>
      <c r="T35" s="683" t="str">
        <f t="shared" si="5"/>
        <v>--</v>
      </c>
      <c r="U35" s="684" t="str">
        <f t="shared" si="6"/>
        <v>--</v>
      </c>
      <c r="V35" s="685" t="str">
        <f t="shared" si="7"/>
        <v>--</v>
      </c>
      <c r="W35" s="686" t="str">
        <f t="shared" si="8"/>
        <v>--</v>
      </c>
      <c r="X35" s="687" t="str">
        <f t="shared" si="9"/>
        <v>--</v>
      </c>
      <c r="Y35" s="688" t="str">
        <f t="shared" si="10"/>
        <v>--</v>
      </c>
      <c r="Z35" s="689">
        <f t="shared" si="15"/>
      </c>
      <c r="AA35" s="55">
        <f t="shared" si="11"/>
      </c>
      <c r="AB35" s="3"/>
    </row>
    <row r="36" spans="1:28" ht="16.5" customHeight="1">
      <c r="A36" s="1"/>
      <c r="B36" s="2"/>
      <c r="C36" s="498"/>
      <c r="D36" s="498"/>
      <c r="E36" s="498"/>
      <c r="F36" s="499"/>
      <c r="G36" s="500"/>
      <c r="H36" s="501"/>
      <c r="I36" s="267">
        <f t="shared" si="12"/>
        <v>17.4305</v>
      </c>
      <c r="J36" s="506"/>
      <c r="K36" s="506"/>
      <c r="L36" s="13">
        <f t="shared" si="0"/>
      </c>
      <c r="M36" s="14">
        <f t="shared" si="1"/>
      </c>
      <c r="N36" s="507"/>
      <c r="O36" s="678">
        <f t="shared" si="14"/>
      </c>
      <c r="P36" s="679" t="str">
        <f t="shared" si="2"/>
        <v>--</v>
      </c>
      <c r="Q36" s="680" t="str">
        <f t="shared" si="13"/>
        <v>--</v>
      </c>
      <c r="R36" s="681" t="str">
        <f t="shared" si="3"/>
        <v>--</v>
      </c>
      <c r="S36" s="682" t="str">
        <f t="shared" si="4"/>
        <v>--</v>
      </c>
      <c r="T36" s="683" t="str">
        <f t="shared" si="5"/>
        <v>--</v>
      </c>
      <c r="U36" s="684" t="str">
        <f t="shared" si="6"/>
        <v>--</v>
      </c>
      <c r="V36" s="685" t="str">
        <f t="shared" si="7"/>
        <v>--</v>
      </c>
      <c r="W36" s="686" t="str">
        <f t="shared" si="8"/>
        <v>--</v>
      </c>
      <c r="X36" s="687" t="str">
        <f t="shared" si="9"/>
        <v>--</v>
      </c>
      <c r="Y36" s="688" t="str">
        <f t="shared" si="10"/>
        <v>--</v>
      </c>
      <c r="Z36" s="689">
        <f t="shared" si="15"/>
      </c>
      <c r="AA36" s="55">
        <f t="shared" si="11"/>
      </c>
      <c r="AB36" s="3"/>
    </row>
    <row r="37" spans="1:28" ht="16.5" customHeight="1">
      <c r="A37" s="1"/>
      <c r="B37" s="2"/>
      <c r="C37" s="498"/>
      <c r="D37" s="498"/>
      <c r="E37" s="498"/>
      <c r="F37" s="499"/>
      <c r="G37" s="500"/>
      <c r="H37" s="501"/>
      <c r="I37" s="267">
        <f t="shared" si="12"/>
        <v>17.4305</v>
      </c>
      <c r="J37" s="506"/>
      <c r="K37" s="506"/>
      <c r="L37" s="13">
        <f t="shared" si="0"/>
      </c>
      <c r="M37" s="14">
        <f t="shared" si="1"/>
      </c>
      <c r="N37" s="507"/>
      <c r="O37" s="678">
        <f t="shared" si="14"/>
      </c>
      <c r="P37" s="679" t="str">
        <f t="shared" si="2"/>
        <v>--</v>
      </c>
      <c r="Q37" s="680" t="str">
        <f t="shared" si="13"/>
        <v>--</v>
      </c>
      <c r="R37" s="681" t="str">
        <f t="shared" si="3"/>
        <v>--</v>
      </c>
      <c r="S37" s="682" t="str">
        <f t="shared" si="4"/>
        <v>--</v>
      </c>
      <c r="T37" s="683" t="str">
        <f t="shared" si="5"/>
        <v>--</v>
      </c>
      <c r="U37" s="684" t="str">
        <f t="shared" si="6"/>
        <v>--</v>
      </c>
      <c r="V37" s="685" t="str">
        <f t="shared" si="7"/>
        <v>--</v>
      </c>
      <c r="W37" s="686" t="str">
        <f t="shared" si="8"/>
        <v>--</v>
      </c>
      <c r="X37" s="687" t="str">
        <f t="shared" si="9"/>
        <v>--</v>
      </c>
      <c r="Y37" s="688" t="str">
        <f t="shared" si="10"/>
        <v>--</v>
      </c>
      <c r="Z37" s="689">
        <f t="shared" si="15"/>
      </c>
      <c r="AA37" s="55">
        <f t="shared" si="11"/>
      </c>
      <c r="AB37" s="3"/>
    </row>
    <row r="38" spans="2:28" ht="16.5" customHeight="1">
      <c r="B38" s="56"/>
      <c r="C38" s="498"/>
      <c r="D38" s="498"/>
      <c r="E38" s="498"/>
      <c r="F38" s="499"/>
      <c r="G38" s="500"/>
      <c r="H38" s="501"/>
      <c r="I38" s="267">
        <f t="shared" si="12"/>
        <v>17.4305</v>
      </c>
      <c r="J38" s="506"/>
      <c r="K38" s="506"/>
      <c r="L38" s="13">
        <f t="shared" si="0"/>
      </c>
      <c r="M38" s="14">
        <f t="shared" si="1"/>
      </c>
      <c r="N38" s="507"/>
      <c r="O38" s="678">
        <f t="shared" si="14"/>
      </c>
      <c r="P38" s="679" t="str">
        <f t="shared" si="2"/>
        <v>--</v>
      </c>
      <c r="Q38" s="680" t="str">
        <f t="shared" si="13"/>
        <v>--</v>
      </c>
      <c r="R38" s="681" t="str">
        <f t="shared" si="3"/>
        <v>--</v>
      </c>
      <c r="S38" s="682" t="str">
        <f t="shared" si="4"/>
        <v>--</v>
      </c>
      <c r="T38" s="683" t="str">
        <f t="shared" si="5"/>
        <v>--</v>
      </c>
      <c r="U38" s="684" t="str">
        <f t="shared" si="6"/>
        <v>--</v>
      </c>
      <c r="V38" s="685" t="str">
        <f t="shared" si="7"/>
        <v>--</v>
      </c>
      <c r="W38" s="686" t="str">
        <f t="shared" si="8"/>
        <v>--</v>
      </c>
      <c r="X38" s="687" t="str">
        <f t="shared" si="9"/>
        <v>--</v>
      </c>
      <c r="Y38" s="688" t="str">
        <f t="shared" si="10"/>
        <v>--</v>
      </c>
      <c r="Z38" s="689">
        <f t="shared" si="15"/>
      </c>
      <c r="AA38" s="55">
        <f t="shared" si="11"/>
      </c>
      <c r="AB38" s="3"/>
    </row>
    <row r="39" spans="2:28" ht="16.5" customHeight="1">
      <c r="B39" s="56"/>
      <c r="C39" s="498"/>
      <c r="D39" s="498"/>
      <c r="E39" s="498"/>
      <c r="F39" s="499"/>
      <c r="G39" s="500"/>
      <c r="H39" s="501"/>
      <c r="I39" s="267">
        <f>IF(H39&gt;25,H39,25)*IF(G39=330,$G$15,$G$16)/100</f>
        <v>17.4305</v>
      </c>
      <c r="J39" s="506"/>
      <c r="K39" s="506"/>
      <c r="L39" s="13">
        <f t="shared" si="0"/>
      </c>
      <c r="M39" s="14">
        <f t="shared" si="1"/>
      </c>
      <c r="N39" s="507"/>
      <c r="O39" s="678">
        <f t="shared" si="14"/>
      </c>
      <c r="P39" s="679" t="str">
        <f t="shared" si="2"/>
        <v>--</v>
      </c>
      <c r="Q39" s="680" t="str">
        <f>IF(N39="RP",ROUND(M39/60,2)*I39*$L$16*0.01*O39/100,"--")</f>
        <v>--</v>
      </c>
      <c r="R39" s="681" t="str">
        <f t="shared" si="3"/>
        <v>--</v>
      </c>
      <c r="S39" s="682" t="str">
        <f t="shared" si="4"/>
        <v>--</v>
      </c>
      <c r="T39" s="683" t="str">
        <f t="shared" si="5"/>
        <v>--</v>
      </c>
      <c r="U39" s="684" t="str">
        <f t="shared" si="6"/>
        <v>--</v>
      </c>
      <c r="V39" s="685" t="str">
        <f t="shared" si="7"/>
        <v>--</v>
      </c>
      <c r="W39" s="686" t="str">
        <f t="shared" si="8"/>
        <v>--</v>
      </c>
      <c r="X39" s="687" t="str">
        <f t="shared" si="9"/>
        <v>--</v>
      </c>
      <c r="Y39" s="688" t="str">
        <f t="shared" si="10"/>
        <v>--</v>
      </c>
      <c r="Z39" s="689">
        <f t="shared" si="15"/>
      </c>
      <c r="AA39" s="55">
        <f t="shared" si="11"/>
      </c>
      <c r="AB39" s="3"/>
    </row>
    <row r="40" spans="2:28" ht="16.5" customHeight="1">
      <c r="B40" s="56"/>
      <c r="C40" s="498"/>
      <c r="D40" s="498"/>
      <c r="E40" s="498"/>
      <c r="F40" s="499"/>
      <c r="G40" s="500"/>
      <c r="H40" s="501"/>
      <c r="I40" s="267">
        <f>IF(H40&gt;25,H40,25)*IF(G40=330,$G$15,$G$16)/100</f>
        <v>17.4305</v>
      </c>
      <c r="J40" s="506"/>
      <c r="K40" s="506"/>
      <c r="L40" s="13">
        <f t="shared" si="0"/>
      </c>
      <c r="M40" s="14">
        <f t="shared" si="1"/>
      </c>
      <c r="N40" s="507"/>
      <c r="O40" s="678">
        <f t="shared" si="14"/>
      </c>
      <c r="P40" s="679" t="str">
        <f t="shared" si="2"/>
        <v>--</v>
      </c>
      <c r="Q40" s="680" t="str">
        <f>IF(N40="RP",ROUND(M40/60,2)*I40*$L$16*0.01*O40/100,"--")</f>
        <v>--</v>
      </c>
      <c r="R40" s="681" t="str">
        <f t="shared" si="3"/>
        <v>--</v>
      </c>
      <c r="S40" s="682" t="str">
        <f t="shared" si="4"/>
        <v>--</v>
      </c>
      <c r="T40" s="683" t="str">
        <f t="shared" si="5"/>
        <v>--</v>
      </c>
      <c r="U40" s="684" t="str">
        <f t="shared" si="6"/>
        <v>--</v>
      </c>
      <c r="V40" s="685" t="str">
        <f t="shared" si="7"/>
        <v>--</v>
      </c>
      <c r="W40" s="686" t="str">
        <f t="shared" si="8"/>
        <v>--</v>
      </c>
      <c r="X40" s="687" t="str">
        <f t="shared" si="9"/>
        <v>--</v>
      </c>
      <c r="Y40" s="688" t="str">
        <f t="shared" si="10"/>
        <v>--</v>
      </c>
      <c r="Z40" s="689">
        <f t="shared" si="15"/>
      </c>
      <c r="AA40" s="55">
        <f t="shared" si="11"/>
      </c>
      <c r="AB40" s="3"/>
    </row>
    <row r="41" spans="2:28" ht="16.5" customHeight="1">
      <c r="B41" s="56"/>
      <c r="C41" s="498"/>
      <c r="D41" s="498"/>
      <c r="E41" s="498"/>
      <c r="F41" s="499"/>
      <c r="G41" s="500"/>
      <c r="H41" s="501"/>
      <c r="I41" s="267">
        <f>IF(H41&gt;25,H41,25)*IF(G41=330,$G$15,$G$16)/100</f>
        <v>17.4305</v>
      </c>
      <c r="J41" s="506"/>
      <c r="K41" s="506"/>
      <c r="L41" s="13">
        <f t="shared" si="0"/>
      </c>
      <c r="M41" s="14">
        <f t="shared" si="1"/>
      </c>
      <c r="N41" s="507"/>
      <c r="O41" s="678">
        <f t="shared" si="14"/>
      </c>
      <c r="P41" s="679" t="str">
        <f t="shared" si="2"/>
        <v>--</v>
      </c>
      <c r="Q41" s="680" t="str">
        <f>IF(N41="RP",ROUND(M41/60,2)*I41*$L$16*0.01*O41/100,"--")</f>
        <v>--</v>
      </c>
      <c r="R41" s="681" t="str">
        <f t="shared" si="3"/>
        <v>--</v>
      </c>
      <c r="S41" s="682" t="str">
        <f t="shared" si="4"/>
        <v>--</v>
      </c>
      <c r="T41" s="683" t="str">
        <f t="shared" si="5"/>
        <v>--</v>
      </c>
      <c r="U41" s="684" t="str">
        <f t="shared" si="6"/>
        <v>--</v>
      </c>
      <c r="V41" s="685" t="str">
        <f t="shared" si="7"/>
        <v>--</v>
      </c>
      <c r="W41" s="686" t="str">
        <f t="shared" si="8"/>
        <v>--</v>
      </c>
      <c r="X41" s="687" t="str">
        <f t="shared" si="9"/>
        <v>--</v>
      </c>
      <c r="Y41" s="688" t="str">
        <f t="shared" si="10"/>
        <v>--</v>
      </c>
      <c r="Z41" s="689">
        <f t="shared" si="15"/>
      </c>
      <c r="AA41" s="55">
        <f t="shared" si="11"/>
      </c>
      <c r="AB41" s="3"/>
    </row>
    <row r="42" spans="1:28" ht="16.5" customHeight="1" thickBot="1">
      <c r="A42" s="1"/>
      <c r="B42" s="2"/>
      <c r="C42" s="502"/>
      <c r="D42" s="502"/>
      <c r="E42" s="502"/>
      <c r="F42" s="503"/>
      <c r="G42" s="504"/>
      <c r="H42" s="505"/>
      <c r="I42" s="268"/>
      <c r="J42" s="505"/>
      <c r="K42" s="505"/>
      <c r="L42" s="15"/>
      <c r="M42" s="15"/>
      <c r="N42" s="505"/>
      <c r="O42" s="508"/>
      <c r="P42" s="509"/>
      <c r="Q42" s="510"/>
      <c r="R42" s="511"/>
      <c r="S42" s="512"/>
      <c r="T42" s="513"/>
      <c r="U42" s="514"/>
      <c r="V42" s="515"/>
      <c r="W42" s="516"/>
      <c r="X42" s="517"/>
      <c r="Y42" s="518"/>
      <c r="Z42" s="519"/>
      <c r="AA42" s="57"/>
      <c r="AB42" s="3"/>
    </row>
    <row r="43" spans="1:28" ht="16.5" customHeight="1" thickBot="1" thickTop="1">
      <c r="A43" s="1"/>
      <c r="B43" s="2"/>
      <c r="C43" s="239" t="s">
        <v>63</v>
      </c>
      <c r="D43" s="695"/>
      <c r="E43" s="673"/>
      <c r="F43" s="240"/>
      <c r="G43" s="16"/>
      <c r="H43" s="17"/>
      <c r="I43" s="58"/>
      <c r="J43" s="58"/>
      <c r="K43" s="58"/>
      <c r="L43" s="58"/>
      <c r="M43" s="58"/>
      <c r="N43" s="58"/>
      <c r="O43" s="59"/>
      <c r="P43" s="326">
        <f aca="true" t="shared" si="16" ref="P43:Y43">ROUND(SUM(P20:P42),2)</f>
        <v>27.04</v>
      </c>
      <c r="Q43" s="327">
        <f t="shared" si="16"/>
        <v>0</v>
      </c>
      <c r="R43" s="328">
        <f t="shared" si="16"/>
        <v>3923.95</v>
      </c>
      <c r="S43" s="328">
        <f t="shared" si="16"/>
        <v>11771.86</v>
      </c>
      <c r="T43" s="329">
        <f t="shared" si="16"/>
        <v>58.86</v>
      </c>
      <c r="U43" s="330">
        <f t="shared" si="16"/>
        <v>0</v>
      </c>
      <c r="V43" s="330">
        <f t="shared" si="16"/>
        <v>0</v>
      </c>
      <c r="W43" s="331">
        <f t="shared" si="16"/>
        <v>0</v>
      </c>
      <c r="X43" s="332">
        <f t="shared" si="16"/>
        <v>0</v>
      </c>
      <c r="Y43" s="333">
        <f t="shared" si="16"/>
        <v>0</v>
      </c>
      <c r="Z43" s="60"/>
      <c r="AA43" s="677">
        <f>ROUND(SUM(AA20:AA42),2)</f>
        <v>15781.72</v>
      </c>
      <c r="AB43" s="61"/>
    </row>
    <row r="44" spans="1:28" s="254" customFormat="1" ht="9.75" thickTop="1">
      <c r="A44" s="243"/>
      <c r="B44" s="244"/>
      <c r="C44" s="241"/>
      <c r="D44" s="241"/>
      <c r="E44" s="241"/>
      <c r="F44" s="242"/>
      <c r="G44" s="245"/>
      <c r="H44" s="246"/>
      <c r="I44" s="247"/>
      <c r="J44" s="247"/>
      <c r="K44" s="247"/>
      <c r="L44" s="247"/>
      <c r="M44" s="247"/>
      <c r="N44" s="247"/>
      <c r="O44" s="248"/>
      <c r="P44" s="249"/>
      <c r="Q44" s="249"/>
      <c r="R44" s="250"/>
      <c r="S44" s="250"/>
      <c r="T44" s="251"/>
      <c r="U44" s="251"/>
      <c r="V44" s="251"/>
      <c r="W44" s="251"/>
      <c r="X44" s="251"/>
      <c r="Y44" s="251"/>
      <c r="Z44" s="251"/>
      <c r="AA44" s="252"/>
      <c r="AB44" s="253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70" zoomScaleNormal="70" zoomScalePageLayoutView="0" workbookViewId="0" topLeftCell="A1">
      <selection activeCell="A24" sqref="A24:IV25"/>
    </sheetView>
  </sheetViews>
  <sheetFormatPr defaultColWidth="11.421875" defaultRowHeight="12.75"/>
  <cols>
    <col min="1" max="2" width="4.140625" style="630" customWidth="1"/>
    <col min="3" max="3" width="5.57421875" style="630" customWidth="1"/>
    <col min="4" max="5" width="13.7109375" style="630" customWidth="1"/>
    <col min="6" max="7" width="25.7109375" style="630" customWidth="1"/>
    <col min="8" max="8" width="7.7109375" style="630" customWidth="1"/>
    <col min="9" max="9" width="12.7109375" style="630" customWidth="1"/>
    <col min="10" max="10" width="11.8515625" style="630" hidden="1" customWidth="1"/>
    <col min="11" max="12" width="15.7109375" style="630" customWidth="1"/>
    <col min="13" max="15" width="9.7109375" style="630" customWidth="1"/>
    <col min="16" max="16" width="5.8515625" style="630" customWidth="1"/>
    <col min="17" max="18" width="7.00390625" style="630" customWidth="1"/>
    <col min="19" max="19" width="11.7109375" style="630" hidden="1" customWidth="1"/>
    <col min="20" max="21" width="14.00390625" style="630" hidden="1" customWidth="1"/>
    <col min="22" max="22" width="14.28125" style="630" hidden="1" customWidth="1"/>
    <col min="23" max="27" width="14.140625" style="630" hidden="1" customWidth="1"/>
    <col min="28" max="28" width="9.00390625" style="630" customWidth="1"/>
    <col min="29" max="29" width="15.7109375" style="630" customWidth="1"/>
    <col min="30" max="30" width="4.140625" style="630" customWidth="1"/>
    <col min="31" max="16384" width="11.421875" style="630" customWidth="1"/>
  </cols>
  <sheetData>
    <row r="1" spans="1:30" s="537" customFormat="1" ht="26.25">
      <c r="A1" s="109"/>
      <c r="B1" s="109"/>
      <c r="C1" s="109"/>
      <c r="D1" s="109"/>
      <c r="E1" s="109"/>
      <c r="F1" s="109"/>
      <c r="G1" s="109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6"/>
    </row>
    <row r="2" spans="1:30" s="537" customFormat="1" ht="26.25">
      <c r="A2" s="109"/>
      <c r="B2" s="110" t="str">
        <f>+'TOT-0315'!B2</f>
        <v>ANEXO III al Memorándum  D.T.E.E.  N°  326 / 2016             .-</v>
      </c>
      <c r="C2" s="111"/>
      <c r="D2" s="111"/>
      <c r="E2" s="111"/>
      <c r="F2" s="111"/>
      <c r="G2" s="111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</row>
    <row r="3" spans="1:30" s="540" customFormat="1" ht="12.75">
      <c r="A3" s="10"/>
      <c r="B3" s="10"/>
      <c r="C3" s="10"/>
      <c r="D3" s="10"/>
      <c r="E3" s="10"/>
      <c r="F3" s="10"/>
      <c r="G3" s="10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</row>
    <row r="4" spans="1:30" s="542" customFormat="1" ht="11.25">
      <c r="A4" s="676" t="s">
        <v>16</v>
      </c>
      <c r="B4" s="112"/>
      <c r="C4" s="675"/>
      <c r="D4" s="675"/>
      <c r="E4" s="675"/>
      <c r="F4" s="112"/>
      <c r="G4" s="112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</row>
    <row r="5" spans="1:30" s="542" customFormat="1" ht="11.25">
      <c r="A5" s="676" t="s">
        <v>130</v>
      </c>
      <c r="B5" s="112"/>
      <c r="C5" s="675"/>
      <c r="D5" s="675"/>
      <c r="E5" s="675"/>
      <c r="F5" s="112"/>
      <c r="G5" s="112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</row>
    <row r="6" spans="1:30" s="540" customFormat="1" ht="13.5" thickBo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</row>
    <row r="7" spans="1:30" s="540" customFormat="1" ht="13.5" thickTop="1">
      <c r="A7" s="539"/>
      <c r="B7" s="543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5"/>
    </row>
    <row r="8" spans="1:30" s="549" customFormat="1" ht="20.25">
      <c r="A8" s="546"/>
      <c r="B8" s="547"/>
      <c r="C8" s="191"/>
      <c r="D8" s="191"/>
      <c r="E8" s="191"/>
      <c r="F8" s="548" t="s">
        <v>39</v>
      </c>
      <c r="H8" s="191"/>
      <c r="I8" s="546"/>
      <c r="J8" s="546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550"/>
    </row>
    <row r="9" spans="1:30" s="540" customFormat="1" ht="12.75">
      <c r="A9" s="539"/>
      <c r="B9" s="551"/>
      <c r="C9" s="178"/>
      <c r="D9" s="178"/>
      <c r="E9" s="178"/>
      <c r="F9" s="178"/>
      <c r="G9" s="178"/>
      <c r="H9" s="178"/>
      <c r="I9" s="539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552"/>
    </row>
    <row r="10" spans="1:30" s="549" customFormat="1" ht="20.25">
      <c r="A10" s="546"/>
      <c r="B10" s="547"/>
      <c r="C10" s="191"/>
      <c r="D10" s="191"/>
      <c r="E10" s="191"/>
      <c r="F10" s="548" t="s">
        <v>64</v>
      </c>
      <c r="G10" s="191"/>
      <c r="H10" s="191"/>
      <c r="I10" s="546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550"/>
    </row>
    <row r="11" spans="1:30" s="540" customFormat="1" ht="12.75">
      <c r="A11" s="539"/>
      <c r="B11" s="551"/>
      <c r="C11" s="178"/>
      <c r="D11" s="178"/>
      <c r="E11" s="178"/>
      <c r="F11" s="553"/>
      <c r="G11" s="178"/>
      <c r="H11" s="178"/>
      <c r="I11" s="539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552"/>
    </row>
    <row r="12" spans="1:30" s="549" customFormat="1" ht="20.25">
      <c r="A12" s="546"/>
      <c r="B12" s="547"/>
      <c r="C12" s="191"/>
      <c r="D12" s="191"/>
      <c r="E12" s="191"/>
      <c r="F12" s="548" t="s">
        <v>65</v>
      </c>
      <c r="G12" s="554"/>
      <c r="H12" s="546"/>
      <c r="I12" s="546"/>
      <c r="J12" s="191"/>
      <c r="K12" s="191"/>
      <c r="L12" s="546"/>
      <c r="M12" s="546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550"/>
    </row>
    <row r="13" spans="1:30" s="540" customFormat="1" ht="12.75">
      <c r="A13" s="539"/>
      <c r="B13" s="551"/>
      <c r="C13" s="178"/>
      <c r="D13" s="178"/>
      <c r="E13" s="178"/>
      <c r="F13" s="555"/>
      <c r="G13" s="556"/>
      <c r="H13" s="539"/>
      <c r="I13" s="539"/>
      <c r="J13" s="178"/>
      <c r="K13" s="178"/>
      <c r="L13" s="539"/>
      <c r="M13" s="539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552"/>
    </row>
    <row r="14" spans="1:30" s="549" customFormat="1" ht="20.25">
      <c r="A14" s="546"/>
      <c r="B14" s="547"/>
      <c r="C14" s="191"/>
      <c r="D14" s="191"/>
      <c r="E14" s="191"/>
      <c r="F14" s="548" t="s">
        <v>66</v>
      </c>
      <c r="G14" s="192"/>
      <c r="H14" s="192"/>
      <c r="I14" s="193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550"/>
    </row>
    <row r="15" spans="1:30" s="540" customFormat="1" ht="12.75">
      <c r="A15" s="539"/>
      <c r="B15" s="551"/>
      <c r="C15" s="178"/>
      <c r="D15" s="178"/>
      <c r="E15" s="178"/>
      <c r="F15" s="557"/>
      <c r="G15" s="179"/>
      <c r="H15" s="179"/>
      <c r="I15" s="180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552"/>
    </row>
    <row r="16" spans="1:30" s="563" customFormat="1" ht="19.5">
      <c r="A16" s="558"/>
      <c r="B16" s="87" t="str">
        <f>+'TOT-0315'!B14</f>
        <v>Desde el 01 al 31 de marzo de 2015</v>
      </c>
      <c r="C16" s="559"/>
      <c r="D16" s="559"/>
      <c r="E16" s="559"/>
      <c r="F16" s="559"/>
      <c r="G16" s="559"/>
      <c r="H16" s="559"/>
      <c r="I16" s="560"/>
      <c r="J16" s="559"/>
      <c r="K16" s="561"/>
      <c r="L16" s="561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62"/>
    </row>
    <row r="17" spans="1:30" s="540" customFormat="1" ht="14.25" thickBot="1">
      <c r="A17" s="539"/>
      <c r="B17" s="551"/>
      <c r="C17" s="178"/>
      <c r="D17" s="178"/>
      <c r="E17" s="178"/>
      <c r="F17" s="178"/>
      <c r="G17" s="178"/>
      <c r="H17" s="178"/>
      <c r="I17" s="37"/>
      <c r="J17" s="178"/>
      <c r="K17" s="564"/>
      <c r="L17" s="565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552"/>
    </row>
    <row r="18" spans="1:30" s="540" customFormat="1" ht="16.5" customHeight="1" thickBot="1" thickTop="1">
      <c r="A18" s="539"/>
      <c r="B18" s="551"/>
      <c r="C18" s="178"/>
      <c r="D18" s="178"/>
      <c r="E18" s="178"/>
      <c r="F18" s="198" t="s">
        <v>67</v>
      </c>
      <c r="G18" s="199"/>
      <c r="H18" s="566"/>
      <c r="I18" s="567">
        <v>0.848</v>
      </c>
      <c r="J18" s="539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552"/>
    </row>
    <row r="19" spans="1:30" s="540" customFormat="1" ht="16.5" customHeight="1" thickBot="1" thickTop="1">
      <c r="A19" s="539"/>
      <c r="B19" s="551"/>
      <c r="C19" s="178"/>
      <c r="D19" s="178"/>
      <c r="E19" s="178"/>
      <c r="F19" s="202" t="s">
        <v>68</v>
      </c>
      <c r="G19" s="203"/>
      <c r="H19" s="203"/>
      <c r="I19" s="204">
        <v>30</v>
      </c>
      <c r="J19" s="178"/>
      <c r="K19" s="236" t="str">
        <f>IF(I19=30," ",IF(I19=60,"Coeficiente duplicado por tasa de falla &gt;4 Sal. x año/100 km.","REVISAR COEFICIENTE"))</f>
        <v> 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568"/>
      <c r="X19" s="568"/>
      <c r="Y19" s="568"/>
      <c r="Z19" s="568"/>
      <c r="AA19" s="568"/>
      <c r="AB19" s="568"/>
      <c r="AC19" s="568"/>
      <c r="AD19" s="552"/>
    </row>
    <row r="20" spans="1:30" s="706" customFormat="1" ht="16.5" customHeight="1" thickBot="1" thickTop="1">
      <c r="A20" s="702"/>
      <c r="B20" s="703"/>
      <c r="C20" s="704">
        <v>3</v>
      </c>
      <c r="D20" s="704">
        <v>4</v>
      </c>
      <c r="E20" s="704">
        <v>5</v>
      </c>
      <c r="F20" s="704">
        <v>6</v>
      </c>
      <c r="G20" s="704">
        <v>7</v>
      </c>
      <c r="H20" s="704">
        <v>8</v>
      </c>
      <c r="I20" s="704">
        <v>9</v>
      </c>
      <c r="J20" s="704">
        <v>10</v>
      </c>
      <c r="K20" s="704">
        <v>11</v>
      </c>
      <c r="L20" s="704">
        <v>12</v>
      </c>
      <c r="M20" s="704">
        <v>13</v>
      </c>
      <c r="N20" s="704">
        <v>14</v>
      </c>
      <c r="O20" s="704">
        <v>15</v>
      </c>
      <c r="P20" s="704">
        <v>16</v>
      </c>
      <c r="Q20" s="704">
        <v>17</v>
      </c>
      <c r="R20" s="704">
        <v>18</v>
      </c>
      <c r="S20" s="704">
        <v>19</v>
      </c>
      <c r="T20" s="704">
        <v>20</v>
      </c>
      <c r="U20" s="704">
        <v>21</v>
      </c>
      <c r="V20" s="704">
        <v>22</v>
      </c>
      <c r="W20" s="704">
        <v>23</v>
      </c>
      <c r="X20" s="704">
        <v>24</v>
      </c>
      <c r="Y20" s="704">
        <v>25</v>
      </c>
      <c r="Z20" s="704">
        <v>26</v>
      </c>
      <c r="AA20" s="704">
        <v>27</v>
      </c>
      <c r="AB20" s="704">
        <v>28</v>
      </c>
      <c r="AC20" s="704">
        <v>29</v>
      </c>
      <c r="AD20" s="705"/>
    </row>
    <row r="21" spans="1:30" s="578" customFormat="1" ht="33.75" customHeight="1" thickBot="1" thickTop="1">
      <c r="A21" s="569"/>
      <c r="B21" s="570"/>
      <c r="C21" s="214" t="s">
        <v>45</v>
      </c>
      <c r="D21" s="101" t="s">
        <v>129</v>
      </c>
      <c r="E21" s="101" t="s">
        <v>128</v>
      </c>
      <c r="F21" s="213" t="s">
        <v>69</v>
      </c>
      <c r="G21" s="209" t="s">
        <v>14</v>
      </c>
      <c r="H21" s="210" t="s">
        <v>70</v>
      </c>
      <c r="I21" s="213" t="s">
        <v>46</v>
      </c>
      <c r="J21" s="264" t="s">
        <v>48</v>
      </c>
      <c r="K21" s="212" t="s">
        <v>71</v>
      </c>
      <c r="L21" s="212" t="s">
        <v>72</v>
      </c>
      <c r="M21" s="213" t="s">
        <v>73</v>
      </c>
      <c r="N21" s="213" t="s">
        <v>74</v>
      </c>
      <c r="O21" s="105" t="s">
        <v>53</v>
      </c>
      <c r="P21" s="214" t="s">
        <v>75</v>
      </c>
      <c r="Q21" s="213" t="s">
        <v>76</v>
      </c>
      <c r="R21" s="209" t="s">
        <v>77</v>
      </c>
      <c r="S21" s="334" t="s">
        <v>78</v>
      </c>
      <c r="T21" s="571" t="s">
        <v>55</v>
      </c>
      <c r="U21" s="572" t="s">
        <v>56</v>
      </c>
      <c r="V21" s="350" t="s">
        <v>79</v>
      </c>
      <c r="W21" s="573"/>
      <c r="X21" s="359" t="s">
        <v>79</v>
      </c>
      <c r="Y21" s="574"/>
      <c r="Z21" s="575" t="s">
        <v>59</v>
      </c>
      <c r="AA21" s="576" t="s">
        <v>60</v>
      </c>
      <c r="AB21" s="213" t="s">
        <v>61</v>
      </c>
      <c r="AC21" s="213" t="s">
        <v>62</v>
      </c>
      <c r="AD21" s="577"/>
    </row>
    <row r="22" spans="1:30" s="540" customFormat="1" ht="16.5" customHeight="1" thickTop="1">
      <c r="A22" s="539"/>
      <c r="B22" s="551"/>
      <c r="C22" s="579"/>
      <c r="D22" s="579"/>
      <c r="E22" s="579"/>
      <c r="F22" s="580"/>
      <c r="G22" s="581"/>
      <c r="H22" s="581"/>
      <c r="I22" s="581"/>
      <c r="J22" s="582"/>
      <c r="K22" s="580"/>
      <c r="L22" s="581"/>
      <c r="M22" s="580"/>
      <c r="N22" s="580"/>
      <c r="O22" s="581"/>
      <c r="P22" s="581"/>
      <c r="Q22" s="581"/>
      <c r="R22" s="581"/>
      <c r="S22" s="583"/>
      <c r="T22" s="584"/>
      <c r="U22" s="585"/>
      <c r="V22" s="586"/>
      <c r="W22" s="587"/>
      <c r="X22" s="588"/>
      <c r="Y22" s="589"/>
      <c r="Z22" s="590"/>
      <c r="AA22" s="591"/>
      <c r="AB22" s="581"/>
      <c r="AC22" s="592"/>
      <c r="AD22" s="552"/>
    </row>
    <row r="23" spans="1:30" s="540" customFormat="1" ht="16.5" customHeight="1">
      <c r="A23" s="539"/>
      <c r="B23" s="551"/>
      <c r="C23" s="579"/>
      <c r="D23" s="579"/>
      <c r="E23" s="579"/>
      <c r="F23" s="593"/>
      <c r="G23" s="593"/>
      <c r="H23" s="593"/>
      <c r="I23" s="593"/>
      <c r="J23" s="594"/>
      <c r="K23" s="595"/>
      <c r="L23" s="593"/>
      <c r="M23" s="595"/>
      <c r="N23" s="595"/>
      <c r="O23" s="593"/>
      <c r="P23" s="593"/>
      <c r="Q23" s="593"/>
      <c r="R23" s="593"/>
      <c r="S23" s="596"/>
      <c r="T23" s="597"/>
      <c r="U23" s="598"/>
      <c r="V23" s="599"/>
      <c r="W23" s="600"/>
      <c r="X23" s="601"/>
      <c r="Y23" s="602"/>
      <c r="Z23" s="603"/>
      <c r="AA23" s="604"/>
      <c r="AB23" s="593"/>
      <c r="AC23" s="605"/>
      <c r="AD23" s="552"/>
    </row>
    <row r="24" spans="1:30" s="540" customFormat="1" ht="16.5" customHeight="1">
      <c r="A24" s="539"/>
      <c r="B24" s="551"/>
      <c r="C24" s="633">
        <v>7</v>
      </c>
      <c r="D24" s="633">
        <v>286380</v>
      </c>
      <c r="E24" s="633">
        <v>1810</v>
      </c>
      <c r="F24" s="499" t="s">
        <v>146</v>
      </c>
      <c r="G24" s="498" t="s">
        <v>145</v>
      </c>
      <c r="H24" s="634">
        <v>30</v>
      </c>
      <c r="I24" s="670" t="s">
        <v>144</v>
      </c>
      <c r="J24" s="267">
        <f aca="true" t="shared" si="0" ref="J24:J30">H24*$I$18</f>
        <v>25.439999999999998</v>
      </c>
      <c r="K24" s="637">
        <v>42076.302777777775</v>
      </c>
      <c r="L24" s="637">
        <v>42076.775</v>
      </c>
      <c r="M24" s="26">
        <f aca="true" t="shared" si="1" ref="M24:M30">IF(F24="","",(L24-K24)*24)</f>
        <v>11.333333333430346</v>
      </c>
      <c r="N24" s="27">
        <f aca="true" t="shared" si="2" ref="N24:N30">IF(F24="","",ROUND((L24-K24)*24*60,0))</f>
        <v>680</v>
      </c>
      <c r="O24" s="638" t="s">
        <v>135</v>
      </c>
      <c r="P24" s="25" t="str">
        <f aca="true" t="shared" si="3" ref="P24:P34">IF(F24="","",IF(OR(O24="P",O24="RP"),"--","NO"))</f>
        <v>--</v>
      </c>
      <c r="Q24" s="690" t="str">
        <f aca="true" t="shared" si="4" ref="Q24:Q34">IF(F24="","","--")</f>
        <v>--</v>
      </c>
      <c r="R24" s="25" t="str">
        <f aca="true" t="shared" si="5" ref="R24:R34">IF(F24="","","NO")</f>
        <v>NO</v>
      </c>
      <c r="S24" s="337">
        <f aca="true" t="shared" si="6" ref="S24:S30">$I$19*IF(OR(O24="P",O24="RP"),0.1,1)*IF(R24="SI",1,0.1)</f>
        <v>0.30000000000000004</v>
      </c>
      <c r="T24" s="691">
        <f aca="true" t="shared" si="7" ref="T24:T30">IF(O24="P",J24*S24*ROUND(N24/60,2),"--")</f>
        <v>86.47056</v>
      </c>
      <c r="U24" s="692" t="str">
        <f aca="true" t="shared" si="8" ref="U24:U30">IF(O24="RP",J24*S24*ROUND(N24/60,2)*Q24/100,"--")</f>
        <v>--</v>
      </c>
      <c r="V24" s="356" t="str">
        <f aca="true" t="shared" si="9" ref="V24:V30">IF(AND(O24="F",P24="NO"),J24*S24,"--")</f>
        <v>--</v>
      </c>
      <c r="W24" s="357" t="str">
        <f aca="true" t="shared" si="10" ref="W24:W30">IF(O24="F",J24*S24*ROUND(N24/60,2),"--")</f>
        <v>--</v>
      </c>
      <c r="X24" s="365" t="str">
        <f aca="true" t="shared" si="11" ref="X24:X30">IF(AND(O24="R",P24="NO"),J24*S24*Q24/100,"--")</f>
        <v>--</v>
      </c>
      <c r="Y24" s="366" t="str">
        <f aca="true" t="shared" si="12" ref="Y24:Y30">IF(O24="R",J24*S24*ROUND(N24/60,2)*Q24/100,"--")</f>
        <v>--</v>
      </c>
      <c r="Z24" s="371" t="str">
        <f aca="true" t="shared" si="13" ref="Z24:Z30">IF(O24="RF",J24*S24*ROUND(N24/60,2),"--")</f>
        <v>--</v>
      </c>
      <c r="AA24" s="377" t="str">
        <f aca="true" t="shared" si="14" ref="AA24:AA30">IF(O24="RR",J24*S24*ROUND(N24/60,2)*Q24/100,"--")</f>
        <v>--</v>
      </c>
      <c r="AB24" s="25" t="s">
        <v>136</v>
      </c>
      <c r="AC24" s="606">
        <f aca="true" t="shared" si="15" ref="AC24:AC30">IF(F24="","",SUM(T24:AA24)*IF(AB24="SI",1,2))</f>
        <v>86.47056</v>
      </c>
      <c r="AD24" s="552"/>
    </row>
    <row r="25" spans="1:30" s="540" customFormat="1" ht="16.5" customHeight="1">
      <c r="A25" s="539"/>
      <c r="B25" s="551"/>
      <c r="C25" s="633">
        <v>8</v>
      </c>
      <c r="D25" s="633">
        <v>286695</v>
      </c>
      <c r="E25" s="633">
        <v>1810</v>
      </c>
      <c r="F25" s="499" t="s">
        <v>146</v>
      </c>
      <c r="G25" s="498" t="s">
        <v>145</v>
      </c>
      <c r="H25" s="634">
        <v>30</v>
      </c>
      <c r="I25" s="670" t="s">
        <v>144</v>
      </c>
      <c r="J25" s="267">
        <f t="shared" si="0"/>
        <v>25.439999999999998</v>
      </c>
      <c r="K25" s="637">
        <v>42083.37222222222</v>
      </c>
      <c r="L25" s="637">
        <v>42083.427083333336</v>
      </c>
      <c r="M25" s="26">
        <f t="shared" si="1"/>
        <v>1.31666666676756</v>
      </c>
      <c r="N25" s="27">
        <f t="shared" si="2"/>
        <v>79</v>
      </c>
      <c r="O25" s="638" t="s">
        <v>135</v>
      </c>
      <c r="P25" s="25" t="str">
        <f t="shared" si="3"/>
        <v>--</v>
      </c>
      <c r="Q25" s="690" t="str">
        <f t="shared" si="4"/>
        <v>--</v>
      </c>
      <c r="R25" s="25" t="str">
        <f t="shared" si="5"/>
        <v>NO</v>
      </c>
      <c r="S25" s="337">
        <f t="shared" si="6"/>
        <v>0.30000000000000004</v>
      </c>
      <c r="T25" s="691">
        <f t="shared" si="7"/>
        <v>10.074240000000001</v>
      </c>
      <c r="U25" s="692" t="str">
        <f t="shared" si="8"/>
        <v>--</v>
      </c>
      <c r="V25" s="356" t="str">
        <f t="shared" si="9"/>
        <v>--</v>
      </c>
      <c r="W25" s="357" t="str">
        <f t="shared" si="10"/>
        <v>--</v>
      </c>
      <c r="X25" s="365" t="str">
        <f t="shared" si="11"/>
        <v>--</v>
      </c>
      <c r="Y25" s="366" t="str">
        <f t="shared" si="12"/>
        <v>--</v>
      </c>
      <c r="Z25" s="371" t="str">
        <f t="shared" si="13"/>
        <v>--</v>
      </c>
      <c r="AA25" s="377" t="str">
        <f t="shared" si="14"/>
        <v>--</v>
      </c>
      <c r="AB25" s="25" t="s">
        <v>136</v>
      </c>
      <c r="AC25" s="606">
        <f t="shared" si="15"/>
        <v>10.074240000000001</v>
      </c>
      <c r="AD25" s="552"/>
    </row>
    <row r="26" spans="1:30" s="540" customFormat="1" ht="16.5" customHeight="1">
      <c r="A26" s="539"/>
      <c r="B26" s="551"/>
      <c r="C26" s="633"/>
      <c r="D26" s="633"/>
      <c r="E26" s="633"/>
      <c r="F26" s="499"/>
      <c r="G26" s="498"/>
      <c r="H26" s="634"/>
      <c r="I26" s="635"/>
      <c r="J26" s="267">
        <f t="shared" si="0"/>
        <v>0</v>
      </c>
      <c r="K26" s="637"/>
      <c r="L26" s="637"/>
      <c r="M26" s="26">
        <f t="shared" si="1"/>
      </c>
      <c r="N26" s="27">
        <f t="shared" si="2"/>
      </c>
      <c r="O26" s="638"/>
      <c r="P26" s="25">
        <f t="shared" si="3"/>
      </c>
      <c r="Q26" s="690">
        <f t="shared" si="4"/>
      </c>
      <c r="R26" s="25">
        <f t="shared" si="5"/>
      </c>
      <c r="S26" s="337">
        <f t="shared" si="6"/>
        <v>3</v>
      </c>
      <c r="T26" s="691" t="str">
        <f t="shared" si="7"/>
        <v>--</v>
      </c>
      <c r="U26" s="692" t="str">
        <f t="shared" si="8"/>
        <v>--</v>
      </c>
      <c r="V26" s="356" t="str">
        <f t="shared" si="9"/>
        <v>--</v>
      </c>
      <c r="W26" s="357" t="str">
        <f t="shared" si="10"/>
        <v>--</v>
      </c>
      <c r="X26" s="365" t="str">
        <f t="shared" si="11"/>
        <v>--</v>
      </c>
      <c r="Y26" s="366" t="str">
        <f t="shared" si="12"/>
        <v>--</v>
      </c>
      <c r="Z26" s="371" t="str">
        <f t="shared" si="13"/>
        <v>--</v>
      </c>
      <c r="AA26" s="377" t="str">
        <f t="shared" si="14"/>
        <v>--</v>
      </c>
      <c r="AB26" s="25">
        <f aca="true" t="shared" si="16" ref="AB26:AB34">IF(F26="","","SI")</f>
      </c>
      <c r="AC26" s="606">
        <f t="shared" si="15"/>
      </c>
      <c r="AD26" s="552"/>
    </row>
    <row r="27" spans="1:30" s="540" customFormat="1" ht="16.5" customHeight="1">
      <c r="A27" s="539"/>
      <c r="B27" s="551"/>
      <c r="C27" s="633"/>
      <c r="D27" s="633"/>
      <c r="E27" s="633"/>
      <c r="F27" s="499"/>
      <c r="G27" s="498"/>
      <c r="H27" s="634"/>
      <c r="I27" s="635"/>
      <c r="J27" s="267">
        <f t="shared" si="0"/>
        <v>0</v>
      </c>
      <c r="K27" s="637"/>
      <c r="L27" s="637"/>
      <c r="M27" s="26">
        <f t="shared" si="1"/>
      </c>
      <c r="N27" s="27">
        <f t="shared" si="2"/>
      </c>
      <c r="O27" s="638"/>
      <c r="P27" s="25">
        <f t="shared" si="3"/>
      </c>
      <c r="Q27" s="690">
        <f t="shared" si="4"/>
      </c>
      <c r="R27" s="25">
        <f t="shared" si="5"/>
      </c>
      <c r="S27" s="337">
        <f t="shared" si="6"/>
        <v>3</v>
      </c>
      <c r="T27" s="691" t="str">
        <f t="shared" si="7"/>
        <v>--</v>
      </c>
      <c r="U27" s="692" t="str">
        <f t="shared" si="8"/>
        <v>--</v>
      </c>
      <c r="V27" s="356" t="str">
        <f t="shared" si="9"/>
        <v>--</v>
      </c>
      <c r="W27" s="357" t="str">
        <f t="shared" si="10"/>
        <v>--</v>
      </c>
      <c r="X27" s="365" t="str">
        <f t="shared" si="11"/>
        <v>--</v>
      </c>
      <c r="Y27" s="366" t="str">
        <f t="shared" si="12"/>
        <v>--</v>
      </c>
      <c r="Z27" s="371" t="str">
        <f t="shared" si="13"/>
        <v>--</v>
      </c>
      <c r="AA27" s="377" t="str">
        <f t="shared" si="14"/>
        <v>--</v>
      </c>
      <c r="AB27" s="25">
        <f t="shared" si="16"/>
      </c>
      <c r="AC27" s="606">
        <f t="shared" si="15"/>
      </c>
      <c r="AD27" s="552"/>
    </row>
    <row r="28" spans="1:30" s="540" customFormat="1" ht="16.5" customHeight="1">
      <c r="A28" s="539"/>
      <c r="B28" s="551"/>
      <c r="C28" s="633"/>
      <c r="D28" s="633"/>
      <c r="E28" s="633"/>
      <c r="F28" s="499"/>
      <c r="G28" s="498"/>
      <c r="H28" s="634"/>
      <c r="I28" s="635"/>
      <c r="J28" s="267">
        <f t="shared" si="0"/>
        <v>0</v>
      </c>
      <c r="K28" s="637"/>
      <c r="L28" s="637"/>
      <c r="M28" s="26">
        <f t="shared" si="1"/>
      </c>
      <c r="N28" s="27">
        <f t="shared" si="2"/>
      </c>
      <c r="O28" s="638"/>
      <c r="P28" s="25">
        <f t="shared" si="3"/>
      </c>
      <c r="Q28" s="690">
        <f t="shared" si="4"/>
      </c>
      <c r="R28" s="25">
        <f t="shared" si="5"/>
      </c>
      <c r="S28" s="337">
        <f t="shared" si="6"/>
        <v>3</v>
      </c>
      <c r="T28" s="691" t="str">
        <f t="shared" si="7"/>
        <v>--</v>
      </c>
      <c r="U28" s="692" t="str">
        <f t="shared" si="8"/>
        <v>--</v>
      </c>
      <c r="V28" s="356" t="str">
        <f t="shared" si="9"/>
        <v>--</v>
      </c>
      <c r="W28" s="357" t="str">
        <f t="shared" si="10"/>
        <v>--</v>
      </c>
      <c r="X28" s="365" t="str">
        <f t="shared" si="11"/>
        <v>--</v>
      </c>
      <c r="Y28" s="366" t="str">
        <f t="shared" si="12"/>
        <v>--</v>
      </c>
      <c r="Z28" s="371" t="str">
        <f t="shared" si="13"/>
        <v>--</v>
      </c>
      <c r="AA28" s="377" t="str">
        <f t="shared" si="14"/>
        <v>--</v>
      </c>
      <c r="AB28" s="25">
        <f t="shared" si="16"/>
      </c>
      <c r="AC28" s="606">
        <f t="shared" si="15"/>
      </c>
      <c r="AD28" s="552"/>
    </row>
    <row r="29" spans="1:30" s="540" customFormat="1" ht="16.5" customHeight="1">
      <c r="A29" s="539"/>
      <c r="B29" s="551"/>
      <c r="C29" s="633"/>
      <c r="D29" s="633"/>
      <c r="E29" s="633"/>
      <c r="F29" s="499"/>
      <c r="G29" s="498"/>
      <c r="H29" s="634"/>
      <c r="I29" s="635"/>
      <c r="J29" s="267">
        <f t="shared" si="0"/>
        <v>0</v>
      </c>
      <c r="K29" s="637"/>
      <c r="L29" s="637"/>
      <c r="M29" s="26">
        <f t="shared" si="1"/>
      </c>
      <c r="N29" s="27">
        <f t="shared" si="2"/>
      </c>
      <c r="O29" s="638"/>
      <c r="P29" s="25">
        <f t="shared" si="3"/>
      </c>
      <c r="Q29" s="690">
        <f t="shared" si="4"/>
      </c>
      <c r="R29" s="25">
        <f t="shared" si="5"/>
      </c>
      <c r="S29" s="337">
        <f t="shared" si="6"/>
        <v>3</v>
      </c>
      <c r="T29" s="691" t="str">
        <f t="shared" si="7"/>
        <v>--</v>
      </c>
      <c r="U29" s="692" t="str">
        <f t="shared" si="8"/>
        <v>--</v>
      </c>
      <c r="V29" s="356" t="str">
        <f t="shared" si="9"/>
        <v>--</v>
      </c>
      <c r="W29" s="357" t="str">
        <f t="shared" si="10"/>
        <v>--</v>
      </c>
      <c r="X29" s="365" t="str">
        <f t="shared" si="11"/>
        <v>--</v>
      </c>
      <c r="Y29" s="366" t="str">
        <f t="shared" si="12"/>
        <v>--</v>
      </c>
      <c r="Z29" s="371" t="str">
        <f t="shared" si="13"/>
        <v>--</v>
      </c>
      <c r="AA29" s="377" t="str">
        <f t="shared" si="14"/>
        <v>--</v>
      </c>
      <c r="AB29" s="25">
        <f t="shared" si="16"/>
      </c>
      <c r="AC29" s="606">
        <f t="shared" si="15"/>
      </c>
      <c r="AD29" s="552"/>
    </row>
    <row r="30" spans="1:30" s="540" customFormat="1" ht="16.5" customHeight="1">
      <c r="A30" s="539"/>
      <c r="B30" s="551"/>
      <c r="C30" s="633"/>
      <c r="D30" s="633"/>
      <c r="E30" s="633"/>
      <c r="F30" s="499"/>
      <c r="G30" s="498"/>
      <c r="H30" s="634"/>
      <c r="I30" s="635"/>
      <c r="J30" s="267">
        <f t="shared" si="0"/>
        <v>0</v>
      </c>
      <c r="K30" s="637"/>
      <c r="L30" s="637"/>
      <c r="M30" s="26">
        <f t="shared" si="1"/>
      </c>
      <c r="N30" s="27">
        <f t="shared" si="2"/>
      </c>
      <c r="O30" s="638"/>
      <c r="P30" s="25">
        <f t="shared" si="3"/>
      </c>
      <c r="Q30" s="690">
        <f t="shared" si="4"/>
      </c>
      <c r="R30" s="25">
        <f t="shared" si="5"/>
      </c>
      <c r="S30" s="337">
        <f t="shared" si="6"/>
        <v>3</v>
      </c>
      <c r="T30" s="691" t="str">
        <f t="shared" si="7"/>
        <v>--</v>
      </c>
      <c r="U30" s="692" t="str">
        <f t="shared" si="8"/>
        <v>--</v>
      </c>
      <c r="V30" s="356" t="str">
        <f t="shared" si="9"/>
        <v>--</v>
      </c>
      <c r="W30" s="357" t="str">
        <f t="shared" si="10"/>
        <v>--</v>
      </c>
      <c r="X30" s="365" t="str">
        <f t="shared" si="11"/>
        <v>--</v>
      </c>
      <c r="Y30" s="366" t="str">
        <f t="shared" si="12"/>
        <v>--</v>
      </c>
      <c r="Z30" s="371" t="str">
        <f t="shared" si="13"/>
        <v>--</v>
      </c>
      <c r="AA30" s="377" t="str">
        <f t="shared" si="14"/>
        <v>--</v>
      </c>
      <c r="AB30" s="25">
        <f t="shared" si="16"/>
      </c>
      <c r="AC30" s="606">
        <f t="shared" si="15"/>
      </c>
      <c r="AD30" s="552"/>
    </row>
    <row r="31" spans="1:30" s="540" customFormat="1" ht="16.5" customHeight="1">
      <c r="A31" s="539"/>
      <c r="B31" s="551"/>
      <c r="C31" s="633"/>
      <c r="D31" s="633"/>
      <c r="E31" s="633"/>
      <c r="F31" s="499"/>
      <c r="G31" s="498"/>
      <c r="H31" s="634"/>
      <c r="I31" s="635"/>
      <c r="J31" s="267">
        <f>H31*$I$18</f>
        <v>0</v>
      </c>
      <c r="K31" s="637"/>
      <c r="L31" s="637"/>
      <c r="M31" s="26">
        <f>IF(F31="","",(L31-K31)*24)</f>
      </c>
      <c r="N31" s="27">
        <f>IF(F31="","",ROUND((L31-K31)*24*60,0))</f>
      </c>
      <c r="O31" s="638"/>
      <c r="P31" s="25">
        <f t="shared" si="3"/>
      </c>
      <c r="Q31" s="690">
        <f t="shared" si="4"/>
      </c>
      <c r="R31" s="25">
        <f t="shared" si="5"/>
      </c>
      <c r="S31" s="337">
        <f>$I$19*IF(OR(O31="P",O31="RP"),0.1,1)*IF(R31="SI",1,0.1)</f>
        <v>3</v>
      </c>
      <c r="T31" s="691" t="str">
        <f>IF(O31="P",J31*S31*ROUND(N31/60,2),"--")</f>
        <v>--</v>
      </c>
      <c r="U31" s="692" t="str">
        <f>IF(O31="RP",J31*S31*ROUND(N31/60,2)*Q31/100,"--")</f>
        <v>--</v>
      </c>
      <c r="V31" s="356" t="str">
        <f>IF(AND(O31="F",P31="NO"),J31*S31,"--")</f>
        <v>--</v>
      </c>
      <c r="W31" s="357" t="str">
        <f>IF(O31="F",J31*S31*ROUND(N31/60,2),"--")</f>
        <v>--</v>
      </c>
      <c r="X31" s="365" t="str">
        <f>IF(AND(O31="R",P31="NO"),J31*S31*Q31/100,"--")</f>
        <v>--</v>
      </c>
      <c r="Y31" s="366" t="str">
        <f>IF(O31="R",J31*S31*ROUND(N31/60,2)*Q31/100,"--")</f>
        <v>--</v>
      </c>
      <c r="Z31" s="371" t="str">
        <f>IF(O31="RF",J31*S31*ROUND(N31/60,2),"--")</f>
        <v>--</v>
      </c>
      <c r="AA31" s="377" t="str">
        <f>IF(O31="RR",J31*S31*ROUND(N31/60,2)*Q31/100,"--")</f>
        <v>--</v>
      </c>
      <c r="AB31" s="25">
        <f t="shared" si="16"/>
      </c>
      <c r="AC31" s="606">
        <f>IF(F31="","",SUM(T31:AA31)*IF(AB31="SI",1,2))</f>
      </c>
      <c r="AD31" s="552"/>
    </row>
    <row r="32" spans="1:30" s="540" customFormat="1" ht="16.5" customHeight="1">
      <c r="A32" s="539"/>
      <c r="B32" s="551"/>
      <c r="C32" s="633"/>
      <c r="D32" s="633"/>
      <c r="E32" s="633"/>
      <c r="F32" s="499"/>
      <c r="G32" s="498"/>
      <c r="H32" s="634"/>
      <c r="I32" s="635"/>
      <c r="J32" s="267">
        <f>H32*$I$18</f>
        <v>0</v>
      </c>
      <c r="K32" s="637"/>
      <c r="L32" s="637"/>
      <c r="M32" s="26">
        <f>IF(F32="","",(L32-K32)*24)</f>
      </c>
      <c r="N32" s="27">
        <f>IF(F32="","",ROUND((L32-K32)*24*60,0))</f>
      </c>
      <c r="O32" s="638"/>
      <c r="P32" s="25">
        <f t="shared" si="3"/>
      </c>
      <c r="Q32" s="690">
        <f t="shared" si="4"/>
      </c>
      <c r="R32" s="25">
        <f t="shared" si="5"/>
      </c>
      <c r="S32" s="337">
        <f>$I$19*IF(OR(O32="P",O32="RP"),0.1,1)*IF(R32="SI",1,0.1)</f>
        <v>3</v>
      </c>
      <c r="T32" s="691" t="str">
        <f>IF(O32="P",J32*S32*ROUND(N32/60,2),"--")</f>
        <v>--</v>
      </c>
      <c r="U32" s="692" t="str">
        <f>IF(O32="RP",J32*S32*ROUND(N32/60,2)*Q32/100,"--")</f>
        <v>--</v>
      </c>
      <c r="V32" s="356" t="str">
        <f>IF(AND(O32="F",P32="NO"),J32*S32,"--")</f>
        <v>--</v>
      </c>
      <c r="W32" s="357" t="str">
        <f>IF(O32="F",J32*S32*ROUND(N32/60,2),"--")</f>
        <v>--</v>
      </c>
      <c r="X32" s="365" t="str">
        <f>IF(AND(O32="R",P32="NO"),J32*S32*Q32/100,"--")</f>
        <v>--</v>
      </c>
      <c r="Y32" s="366" t="str">
        <f>IF(O32="R",J32*S32*ROUND(N32/60,2)*Q32/100,"--")</f>
        <v>--</v>
      </c>
      <c r="Z32" s="371" t="str">
        <f>IF(O32="RF",J32*S32*ROUND(N32/60,2),"--")</f>
        <v>--</v>
      </c>
      <c r="AA32" s="377" t="str">
        <f>IF(O32="RR",J32*S32*ROUND(N32/60,2)*Q32/100,"--")</f>
        <v>--</v>
      </c>
      <c r="AB32" s="25">
        <f t="shared" si="16"/>
      </c>
      <c r="AC32" s="606">
        <f>IF(F32="","",SUM(T32:AA32)*IF(AB32="SI",1,2))</f>
      </c>
      <c r="AD32" s="552"/>
    </row>
    <row r="33" spans="1:30" s="540" customFormat="1" ht="16.5" customHeight="1">
      <c r="A33" s="539"/>
      <c r="B33" s="551"/>
      <c r="C33" s="633"/>
      <c r="D33" s="633"/>
      <c r="E33" s="633"/>
      <c r="F33" s="499"/>
      <c r="G33" s="498"/>
      <c r="H33" s="634"/>
      <c r="I33" s="635"/>
      <c r="J33" s="267">
        <f>H33*$I$18</f>
        <v>0</v>
      </c>
      <c r="K33" s="637"/>
      <c r="L33" s="637"/>
      <c r="M33" s="26">
        <f>IF(F33="","",(L33-K33)*24)</f>
      </c>
      <c r="N33" s="27">
        <f>IF(F33="","",ROUND((L33-K33)*24*60,0))</f>
      </c>
      <c r="O33" s="638"/>
      <c r="P33" s="25">
        <f t="shared" si="3"/>
      </c>
      <c r="Q33" s="690">
        <f t="shared" si="4"/>
      </c>
      <c r="R33" s="25">
        <f t="shared" si="5"/>
      </c>
      <c r="S33" s="337">
        <f>$I$19*IF(OR(O33="P",O33="RP"),0.1,1)*IF(R33="SI",1,0.1)</f>
        <v>3</v>
      </c>
      <c r="T33" s="691" t="str">
        <f>IF(O33="P",J33*S33*ROUND(N33/60,2),"--")</f>
        <v>--</v>
      </c>
      <c r="U33" s="692" t="str">
        <f>IF(O33="RP",J33*S33*ROUND(N33/60,2)*Q33/100,"--")</f>
        <v>--</v>
      </c>
      <c r="V33" s="356" t="str">
        <f>IF(AND(O33="F",P33="NO"),J33*S33,"--")</f>
        <v>--</v>
      </c>
      <c r="W33" s="357" t="str">
        <f>IF(O33="F",J33*S33*ROUND(N33/60,2),"--")</f>
        <v>--</v>
      </c>
      <c r="X33" s="365" t="str">
        <f>IF(AND(O33="R",P33="NO"),J33*S33*Q33/100,"--")</f>
        <v>--</v>
      </c>
      <c r="Y33" s="366" t="str">
        <f>IF(O33="R",J33*S33*ROUND(N33/60,2)*Q33/100,"--")</f>
        <v>--</v>
      </c>
      <c r="Z33" s="371" t="str">
        <f>IF(O33="RF",J33*S33*ROUND(N33/60,2),"--")</f>
        <v>--</v>
      </c>
      <c r="AA33" s="377" t="str">
        <f>IF(O33="RR",J33*S33*ROUND(N33/60,2)*Q33/100,"--")</f>
        <v>--</v>
      </c>
      <c r="AB33" s="25">
        <f t="shared" si="16"/>
      </c>
      <c r="AC33" s="606">
        <f>IF(F33="","",SUM(T33:AA33)*IF(AB33="SI",1,2))</f>
      </c>
      <c r="AD33" s="552"/>
    </row>
    <row r="34" spans="1:30" s="540" customFormat="1" ht="16.5" customHeight="1">
      <c r="A34" s="539"/>
      <c r="B34" s="551"/>
      <c r="C34" s="633"/>
      <c r="D34" s="633"/>
      <c r="E34" s="633"/>
      <c r="F34" s="499"/>
      <c r="G34" s="498"/>
      <c r="H34" s="634"/>
      <c r="I34" s="635"/>
      <c r="J34" s="267">
        <f>H34*$I$18</f>
        <v>0</v>
      </c>
      <c r="K34" s="637"/>
      <c r="L34" s="637"/>
      <c r="M34" s="26">
        <f>IF(F34="","",(L34-K34)*24)</f>
      </c>
      <c r="N34" s="27">
        <f>IF(F34="","",ROUND((L34-K34)*24*60,0))</f>
      </c>
      <c r="O34" s="638"/>
      <c r="P34" s="25">
        <f t="shared" si="3"/>
      </c>
      <c r="Q34" s="690">
        <f t="shared" si="4"/>
      </c>
      <c r="R34" s="25">
        <f t="shared" si="5"/>
      </c>
      <c r="S34" s="337">
        <f>$I$19*IF(OR(O34="P",O34="RP"),0.1,1)*IF(R34="SI",1,0.1)</f>
        <v>3</v>
      </c>
      <c r="T34" s="691" t="str">
        <f>IF(O34="P",J34*S34*ROUND(N34/60,2),"--")</f>
        <v>--</v>
      </c>
      <c r="U34" s="692" t="str">
        <f>IF(O34="RP",J34*S34*ROUND(N34/60,2)*Q34/100,"--")</f>
        <v>--</v>
      </c>
      <c r="V34" s="356" t="str">
        <f>IF(AND(O34="F",P34="NO"),J34*S34,"--")</f>
        <v>--</v>
      </c>
      <c r="W34" s="357" t="str">
        <f>IF(O34="F",J34*S34*ROUND(N34/60,2),"--")</f>
        <v>--</v>
      </c>
      <c r="X34" s="365" t="str">
        <f>IF(AND(O34="R",P34="NO"),J34*S34*Q34/100,"--")</f>
        <v>--</v>
      </c>
      <c r="Y34" s="366" t="str">
        <f>IF(O34="R",J34*S34*ROUND(N34/60,2)*Q34/100,"--")</f>
        <v>--</v>
      </c>
      <c r="Z34" s="371" t="str">
        <f>IF(O34="RF",J34*S34*ROUND(N34/60,2),"--")</f>
        <v>--</v>
      </c>
      <c r="AA34" s="377" t="str">
        <f>IF(O34="RR",J34*S34*ROUND(N34/60,2)*Q34/100,"--")</f>
        <v>--</v>
      </c>
      <c r="AB34" s="25">
        <f t="shared" si="16"/>
      </c>
      <c r="AC34" s="606">
        <f>IF(F34="","",SUM(T34:AA34)*IF(AB34="SI",1,2))</f>
      </c>
      <c r="AD34" s="552"/>
    </row>
    <row r="35" spans="1:30" s="540" customFormat="1" ht="16.5" customHeight="1" thickBot="1">
      <c r="A35" s="539"/>
      <c r="B35" s="551"/>
      <c r="C35" s="636"/>
      <c r="D35" s="636"/>
      <c r="E35" s="636"/>
      <c r="F35" s="636"/>
      <c r="G35" s="636"/>
      <c r="H35" s="636"/>
      <c r="I35" s="636"/>
      <c r="J35" s="608"/>
      <c r="K35" s="636"/>
      <c r="L35" s="636"/>
      <c r="M35" s="607"/>
      <c r="N35" s="607"/>
      <c r="O35" s="636"/>
      <c r="P35" s="636"/>
      <c r="Q35" s="636"/>
      <c r="R35" s="636"/>
      <c r="S35" s="639"/>
      <c r="T35" s="640"/>
      <c r="U35" s="641"/>
      <c r="V35" s="642"/>
      <c r="W35" s="643"/>
      <c r="X35" s="644"/>
      <c r="Y35" s="645"/>
      <c r="Z35" s="646"/>
      <c r="AA35" s="647"/>
      <c r="AB35" s="636"/>
      <c r="AC35" s="609"/>
      <c r="AD35" s="552"/>
    </row>
    <row r="36" spans="1:30" s="540" customFormat="1" ht="16.5" customHeight="1" thickBot="1" thickTop="1">
      <c r="A36" s="539"/>
      <c r="B36" s="551"/>
      <c r="C36" s="610" t="s">
        <v>63</v>
      </c>
      <c r="D36" s="696"/>
      <c r="E36" s="245"/>
      <c r="F36" s="240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611">
        <f aca="true" t="shared" si="17" ref="T36:AA36">SUM(T22:T35)</f>
        <v>96.54480000000001</v>
      </c>
      <c r="U36" s="612">
        <f t="shared" si="17"/>
        <v>0</v>
      </c>
      <c r="V36" s="613">
        <f t="shared" si="17"/>
        <v>0</v>
      </c>
      <c r="W36" s="613">
        <f t="shared" si="17"/>
        <v>0</v>
      </c>
      <c r="X36" s="614">
        <f t="shared" si="17"/>
        <v>0</v>
      </c>
      <c r="Y36" s="614">
        <f t="shared" si="17"/>
        <v>0</v>
      </c>
      <c r="Z36" s="615">
        <f t="shared" si="17"/>
        <v>0</v>
      </c>
      <c r="AA36" s="616">
        <f t="shared" si="17"/>
        <v>0</v>
      </c>
      <c r="AB36" s="617"/>
      <c r="AC36" s="618">
        <f>ROUND(SUM(AC22:AC35),2)</f>
        <v>96.54</v>
      </c>
      <c r="AD36" s="552"/>
    </row>
    <row r="37" spans="1:30" s="626" customFormat="1" ht="9.75" thickTop="1">
      <c r="A37" s="619"/>
      <c r="B37" s="620"/>
      <c r="C37" s="621"/>
      <c r="D37" s="621"/>
      <c r="E37" s="621"/>
      <c r="F37" s="24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3"/>
      <c r="U37" s="623"/>
      <c r="V37" s="623"/>
      <c r="W37" s="623"/>
      <c r="X37" s="623"/>
      <c r="Y37" s="623"/>
      <c r="Z37" s="623"/>
      <c r="AA37" s="623"/>
      <c r="AB37" s="622"/>
      <c r="AC37" s="624"/>
      <c r="AD37" s="625"/>
    </row>
    <row r="38" spans="1:30" s="540" customFormat="1" ht="16.5" customHeight="1" thickBot="1">
      <c r="A38" s="539"/>
      <c r="B38" s="627"/>
      <c r="C38" s="628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9"/>
    </row>
    <row r="39" spans="2:30" ht="16.5" customHeight="1" thickTop="1"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2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A24" sqref="A24:IV25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496"/>
    </row>
    <row r="2" spans="2:30" s="109" customFormat="1" ht="26.25">
      <c r="B2" s="110" t="str">
        <f>+'TOT-0315'!B2</f>
        <v>ANEXO III al Memorándum  D.T.E.E.  N°  326 / 2016             .-</v>
      </c>
      <c r="C2" s="111"/>
      <c r="D2" s="111"/>
      <c r="E2" s="171"/>
      <c r="F2" s="171"/>
      <c r="G2" s="11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5:30" s="10" customFormat="1" ht="12.75"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s="112" customFormat="1" ht="11.25">
      <c r="A4" s="676" t="s">
        <v>16</v>
      </c>
      <c r="C4" s="675"/>
      <c r="D4" s="675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s="112" customFormat="1" ht="11.25">
      <c r="A5" s="676" t="s">
        <v>130</v>
      </c>
      <c r="C5" s="675"/>
      <c r="D5" s="675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s="10" customFormat="1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0" customFormat="1" ht="13.5" thickTop="1">
      <c r="A7" s="16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</row>
    <row r="8" spans="1:30" s="114" customFormat="1" ht="20.25">
      <c r="A8" s="188"/>
      <c r="B8" s="189"/>
      <c r="C8" s="177"/>
      <c r="D8" s="177"/>
      <c r="E8" s="177"/>
      <c r="F8" s="21" t="s">
        <v>39</v>
      </c>
      <c r="H8" s="177"/>
      <c r="I8" s="188"/>
      <c r="J8" s="188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0"/>
    </row>
    <row r="9" spans="1:30" s="114" customFormat="1" ht="7.5" customHeight="1">
      <c r="A9" s="188"/>
      <c r="B9" s="189"/>
      <c r="C9" s="177"/>
      <c r="D9" s="177"/>
      <c r="E9" s="177"/>
      <c r="F9" s="21"/>
      <c r="H9" s="177"/>
      <c r="I9" s="188"/>
      <c r="J9" s="188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0"/>
    </row>
    <row r="10" spans="1:30" s="10" customFormat="1" ht="7.5" customHeight="1">
      <c r="A10" s="169"/>
      <c r="B10" s="175"/>
      <c r="C10" s="30"/>
      <c r="D10" s="30"/>
      <c r="E10" s="30"/>
      <c r="F10" s="30"/>
      <c r="G10" s="30"/>
      <c r="H10" s="30"/>
      <c r="I10" s="16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8"/>
      <c r="B11" s="189"/>
      <c r="C11" s="177"/>
      <c r="D11" s="177"/>
      <c r="E11" s="177"/>
      <c r="F11" s="218" t="s">
        <v>80</v>
      </c>
      <c r="G11" s="177"/>
      <c r="H11" s="177"/>
      <c r="I11" s="188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90"/>
    </row>
    <row r="12" spans="1:30" s="114" customFormat="1" ht="8.25" customHeight="1">
      <c r="A12" s="188"/>
      <c r="B12" s="189"/>
      <c r="C12" s="177"/>
      <c r="D12" s="177"/>
      <c r="E12" s="177"/>
      <c r="F12" s="218"/>
      <c r="G12" s="177"/>
      <c r="H12" s="177"/>
      <c r="I12" s="188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90"/>
    </row>
    <row r="13" spans="1:30" s="10" customFormat="1" ht="8.25" customHeight="1">
      <c r="A13" s="169"/>
      <c r="B13" s="175"/>
      <c r="C13" s="30"/>
      <c r="D13" s="30"/>
      <c r="E13" s="30"/>
      <c r="F13" s="123"/>
      <c r="G13" s="179"/>
      <c r="H13" s="179"/>
      <c r="I13" s="180"/>
      <c r="J13" s="17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4"/>
      <c r="B14" s="87" t="str">
        <f>+'TOT-0315'!B14</f>
        <v>Desde el 01 al 31 de marzo de 2015</v>
      </c>
      <c r="C14" s="195"/>
      <c r="D14" s="195"/>
      <c r="E14" s="195"/>
      <c r="F14" s="195"/>
      <c r="G14" s="195"/>
      <c r="H14" s="195"/>
      <c r="I14" s="196"/>
      <c r="J14" s="195"/>
      <c r="K14" s="118"/>
      <c r="L14" s="118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7"/>
    </row>
    <row r="15" spans="1:30" s="95" customFormat="1" ht="8.25" customHeight="1">
      <c r="A15" s="91"/>
      <c r="B15" s="92"/>
      <c r="C15" s="91"/>
      <c r="D15" s="91"/>
      <c r="E15" s="91"/>
      <c r="F15" s="665"/>
      <c r="G15" s="666"/>
      <c r="H15" s="667"/>
      <c r="I15" s="91"/>
      <c r="K15" s="97"/>
      <c r="L15" s="98"/>
      <c r="M15" s="236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9"/>
      <c r="B16" s="175"/>
      <c r="C16" s="30"/>
      <c r="D16" s="30"/>
      <c r="E16" s="30"/>
      <c r="F16" s="30"/>
      <c r="G16" s="30"/>
      <c r="H16" s="30"/>
      <c r="I16" s="74"/>
      <c r="J16" s="30"/>
      <c r="K16" s="185"/>
      <c r="L16" s="186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9"/>
      <c r="B17" s="175"/>
      <c r="C17" s="30"/>
      <c r="D17" s="30"/>
      <c r="E17" s="30"/>
      <c r="F17" s="198" t="s">
        <v>67</v>
      </c>
      <c r="G17" s="199"/>
      <c r="H17" s="200"/>
      <c r="I17" s="201">
        <v>0.243</v>
      </c>
      <c r="J17" s="16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9"/>
      <c r="B18" s="175"/>
      <c r="C18" s="30"/>
      <c r="D18" s="30"/>
      <c r="E18" s="30"/>
      <c r="F18" s="202" t="s">
        <v>68</v>
      </c>
      <c r="G18" s="203"/>
      <c r="H18" s="203"/>
      <c r="I18" s="204">
        <f>30*'TOT-0315'!B13</f>
        <v>30</v>
      </c>
      <c r="J18" s="30"/>
      <c r="K18" s="236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1"/>
      <c r="X18" s="181"/>
      <c r="Y18" s="181"/>
      <c r="Z18" s="181"/>
      <c r="AA18" s="181"/>
      <c r="AB18" s="181"/>
      <c r="AC18" s="181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65"/>
      <c r="G19" s="666"/>
      <c r="H19" s="667"/>
      <c r="I19" s="91"/>
      <c r="K19" s="97"/>
      <c r="L19" s="98"/>
      <c r="M19" s="23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01" customFormat="1" ht="15" customHeight="1" thickBot="1">
      <c r="A20" s="707"/>
      <c r="B20" s="708"/>
      <c r="C20" s="709">
        <v>3</v>
      </c>
      <c r="D20" s="709">
        <v>4</v>
      </c>
      <c r="E20" s="709">
        <v>5</v>
      </c>
      <c r="F20" s="709">
        <v>6</v>
      </c>
      <c r="G20" s="709">
        <v>7</v>
      </c>
      <c r="H20" s="709">
        <v>8</v>
      </c>
      <c r="I20" s="709">
        <v>9</v>
      </c>
      <c r="J20" s="709">
        <v>10</v>
      </c>
      <c r="K20" s="709">
        <v>11</v>
      </c>
      <c r="L20" s="709">
        <v>12</v>
      </c>
      <c r="M20" s="709">
        <v>13</v>
      </c>
      <c r="N20" s="709">
        <v>14</v>
      </c>
      <c r="O20" s="709">
        <v>15</v>
      </c>
      <c r="P20" s="709">
        <v>16</v>
      </c>
      <c r="Q20" s="709">
        <v>17</v>
      </c>
      <c r="R20" s="709">
        <v>18</v>
      </c>
      <c r="S20" s="709">
        <v>19</v>
      </c>
      <c r="T20" s="709">
        <v>20</v>
      </c>
      <c r="U20" s="709">
        <v>21</v>
      </c>
      <c r="V20" s="709">
        <v>22</v>
      </c>
      <c r="W20" s="709">
        <v>23</v>
      </c>
      <c r="X20" s="709">
        <v>24</v>
      </c>
      <c r="Y20" s="709">
        <v>25</v>
      </c>
      <c r="Z20" s="709">
        <v>26</v>
      </c>
      <c r="AA20" s="709">
        <v>27</v>
      </c>
      <c r="AB20" s="709">
        <v>28</v>
      </c>
      <c r="AC20" s="709">
        <v>29</v>
      </c>
      <c r="AD20" s="710"/>
    </row>
    <row r="21" spans="1:30" s="108" customFormat="1" ht="33.75" customHeight="1" thickBot="1" thickTop="1">
      <c r="A21" s="205"/>
      <c r="B21" s="206"/>
      <c r="C21" s="208" t="s">
        <v>45</v>
      </c>
      <c r="D21" s="101" t="s">
        <v>129</v>
      </c>
      <c r="E21" s="101" t="s">
        <v>128</v>
      </c>
      <c r="F21" s="213" t="s">
        <v>69</v>
      </c>
      <c r="G21" s="209" t="s">
        <v>14</v>
      </c>
      <c r="H21" s="210" t="s">
        <v>70</v>
      </c>
      <c r="I21" s="211" t="s">
        <v>46</v>
      </c>
      <c r="J21" s="264" t="s">
        <v>48</v>
      </c>
      <c r="K21" s="212" t="s">
        <v>71</v>
      </c>
      <c r="L21" s="212" t="s">
        <v>72</v>
      </c>
      <c r="M21" s="213" t="s">
        <v>73</v>
      </c>
      <c r="N21" s="213" t="s">
        <v>74</v>
      </c>
      <c r="O21" s="105" t="s">
        <v>53</v>
      </c>
      <c r="P21" s="214" t="s">
        <v>75</v>
      </c>
      <c r="Q21" s="213" t="s">
        <v>76</v>
      </c>
      <c r="R21" s="209" t="s">
        <v>77</v>
      </c>
      <c r="S21" s="334" t="s">
        <v>78</v>
      </c>
      <c r="T21" s="320" t="s">
        <v>55</v>
      </c>
      <c r="U21" s="344" t="s">
        <v>56</v>
      </c>
      <c r="V21" s="350" t="s">
        <v>79</v>
      </c>
      <c r="W21" s="351"/>
      <c r="X21" s="359" t="s">
        <v>79</v>
      </c>
      <c r="Y21" s="360"/>
      <c r="Z21" s="368" t="s">
        <v>59</v>
      </c>
      <c r="AA21" s="374" t="s">
        <v>60</v>
      </c>
      <c r="AB21" s="211" t="s">
        <v>61</v>
      </c>
      <c r="AC21" s="211" t="s">
        <v>62</v>
      </c>
      <c r="AD21" s="207"/>
    </row>
    <row r="22" spans="1:30" s="10" customFormat="1" ht="16.5" customHeight="1" thickTop="1">
      <c r="A22" s="169"/>
      <c r="B22" s="175"/>
      <c r="C22" s="18"/>
      <c r="D22" s="18"/>
      <c r="E22" s="18"/>
      <c r="F22" s="23"/>
      <c r="G22" s="23"/>
      <c r="H22" s="23"/>
      <c r="I22" s="23"/>
      <c r="J22" s="269"/>
      <c r="K22" s="24"/>
      <c r="L22" s="23"/>
      <c r="M22" s="24"/>
      <c r="N22" s="24"/>
      <c r="O22" s="23"/>
      <c r="P22" s="23"/>
      <c r="Q22" s="23"/>
      <c r="R22" s="23"/>
      <c r="S22" s="335"/>
      <c r="T22" s="339"/>
      <c r="U22" s="345"/>
      <c r="V22" s="352"/>
      <c r="W22" s="353"/>
      <c r="X22" s="361"/>
      <c r="Y22" s="362"/>
      <c r="Z22" s="369"/>
      <c r="AA22" s="375"/>
      <c r="AB22" s="23"/>
      <c r="AC22" s="62"/>
      <c r="AD22" s="38"/>
    </row>
    <row r="23" spans="1:30" s="10" customFormat="1" ht="16.5" customHeight="1">
      <c r="A23" s="169"/>
      <c r="B23" s="175"/>
      <c r="C23" s="18"/>
      <c r="D23" s="18"/>
      <c r="E23" s="18"/>
      <c r="F23" s="19"/>
      <c r="G23" s="19"/>
      <c r="H23" s="19"/>
      <c r="I23" s="19"/>
      <c r="J23" s="270"/>
      <c r="K23" s="20"/>
      <c r="L23" s="19"/>
      <c r="M23" s="20"/>
      <c r="N23" s="20"/>
      <c r="O23" s="19"/>
      <c r="P23" s="19"/>
      <c r="Q23" s="19"/>
      <c r="R23" s="19"/>
      <c r="S23" s="336"/>
      <c r="T23" s="340"/>
      <c r="U23" s="346"/>
      <c r="V23" s="354"/>
      <c r="W23" s="355"/>
      <c r="X23" s="363"/>
      <c r="Y23" s="364"/>
      <c r="Z23" s="370"/>
      <c r="AA23" s="376"/>
      <c r="AB23" s="19"/>
      <c r="AC23" s="216"/>
      <c r="AD23" s="38"/>
    </row>
    <row r="24" spans="1:30" s="10" customFormat="1" ht="16.5" customHeight="1">
      <c r="A24" s="169"/>
      <c r="B24" s="175"/>
      <c r="C24" s="633">
        <v>9</v>
      </c>
      <c r="D24" s="672">
        <v>286656</v>
      </c>
      <c r="E24" s="633">
        <v>1813</v>
      </c>
      <c r="F24" s="499" t="s">
        <v>13</v>
      </c>
      <c r="G24" s="498" t="s">
        <v>151</v>
      </c>
      <c r="H24" s="634">
        <v>15</v>
      </c>
      <c r="I24" s="635" t="s">
        <v>150</v>
      </c>
      <c r="J24" s="267">
        <f aca="true" t="shared" si="0" ref="J24:J43">H24*$I$17</f>
        <v>3.645</v>
      </c>
      <c r="K24" s="637">
        <v>42067.28055555555</v>
      </c>
      <c r="L24" s="637">
        <v>42067.35625</v>
      </c>
      <c r="M24" s="26">
        <f aca="true" t="shared" si="1" ref="M24:M43">IF(F24="","",(L24-K24)*24)</f>
        <v>1.8166666666511446</v>
      </c>
      <c r="N24" s="27">
        <f aca="true" t="shared" si="2" ref="N24:N43">IF(F24="","",ROUND((L24-K24)*24*60,0))</f>
        <v>109</v>
      </c>
      <c r="O24" s="638" t="s">
        <v>135</v>
      </c>
      <c r="P24" s="25" t="str">
        <f>IF(F24="","",IF(OR(O24="P",O24="RP"),"--","NO"))</f>
        <v>--</v>
      </c>
      <c r="Q24" s="690" t="str">
        <f aca="true" t="shared" si="3" ref="Q24:Q43">IF(F24="","","--")</f>
        <v>--</v>
      </c>
      <c r="R24" s="25" t="str">
        <f aca="true" t="shared" si="4" ref="R24:R43">IF(F24="","","NO")</f>
        <v>NO</v>
      </c>
      <c r="S24" s="337">
        <f aca="true" t="shared" si="5" ref="S24:S43">$I$18*IF(OR(O24="P",O24="RP"),0.1,1)*IF(R24="SI",1,0.1)</f>
        <v>0.30000000000000004</v>
      </c>
      <c r="T24" s="341">
        <f aca="true" t="shared" si="6" ref="T24:T43">IF(O24="P",J24*S24*ROUND(N24/60,2),"--")</f>
        <v>1.9901700000000002</v>
      </c>
      <c r="U24" s="347" t="str">
        <f aca="true" t="shared" si="7" ref="U24:U43">IF(O24="RP",J24*S24*ROUND(N24/60,2)*Q24/100,"--")</f>
        <v>--</v>
      </c>
      <c r="V24" s="356" t="str">
        <f aca="true" t="shared" si="8" ref="V24:V43">IF(AND(O24="F",P24="NO"),J24*S24,"--")</f>
        <v>--</v>
      </c>
      <c r="W24" s="357" t="str">
        <f aca="true" t="shared" si="9" ref="W24:W43">IF(O24="F",J24*S24*ROUND(N24/60,2),"--")</f>
        <v>--</v>
      </c>
      <c r="X24" s="365" t="str">
        <f aca="true" t="shared" si="10" ref="X24:X43">IF(AND(O24="R",P24="NO"),J24*S24*Q24/100,"--")</f>
        <v>--</v>
      </c>
      <c r="Y24" s="366" t="str">
        <f aca="true" t="shared" si="11" ref="Y24:Y43">IF(O24="R",J24*S24*ROUND(N24/60,2)*Q24/100,"--")</f>
        <v>--</v>
      </c>
      <c r="Z24" s="371" t="str">
        <f aca="true" t="shared" si="12" ref="Z24:Z43">IF(O24="RF",J24*S24*ROUND(N24/60,2),"--")</f>
        <v>--</v>
      </c>
      <c r="AA24" s="377" t="str">
        <f aca="true" t="shared" si="13" ref="AA24:AA43">IF(O24="RR",J24*S24*ROUND(N24/60,2)*Q24/100,"--")</f>
        <v>--</v>
      </c>
      <c r="AB24" s="25" t="str">
        <f aca="true" t="shared" si="14" ref="AB24:AB43">IF(F24="","","SI")</f>
        <v>SI</v>
      </c>
      <c r="AC24" s="63">
        <f aca="true" t="shared" si="15" ref="AC24:AC43">IF(F24="","",SUM(T24:AA24)*IF(AB24="SI",1,2))</f>
        <v>1.9901700000000002</v>
      </c>
      <c r="AD24" s="404"/>
    </row>
    <row r="25" spans="1:30" s="10" customFormat="1" ht="16.5" customHeight="1">
      <c r="A25" s="169"/>
      <c r="B25" s="175"/>
      <c r="C25" s="633">
        <v>10</v>
      </c>
      <c r="D25" s="672">
        <v>286888</v>
      </c>
      <c r="E25" s="633">
        <v>1802</v>
      </c>
      <c r="F25" s="499" t="s">
        <v>9</v>
      </c>
      <c r="G25" s="498" t="s">
        <v>149</v>
      </c>
      <c r="H25" s="634">
        <v>15</v>
      </c>
      <c r="I25" s="670" t="s">
        <v>148</v>
      </c>
      <c r="J25" s="267">
        <f t="shared" si="0"/>
        <v>3.645</v>
      </c>
      <c r="K25" s="637">
        <v>42089.40625</v>
      </c>
      <c r="L25" s="637">
        <v>42089.58194444444</v>
      </c>
      <c r="M25" s="26">
        <f t="shared" si="1"/>
        <v>4.21666666661622</v>
      </c>
      <c r="N25" s="27">
        <f t="shared" si="2"/>
        <v>253</v>
      </c>
      <c r="O25" s="638" t="s">
        <v>135</v>
      </c>
      <c r="P25" s="25" t="str">
        <f aca="true" t="shared" si="16" ref="P25:P43">IF(F25="","",IF(OR(O25="P",O25="RP"),"--","NO"))</f>
        <v>--</v>
      </c>
      <c r="Q25" s="690" t="str">
        <f t="shared" si="3"/>
        <v>--</v>
      </c>
      <c r="R25" s="25" t="s">
        <v>136</v>
      </c>
      <c r="S25" s="337">
        <f t="shared" si="5"/>
        <v>3</v>
      </c>
      <c r="T25" s="341">
        <f t="shared" si="6"/>
        <v>46.1457</v>
      </c>
      <c r="U25" s="347" t="str">
        <f t="shared" si="7"/>
        <v>--</v>
      </c>
      <c r="V25" s="356" t="str">
        <f t="shared" si="8"/>
        <v>--</v>
      </c>
      <c r="W25" s="357" t="str">
        <f t="shared" si="9"/>
        <v>--</v>
      </c>
      <c r="X25" s="365" t="str">
        <f t="shared" si="10"/>
        <v>--</v>
      </c>
      <c r="Y25" s="366" t="str">
        <f t="shared" si="11"/>
        <v>--</v>
      </c>
      <c r="Z25" s="371" t="str">
        <f t="shared" si="12"/>
        <v>--</v>
      </c>
      <c r="AA25" s="377" t="str">
        <f t="shared" si="13"/>
        <v>--</v>
      </c>
      <c r="AB25" s="25" t="str">
        <f t="shared" si="14"/>
        <v>SI</v>
      </c>
      <c r="AC25" s="63">
        <f t="shared" si="15"/>
        <v>46.1457</v>
      </c>
      <c r="AD25" s="404"/>
    </row>
    <row r="26" spans="1:30" s="10" customFormat="1" ht="16.5" customHeight="1">
      <c r="A26" s="169"/>
      <c r="B26" s="175"/>
      <c r="C26" s="633"/>
      <c r="D26" s="633"/>
      <c r="E26" s="633"/>
      <c r="F26" s="499"/>
      <c r="G26" s="498"/>
      <c r="H26" s="634"/>
      <c r="I26" s="635"/>
      <c r="J26" s="267">
        <f t="shared" si="0"/>
        <v>0</v>
      </c>
      <c r="K26" s="637"/>
      <c r="L26" s="637"/>
      <c r="M26" s="26">
        <f t="shared" si="1"/>
      </c>
      <c r="N26" s="27">
        <f t="shared" si="2"/>
      </c>
      <c r="O26" s="638"/>
      <c r="P26" s="25">
        <f t="shared" si="16"/>
      </c>
      <c r="Q26" s="690">
        <f t="shared" si="3"/>
      </c>
      <c r="R26" s="25">
        <f t="shared" si="4"/>
      </c>
      <c r="S26" s="337">
        <f t="shared" si="5"/>
        <v>3</v>
      </c>
      <c r="T26" s="341" t="str">
        <f t="shared" si="6"/>
        <v>--</v>
      </c>
      <c r="U26" s="347" t="str">
        <f t="shared" si="7"/>
        <v>--</v>
      </c>
      <c r="V26" s="356" t="str">
        <f t="shared" si="8"/>
        <v>--</v>
      </c>
      <c r="W26" s="357" t="str">
        <f t="shared" si="9"/>
        <v>--</v>
      </c>
      <c r="X26" s="365" t="str">
        <f t="shared" si="10"/>
        <v>--</v>
      </c>
      <c r="Y26" s="366" t="str">
        <f t="shared" si="11"/>
        <v>--</v>
      </c>
      <c r="Z26" s="371" t="str">
        <f t="shared" si="12"/>
        <v>--</v>
      </c>
      <c r="AA26" s="377" t="str">
        <f t="shared" si="13"/>
        <v>--</v>
      </c>
      <c r="AB26" s="25">
        <f t="shared" si="14"/>
      </c>
      <c r="AC26" s="63">
        <f t="shared" si="15"/>
      </c>
      <c r="AD26" s="404"/>
    </row>
    <row r="27" spans="1:30" s="10" customFormat="1" ht="16.5" customHeight="1">
      <c r="A27" s="169"/>
      <c r="B27" s="175"/>
      <c r="C27" s="633"/>
      <c r="D27" s="633"/>
      <c r="E27" s="633"/>
      <c r="F27" s="499"/>
      <c r="G27" s="498"/>
      <c r="H27" s="634"/>
      <c r="I27" s="635"/>
      <c r="J27" s="267">
        <f t="shared" si="0"/>
        <v>0</v>
      </c>
      <c r="K27" s="637"/>
      <c r="L27" s="637"/>
      <c r="M27" s="26">
        <f t="shared" si="1"/>
      </c>
      <c r="N27" s="27">
        <f t="shared" si="2"/>
      </c>
      <c r="O27" s="638"/>
      <c r="P27" s="25">
        <f t="shared" si="16"/>
      </c>
      <c r="Q27" s="690">
        <f t="shared" si="3"/>
      </c>
      <c r="R27" s="25">
        <f t="shared" si="4"/>
      </c>
      <c r="S27" s="337">
        <f t="shared" si="5"/>
        <v>3</v>
      </c>
      <c r="T27" s="341" t="str">
        <f t="shared" si="6"/>
        <v>--</v>
      </c>
      <c r="U27" s="347" t="str">
        <f t="shared" si="7"/>
        <v>--</v>
      </c>
      <c r="V27" s="356" t="str">
        <f t="shared" si="8"/>
        <v>--</v>
      </c>
      <c r="W27" s="357" t="str">
        <f t="shared" si="9"/>
        <v>--</v>
      </c>
      <c r="X27" s="365" t="str">
        <f t="shared" si="10"/>
        <v>--</v>
      </c>
      <c r="Y27" s="366" t="str">
        <f t="shared" si="11"/>
        <v>--</v>
      </c>
      <c r="Z27" s="371" t="str">
        <f t="shared" si="12"/>
        <v>--</v>
      </c>
      <c r="AA27" s="377" t="str">
        <f t="shared" si="13"/>
        <v>--</v>
      </c>
      <c r="AB27" s="25">
        <f t="shared" si="14"/>
      </c>
      <c r="AC27" s="63">
        <f t="shared" si="15"/>
      </c>
      <c r="AD27" s="404"/>
    </row>
    <row r="28" spans="1:30" s="10" customFormat="1" ht="16.5" customHeight="1">
      <c r="A28" s="169"/>
      <c r="B28" s="175"/>
      <c r="C28" s="633"/>
      <c r="D28" s="633"/>
      <c r="E28" s="633"/>
      <c r="F28" s="499"/>
      <c r="G28" s="498"/>
      <c r="H28" s="634"/>
      <c r="I28" s="635"/>
      <c r="J28" s="267">
        <f t="shared" si="0"/>
        <v>0</v>
      </c>
      <c r="K28" s="637"/>
      <c r="L28" s="637"/>
      <c r="M28" s="26">
        <f t="shared" si="1"/>
      </c>
      <c r="N28" s="27">
        <f t="shared" si="2"/>
      </c>
      <c r="O28" s="638"/>
      <c r="P28" s="25">
        <f t="shared" si="16"/>
      </c>
      <c r="Q28" s="690">
        <f t="shared" si="3"/>
      </c>
      <c r="R28" s="25">
        <f t="shared" si="4"/>
      </c>
      <c r="S28" s="337">
        <f t="shared" si="5"/>
        <v>3</v>
      </c>
      <c r="T28" s="341" t="str">
        <f t="shared" si="6"/>
        <v>--</v>
      </c>
      <c r="U28" s="347" t="str">
        <f t="shared" si="7"/>
        <v>--</v>
      </c>
      <c r="V28" s="356" t="str">
        <f t="shared" si="8"/>
        <v>--</v>
      </c>
      <c r="W28" s="357" t="str">
        <f t="shared" si="9"/>
        <v>--</v>
      </c>
      <c r="X28" s="365" t="str">
        <f t="shared" si="10"/>
        <v>--</v>
      </c>
      <c r="Y28" s="366" t="str">
        <f t="shared" si="11"/>
        <v>--</v>
      </c>
      <c r="Z28" s="371" t="str">
        <f t="shared" si="12"/>
        <v>--</v>
      </c>
      <c r="AA28" s="377" t="str">
        <f t="shared" si="13"/>
        <v>--</v>
      </c>
      <c r="AB28" s="25">
        <f t="shared" si="14"/>
      </c>
      <c r="AC28" s="63">
        <f t="shared" si="15"/>
      </c>
      <c r="AD28" s="404"/>
    </row>
    <row r="29" spans="1:30" s="10" customFormat="1" ht="16.5" customHeight="1">
      <c r="A29" s="169"/>
      <c r="B29" s="175"/>
      <c r="C29" s="633"/>
      <c r="D29" s="633"/>
      <c r="E29" s="633"/>
      <c r="F29" s="499"/>
      <c r="G29" s="498"/>
      <c r="H29" s="634"/>
      <c r="I29" s="635"/>
      <c r="J29" s="267">
        <f t="shared" si="0"/>
        <v>0</v>
      </c>
      <c r="K29" s="637"/>
      <c r="L29" s="637"/>
      <c r="M29" s="26">
        <f t="shared" si="1"/>
      </c>
      <c r="N29" s="27">
        <f t="shared" si="2"/>
      </c>
      <c r="O29" s="638"/>
      <c r="P29" s="25">
        <f t="shared" si="16"/>
      </c>
      <c r="Q29" s="690">
        <f t="shared" si="3"/>
      </c>
      <c r="R29" s="25">
        <f t="shared" si="4"/>
      </c>
      <c r="S29" s="337">
        <f t="shared" si="5"/>
        <v>3</v>
      </c>
      <c r="T29" s="341" t="str">
        <f t="shared" si="6"/>
        <v>--</v>
      </c>
      <c r="U29" s="347" t="str">
        <f t="shared" si="7"/>
        <v>--</v>
      </c>
      <c r="V29" s="356" t="str">
        <f t="shared" si="8"/>
        <v>--</v>
      </c>
      <c r="W29" s="357" t="str">
        <f t="shared" si="9"/>
        <v>--</v>
      </c>
      <c r="X29" s="365" t="str">
        <f t="shared" si="10"/>
        <v>--</v>
      </c>
      <c r="Y29" s="366" t="str">
        <f t="shared" si="11"/>
        <v>--</v>
      </c>
      <c r="Z29" s="371" t="str">
        <f t="shared" si="12"/>
        <v>--</v>
      </c>
      <c r="AA29" s="377" t="str">
        <f t="shared" si="13"/>
        <v>--</v>
      </c>
      <c r="AB29" s="25">
        <f t="shared" si="14"/>
      </c>
      <c r="AC29" s="63">
        <f t="shared" si="15"/>
      </c>
      <c r="AD29" s="404"/>
    </row>
    <row r="30" spans="1:30" s="10" customFormat="1" ht="16.5" customHeight="1">
      <c r="A30" s="169"/>
      <c r="B30" s="175"/>
      <c r="C30" s="633"/>
      <c r="D30" s="633"/>
      <c r="E30" s="633"/>
      <c r="F30" s="499"/>
      <c r="G30" s="498"/>
      <c r="H30" s="634"/>
      <c r="I30" s="635"/>
      <c r="J30" s="267">
        <f t="shared" si="0"/>
        <v>0</v>
      </c>
      <c r="K30" s="637"/>
      <c r="L30" s="637"/>
      <c r="M30" s="26">
        <f t="shared" si="1"/>
      </c>
      <c r="N30" s="27">
        <f t="shared" si="2"/>
      </c>
      <c r="O30" s="638"/>
      <c r="P30" s="25">
        <f t="shared" si="16"/>
      </c>
      <c r="Q30" s="690">
        <f t="shared" si="3"/>
      </c>
      <c r="R30" s="25">
        <f t="shared" si="4"/>
      </c>
      <c r="S30" s="337">
        <f t="shared" si="5"/>
        <v>3</v>
      </c>
      <c r="T30" s="341" t="str">
        <f t="shared" si="6"/>
        <v>--</v>
      </c>
      <c r="U30" s="347" t="str">
        <f t="shared" si="7"/>
        <v>--</v>
      </c>
      <c r="V30" s="356" t="str">
        <f t="shared" si="8"/>
        <v>--</v>
      </c>
      <c r="W30" s="357" t="str">
        <f t="shared" si="9"/>
        <v>--</v>
      </c>
      <c r="X30" s="365" t="str">
        <f t="shared" si="10"/>
        <v>--</v>
      </c>
      <c r="Y30" s="366" t="str">
        <f t="shared" si="11"/>
        <v>--</v>
      </c>
      <c r="Z30" s="371" t="str">
        <f t="shared" si="12"/>
        <v>--</v>
      </c>
      <c r="AA30" s="377" t="str">
        <f t="shared" si="13"/>
        <v>--</v>
      </c>
      <c r="AB30" s="25">
        <f t="shared" si="14"/>
      </c>
      <c r="AC30" s="63">
        <f t="shared" si="15"/>
      </c>
      <c r="AD30" s="38"/>
    </row>
    <row r="31" spans="1:30" s="10" customFormat="1" ht="16.5" customHeight="1">
      <c r="A31" s="169"/>
      <c r="B31" s="175"/>
      <c r="C31" s="633"/>
      <c r="D31" s="633"/>
      <c r="E31" s="633"/>
      <c r="F31" s="499"/>
      <c r="G31" s="498"/>
      <c r="H31" s="634"/>
      <c r="I31" s="635"/>
      <c r="J31" s="267">
        <f t="shared" si="0"/>
        <v>0</v>
      </c>
      <c r="K31" s="637"/>
      <c r="L31" s="637"/>
      <c r="M31" s="26">
        <f t="shared" si="1"/>
      </c>
      <c r="N31" s="27">
        <f t="shared" si="2"/>
      </c>
      <c r="O31" s="638"/>
      <c r="P31" s="25">
        <f t="shared" si="16"/>
      </c>
      <c r="Q31" s="690">
        <f t="shared" si="3"/>
      </c>
      <c r="R31" s="25">
        <f t="shared" si="4"/>
      </c>
      <c r="S31" s="337">
        <f t="shared" si="5"/>
        <v>3</v>
      </c>
      <c r="T31" s="341" t="str">
        <f t="shared" si="6"/>
        <v>--</v>
      </c>
      <c r="U31" s="347" t="str">
        <f t="shared" si="7"/>
        <v>--</v>
      </c>
      <c r="V31" s="356" t="str">
        <f t="shared" si="8"/>
        <v>--</v>
      </c>
      <c r="W31" s="357" t="str">
        <f t="shared" si="9"/>
        <v>--</v>
      </c>
      <c r="X31" s="365" t="str">
        <f t="shared" si="10"/>
        <v>--</v>
      </c>
      <c r="Y31" s="366" t="str">
        <f t="shared" si="11"/>
        <v>--</v>
      </c>
      <c r="Z31" s="371" t="str">
        <f t="shared" si="12"/>
        <v>--</v>
      </c>
      <c r="AA31" s="377" t="str">
        <f t="shared" si="13"/>
        <v>--</v>
      </c>
      <c r="AB31" s="25">
        <f t="shared" si="14"/>
      </c>
      <c r="AC31" s="63">
        <f t="shared" si="15"/>
      </c>
      <c r="AD31" s="38"/>
    </row>
    <row r="32" spans="1:30" s="10" customFormat="1" ht="16.5" customHeight="1">
      <c r="A32" s="169"/>
      <c r="B32" s="175"/>
      <c r="C32" s="633"/>
      <c r="D32" s="633"/>
      <c r="E32" s="633"/>
      <c r="F32" s="499"/>
      <c r="G32" s="498"/>
      <c r="H32" s="634"/>
      <c r="I32" s="635"/>
      <c r="J32" s="267">
        <f t="shared" si="0"/>
        <v>0</v>
      </c>
      <c r="K32" s="637"/>
      <c r="L32" s="637"/>
      <c r="M32" s="26">
        <f t="shared" si="1"/>
      </c>
      <c r="N32" s="27">
        <f t="shared" si="2"/>
      </c>
      <c r="O32" s="638"/>
      <c r="P32" s="25">
        <f t="shared" si="16"/>
      </c>
      <c r="Q32" s="690">
        <f t="shared" si="3"/>
      </c>
      <c r="R32" s="25">
        <f t="shared" si="4"/>
      </c>
      <c r="S32" s="337">
        <f t="shared" si="5"/>
        <v>3</v>
      </c>
      <c r="T32" s="341" t="str">
        <f t="shared" si="6"/>
        <v>--</v>
      </c>
      <c r="U32" s="347" t="str">
        <f t="shared" si="7"/>
        <v>--</v>
      </c>
      <c r="V32" s="356" t="str">
        <f t="shared" si="8"/>
        <v>--</v>
      </c>
      <c r="W32" s="357" t="str">
        <f t="shared" si="9"/>
        <v>--</v>
      </c>
      <c r="X32" s="365" t="str">
        <f t="shared" si="10"/>
        <v>--</v>
      </c>
      <c r="Y32" s="366" t="str">
        <f t="shared" si="11"/>
        <v>--</v>
      </c>
      <c r="Z32" s="371" t="str">
        <f t="shared" si="12"/>
        <v>--</v>
      </c>
      <c r="AA32" s="377" t="str">
        <f t="shared" si="13"/>
        <v>--</v>
      </c>
      <c r="AB32" s="25">
        <f t="shared" si="14"/>
      </c>
      <c r="AC32" s="63">
        <f t="shared" si="15"/>
      </c>
      <c r="AD32" s="38"/>
    </row>
    <row r="33" spans="1:30" s="10" customFormat="1" ht="16.5" customHeight="1">
      <c r="A33" s="169"/>
      <c r="B33" s="175"/>
      <c r="C33" s="633"/>
      <c r="D33" s="633"/>
      <c r="E33" s="633"/>
      <c r="F33" s="499"/>
      <c r="G33" s="498"/>
      <c r="H33" s="634"/>
      <c r="I33" s="635"/>
      <c r="J33" s="267">
        <f t="shared" si="0"/>
        <v>0</v>
      </c>
      <c r="K33" s="637"/>
      <c r="L33" s="637"/>
      <c r="M33" s="26">
        <f t="shared" si="1"/>
      </c>
      <c r="N33" s="27">
        <f t="shared" si="2"/>
      </c>
      <c r="O33" s="638"/>
      <c r="P33" s="25">
        <f t="shared" si="16"/>
      </c>
      <c r="Q33" s="690">
        <f t="shared" si="3"/>
      </c>
      <c r="R33" s="25">
        <f t="shared" si="4"/>
      </c>
      <c r="S33" s="337">
        <f t="shared" si="5"/>
        <v>3</v>
      </c>
      <c r="T33" s="341" t="str">
        <f t="shared" si="6"/>
        <v>--</v>
      </c>
      <c r="U33" s="347" t="str">
        <f t="shared" si="7"/>
        <v>--</v>
      </c>
      <c r="V33" s="356" t="str">
        <f t="shared" si="8"/>
        <v>--</v>
      </c>
      <c r="W33" s="357" t="str">
        <f t="shared" si="9"/>
        <v>--</v>
      </c>
      <c r="X33" s="365" t="str">
        <f t="shared" si="10"/>
        <v>--</v>
      </c>
      <c r="Y33" s="366" t="str">
        <f t="shared" si="11"/>
        <v>--</v>
      </c>
      <c r="Z33" s="371" t="str">
        <f t="shared" si="12"/>
        <v>--</v>
      </c>
      <c r="AA33" s="377" t="str">
        <f t="shared" si="13"/>
        <v>--</v>
      </c>
      <c r="AB33" s="25">
        <f t="shared" si="14"/>
      </c>
      <c r="AC33" s="63">
        <f t="shared" si="15"/>
      </c>
      <c r="AD33" s="38"/>
    </row>
    <row r="34" spans="1:30" s="10" customFormat="1" ht="16.5" customHeight="1">
      <c r="A34" s="169"/>
      <c r="B34" s="175"/>
      <c r="C34" s="633"/>
      <c r="D34" s="633"/>
      <c r="E34" s="633"/>
      <c r="F34" s="499"/>
      <c r="G34" s="498"/>
      <c r="H34" s="634"/>
      <c r="I34" s="635"/>
      <c r="J34" s="267">
        <f t="shared" si="0"/>
        <v>0</v>
      </c>
      <c r="K34" s="637"/>
      <c r="L34" s="637"/>
      <c r="M34" s="26">
        <f t="shared" si="1"/>
      </c>
      <c r="N34" s="27">
        <f t="shared" si="2"/>
      </c>
      <c r="O34" s="638"/>
      <c r="P34" s="25">
        <f t="shared" si="16"/>
      </c>
      <c r="Q34" s="690">
        <f t="shared" si="3"/>
      </c>
      <c r="R34" s="25">
        <f t="shared" si="4"/>
      </c>
      <c r="S34" s="337">
        <f t="shared" si="5"/>
        <v>3</v>
      </c>
      <c r="T34" s="341" t="str">
        <f t="shared" si="6"/>
        <v>--</v>
      </c>
      <c r="U34" s="347" t="str">
        <f t="shared" si="7"/>
        <v>--</v>
      </c>
      <c r="V34" s="356" t="str">
        <f t="shared" si="8"/>
        <v>--</v>
      </c>
      <c r="W34" s="357" t="str">
        <f t="shared" si="9"/>
        <v>--</v>
      </c>
      <c r="X34" s="365" t="str">
        <f t="shared" si="10"/>
        <v>--</v>
      </c>
      <c r="Y34" s="366" t="str">
        <f t="shared" si="11"/>
        <v>--</v>
      </c>
      <c r="Z34" s="371" t="str">
        <f t="shared" si="12"/>
        <v>--</v>
      </c>
      <c r="AA34" s="377" t="str">
        <f t="shared" si="13"/>
        <v>--</v>
      </c>
      <c r="AB34" s="25">
        <f t="shared" si="14"/>
      </c>
      <c r="AC34" s="63">
        <f t="shared" si="15"/>
      </c>
      <c r="AD34" s="38"/>
    </row>
    <row r="35" spans="1:30" s="10" customFormat="1" ht="16.5" customHeight="1">
      <c r="A35" s="169"/>
      <c r="B35" s="175"/>
      <c r="C35" s="633"/>
      <c r="D35" s="633"/>
      <c r="E35" s="633"/>
      <c r="F35" s="499"/>
      <c r="G35" s="498"/>
      <c r="H35" s="634"/>
      <c r="I35" s="635"/>
      <c r="J35" s="267">
        <f t="shared" si="0"/>
        <v>0</v>
      </c>
      <c r="K35" s="637"/>
      <c r="L35" s="637"/>
      <c r="M35" s="26">
        <f t="shared" si="1"/>
      </c>
      <c r="N35" s="27">
        <f t="shared" si="2"/>
      </c>
      <c r="O35" s="638"/>
      <c r="P35" s="25">
        <f t="shared" si="16"/>
      </c>
      <c r="Q35" s="690">
        <f t="shared" si="3"/>
      </c>
      <c r="R35" s="25">
        <f t="shared" si="4"/>
      </c>
      <c r="S35" s="337">
        <f t="shared" si="5"/>
        <v>3</v>
      </c>
      <c r="T35" s="341" t="str">
        <f t="shared" si="6"/>
        <v>--</v>
      </c>
      <c r="U35" s="347" t="str">
        <f t="shared" si="7"/>
        <v>--</v>
      </c>
      <c r="V35" s="356" t="str">
        <f t="shared" si="8"/>
        <v>--</v>
      </c>
      <c r="W35" s="357" t="str">
        <f t="shared" si="9"/>
        <v>--</v>
      </c>
      <c r="X35" s="365" t="str">
        <f t="shared" si="10"/>
        <v>--</v>
      </c>
      <c r="Y35" s="366" t="str">
        <f t="shared" si="11"/>
        <v>--</v>
      </c>
      <c r="Z35" s="371" t="str">
        <f t="shared" si="12"/>
        <v>--</v>
      </c>
      <c r="AA35" s="377" t="str">
        <f t="shared" si="13"/>
        <v>--</v>
      </c>
      <c r="AB35" s="25">
        <f t="shared" si="14"/>
      </c>
      <c r="AC35" s="63">
        <f t="shared" si="15"/>
      </c>
      <c r="AD35" s="38"/>
    </row>
    <row r="36" spans="1:30" s="10" customFormat="1" ht="16.5" customHeight="1">
      <c r="A36" s="169"/>
      <c r="B36" s="175"/>
      <c r="C36" s="633"/>
      <c r="D36" s="633"/>
      <c r="E36" s="633"/>
      <c r="F36" s="499"/>
      <c r="G36" s="498"/>
      <c r="H36" s="634"/>
      <c r="I36" s="635"/>
      <c r="J36" s="267">
        <f t="shared" si="0"/>
        <v>0</v>
      </c>
      <c r="K36" s="637"/>
      <c r="L36" s="637"/>
      <c r="M36" s="26">
        <f t="shared" si="1"/>
      </c>
      <c r="N36" s="27">
        <f t="shared" si="2"/>
      </c>
      <c r="O36" s="638"/>
      <c r="P36" s="25">
        <f t="shared" si="16"/>
      </c>
      <c r="Q36" s="690">
        <f t="shared" si="3"/>
      </c>
      <c r="R36" s="25">
        <f t="shared" si="4"/>
      </c>
      <c r="S36" s="337">
        <f t="shared" si="5"/>
        <v>3</v>
      </c>
      <c r="T36" s="341" t="str">
        <f t="shared" si="6"/>
        <v>--</v>
      </c>
      <c r="U36" s="347" t="str">
        <f t="shared" si="7"/>
        <v>--</v>
      </c>
      <c r="V36" s="356" t="str">
        <f t="shared" si="8"/>
        <v>--</v>
      </c>
      <c r="W36" s="357" t="str">
        <f t="shared" si="9"/>
        <v>--</v>
      </c>
      <c r="X36" s="365" t="str">
        <f t="shared" si="10"/>
        <v>--</v>
      </c>
      <c r="Y36" s="366" t="str">
        <f t="shared" si="11"/>
        <v>--</v>
      </c>
      <c r="Z36" s="371" t="str">
        <f t="shared" si="12"/>
        <v>--</v>
      </c>
      <c r="AA36" s="377" t="str">
        <f t="shared" si="13"/>
        <v>--</v>
      </c>
      <c r="AB36" s="25">
        <f t="shared" si="14"/>
      </c>
      <c r="AC36" s="63">
        <f t="shared" si="15"/>
      </c>
      <c r="AD36" s="38"/>
    </row>
    <row r="37" spans="1:30" s="10" customFormat="1" ht="16.5" customHeight="1">
      <c r="A37" s="169"/>
      <c r="B37" s="175"/>
      <c r="C37" s="633"/>
      <c r="D37" s="633"/>
      <c r="E37" s="633"/>
      <c r="F37" s="499"/>
      <c r="G37" s="498"/>
      <c r="H37" s="634"/>
      <c r="I37" s="635"/>
      <c r="J37" s="267">
        <f t="shared" si="0"/>
        <v>0</v>
      </c>
      <c r="K37" s="637"/>
      <c r="L37" s="637"/>
      <c r="M37" s="26">
        <f t="shared" si="1"/>
      </c>
      <c r="N37" s="27">
        <f t="shared" si="2"/>
      </c>
      <c r="O37" s="638"/>
      <c r="P37" s="25">
        <f t="shared" si="16"/>
      </c>
      <c r="Q37" s="690">
        <f t="shared" si="3"/>
      </c>
      <c r="R37" s="25">
        <f t="shared" si="4"/>
      </c>
      <c r="S37" s="337">
        <f t="shared" si="5"/>
        <v>3</v>
      </c>
      <c r="T37" s="341" t="str">
        <f t="shared" si="6"/>
        <v>--</v>
      </c>
      <c r="U37" s="347" t="str">
        <f t="shared" si="7"/>
        <v>--</v>
      </c>
      <c r="V37" s="356" t="str">
        <f t="shared" si="8"/>
        <v>--</v>
      </c>
      <c r="W37" s="357" t="str">
        <f t="shared" si="9"/>
        <v>--</v>
      </c>
      <c r="X37" s="365" t="str">
        <f t="shared" si="10"/>
        <v>--</v>
      </c>
      <c r="Y37" s="366" t="str">
        <f t="shared" si="11"/>
        <v>--</v>
      </c>
      <c r="Z37" s="371" t="str">
        <f t="shared" si="12"/>
        <v>--</v>
      </c>
      <c r="AA37" s="377" t="str">
        <f t="shared" si="13"/>
        <v>--</v>
      </c>
      <c r="AB37" s="25">
        <f t="shared" si="14"/>
      </c>
      <c r="AC37" s="63">
        <f t="shared" si="15"/>
      </c>
      <c r="AD37" s="38"/>
    </row>
    <row r="38" spans="1:30" s="10" customFormat="1" ht="16.5" customHeight="1">
      <c r="A38" s="169"/>
      <c r="B38" s="175"/>
      <c r="C38" s="633"/>
      <c r="D38" s="633"/>
      <c r="E38" s="633"/>
      <c r="F38" s="499"/>
      <c r="G38" s="498"/>
      <c r="H38" s="634"/>
      <c r="I38" s="635"/>
      <c r="J38" s="267">
        <f t="shared" si="0"/>
        <v>0</v>
      </c>
      <c r="K38" s="637"/>
      <c r="L38" s="637"/>
      <c r="M38" s="26">
        <f t="shared" si="1"/>
      </c>
      <c r="N38" s="27">
        <f t="shared" si="2"/>
      </c>
      <c r="O38" s="638"/>
      <c r="P38" s="25">
        <f t="shared" si="16"/>
      </c>
      <c r="Q38" s="690">
        <f t="shared" si="3"/>
      </c>
      <c r="R38" s="25">
        <f t="shared" si="4"/>
      </c>
      <c r="S38" s="337">
        <f t="shared" si="5"/>
        <v>3</v>
      </c>
      <c r="T38" s="341" t="str">
        <f t="shared" si="6"/>
        <v>--</v>
      </c>
      <c r="U38" s="347" t="str">
        <f t="shared" si="7"/>
        <v>--</v>
      </c>
      <c r="V38" s="356" t="str">
        <f t="shared" si="8"/>
        <v>--</v>
      </c>
      <c r="W38" s="357" t="str">
        <f t="shared" si="9"/>
        <v>--</v>
      </c>
      <c r="X38" s="365" t="str">
        <f t="shared" si="10"/>
        <v>--</v>
      </c>
      <c r="Y38" s="366" t="str">
        <f t="shared" si="11"/>
        <v>--</v>
      </c>
      <c r="Z38" s="371" t="str">
        <f t="shared" si="12"/>
        <v>--</v>
      </c>
      <c r="AA38" s="377" t="str">
        <f t="shared" si="13"/>
        <v>--</v>
      </c>
      <c r="AB38" s="25">
        <f t="shared" si="14"/>
      </c>
      <c r="AC38" s="63">
        <f t="shared" si="15"/>
      </c>
      <c r="AD38" s="38"/>
    </row>
    <row r="39" spans="1:30" s="10" customFormat="1" ht="16.5" customHeight="1">
      <c r="A39" s="169"/>
      <c r="B39" s="175"/>
      <c r="C39" s="633"/>
      <c r="D39" s="633"/>
      <c r="E39" s="633"/>
      <c r="F39" s="499"/>
      <c r="G39" s="498"/>
      <c r="H39" s="634"/>
      <c r="I39" s="635"/>
      <c r="J39" s="267">
        <f t="shared" si="0"/>
        <v>0</v>
      </c>
      <c r="K39" s="637"/>
      <c r="L39" s="637"/>
      <c r="M39" s="26">
        <f t="shared" si="1"/>
      </c>
      <c r="N39" s="27">
        <f t="shared" si="2"/>
      </c>
      <c r="O39" s="638"/>
      <c r="P39" s="25">
        <f t="shared" si="16"/>
      </c>
      <c r="Q39" s="690">
        <f t="shared" si="3"/>
      </c>
      <c r="R39" s="25">
        <f t="shared" si="4"/>
      </c>
      <c r="S39" s="337">
        <f t="shared" si="5"/>
        <v>3</v>
      </c>
      <c r="T39" s="341" t="str">
        <f t="shared" si="6"/>
        <v>--</v>
      </c>
      <c r="U39" s="347" t="str">
        <f t="shared" si="7"/>
        <v>--</v>
      </c>
      <c r="V39" s="356" t="str">
        <f t="shared" si="8"/>
        <v>--</v>
      </c>
      <c r="W39" s="357" t="str">
        <f t="shared" si="9"/>
        <v>--</v>
      </c>
      <c r="X39" s="365" t="str">
        <f t="shared" si="10"/>
        <v>--</v>
      </c>
      <c r="Y39" s="366" t="str">
        <f t="shared" si="11"/>
        <v>--</v>
      </c>
      <c r="Z39" s="371" t="str">
        <f t="shared" si="12"/>
        <v>--</v>
      </c>
      <c r="AA39" s="377" t="str">
        <f t="shared" si="13"/>
        <v>--</v>
      </c>
      <c r="AB39" s="25">
        <f t="shared" si="14"/>
      </c>
      <c r="AC39" s="63">
        <f t="shared" si="15"/>
      </c>
      <c r="AD39" s="38"/>
    </row>
    <row r="40" spans="1:30" s="10" customFormat="1" ht="16.5" customHeight="1">
      <c r="A40" s="169"/>
      <c r="B40" s="175"/>
      <c r="C40" s="633"/>
      <c r="D40" s="633"/>
      <c r="E40" s="633"/>
      <c r="F40" s="499"/>
      <c r="G40" s="498"/>
      <c r="H40" s="634"/>
      <c r="I40" s="635"/>
      <c r="J40" s="267">
        <f t="shared" si="0"/>
        <v>0</v>
      </c>
      <c r="K40" s="637"/>
      <c r="L40" s="637"/>
      <c r="M40" s="26">
        <f t="shared" si="1"/>
      </c>
      <c r="N40" s="27">
        <f t="shared" si="2"/>
      </c>
      <c r="O40" s="638"/>
      <c r="P40" s="25">
        <f t="shared" si="16"/>
      </c>
      <c r="Q40" s="690">
        <f t="shared" si="3"/>
      </c>
      <c r="R40" s="25">
        <f t="shared" si="4"/>
      </c>
      <c r="S40" s="337">
        <f t="shared" si="5"/>
        <v>3</v>
      </c>
      <c r="T40" s="341" t="str">
        <f t="shared" si="6"/>
        <v>--</v>
      </c>
      <c r="U40" s="347" t="str">
        <f t="shared" si="7"/>
        <v>--</v>
      </c>
      <c r="V40" s="356" t="str">
        <f t="shared" si="8"/>
        <v>--</v>
      </c>
      <c r="W40" s="357" t="str">
        <f t="shared" si="9"/>
        <v>--</v>
      </c>
      <c r="X40" s="365" t="str">
        <f t="shared" si="10"/>
        <v>--</v>
      </c>
      <c r="Y40" s="366" t="str">
        <f t="shared" si="11"/>
        <v>--</v>
      </c>
      <c r="Z40" s="371" t="str">
        <f t="shared" si="12"/>
        <v>--</v>
      </c>
      <c r="AA40" s="377" t="str">
        <f t="shared" si="13"/>
        <v>--</v>
      </c>
      <c r="AB40" s="25">
        <f t="shared" si="14"/>
      </c>
      <c r="AC40" s="63">
        <f t="shared" si="15"/>
      </c>
      <c r="AD40" s="38"/>
    </row>
    <row r="41" spans="1:30" s="10" customFormat="1" ht="16.5" customHeight="1">
      <c r="A41" s="169"/>
      <c r="B41" s="175"/>
      <c r="C41" s="633"/>
      <c r="D41" s="633"/>
      <c r="E41" s="633"/>
      <c r="F41" s="499"/>
      <c r="G41" s="498"/>
      <c r="H41" s="634"/>
      <c r="I41" s="635"/>
      <c r="J41" s="267">
        <f t="shared" si="0"/>
        <v>0</v>
      </c>
      <c r="K41" s="637"/>
      <c r="L41" s="637"/>
      <c r="M41" s="26">
        <f t="shared" si="1"/>
      </c>
      <c r="N41" s="27">
        <f t="shared" si="2"/>
      </c>
      <c r="O41" s="638"/>
      <c r="P41" s="25">
        <f t="shared" si="16"/>
      </c>
      <c r="Q41" s="690">
        <f t="shared" si="3"/>
      </c>
      <c r="R41" s="25">
        <f t="shared" si="4"/>
      </c>
      <c r="S41" s="337">
        <f t="shared" si="5"/>
        <v>3</v>
      </c>
      <c r="T41" s="341" t="str">
        <f t="shared" si="6"/>
        <v>--</v>
      </c>
      <c r="U41" s="347" t="str">
        <f t="shared" si="7"/>
        <v>--</v>
      </c>
      <c r="V41" s="356" t="str">
        <f t="shared" si="8"/>
        <v>--</v>
      </c>
      <c r="W41" s="357" t="str">
        <f t="shared" si="9"/>
        <v>--</v>
      </c>
      <c r="X41" s="365" t="str">
        <f t="shared" si="10"/>
        <v>--</v>
      </c>
      <c r="Y41" s="366" t="str">
        <f t="shared" si="11"/>
        <v>--</v>
      </c>
      <c r="Z41" s="371" t="str">
        <f t="shared" si="12"/>
        <v>--</v>
      </c>
      <c r="AA41" s="377" t="str">
        <f t="shared" si="13"/>
        <v>--</v>
      </c>
      <c r="AB41" s="25">
        <f t="shared" si="14"/>
      </c>
      <c r="AC41" s="63">
        <f t="shared" si="15"/>
      </c>
      <c r="AD41" s="38"/>
    </row>
    <row r="42" spans="1:30" s="10" customFormat="1" ht="16.5" customHeight="1">
      <c r="A42" s="169"/>
      <c r="B42" s="175"/>
      <c r="C42" s="633"/>
      <c r="D42" s="633"/>
      <c r="E42" s="633"/>
      <c r="F42" s="499"/>
      <c r="G42" s="498"/>
      <c r="H42" s="634"/>
      <c r="I42" s="635"/>
      <c r="J42" s="267">
        <f t="shared" si="0"/>
        <v>0</v>
      </c>
      <c r="K42" s="637"/>
      <c r="L42" s="637"/>
      <c r="M42" s="26">
        <f t="shared" si="1"/>
      </c>
      <c r="N42" s="27">
        <f t="shared" si="2"/>
      </c>
      <c r="O42" s="638"/>
      <c r="P42" s="25">
        <f t="shared" si="16"/>
      </c>
      <c r="Q42" s="690">
        <f t="shared" si="3"/>
      </c>
      <c r="R42" s="25">
        <f t="shared" si="4"/>
      </c>
      <c r="S42" s="337">
        <f t="shared" si="5"/>
        <v>3</v>
      </c>
      <c r="T42" s="341" t="str">
        <f t="shared" si="6"/>
        <v>--</v>
      </c>
      <c r="U42" s="347" t="str">
        <f t="shared" si="7"/>
        <v>--</v>
      </c>
      <c r="V42" s="356" t="str">
        <f t="shared" si="8"/>
        <v>--</v>
      </c>
      <c r="W42" s="357" t="str">
        <f t="shared" si="9"/>
        <v>--</v>
      </c>
      <c r="X42" s="365" t="str">
        <f t="shared" si="10"/>
        <v>--</v>
      </c>
      <c r="Y42" s="366" t="str">
        <f t="shared" si="11"/>
        <v>--</v>
      </c>
      <c r="Z42" s="371" t="str">
        <f t="shared" si="12"/>
        <v>--</v>
      </c>
      <c r="AA42" s="377" t="str">
        <f t="shared" si="13"/>
        <v>--</v>
      </c>
      <c r="AB42" s="25">
        <f t="shared" si="14"/>
      </c>
      <c r="AC42" s="63">
        <f t="shared" si="15"/>
      </c>
      <c r="AD42" s="38"/>
    </row>
    <row r="43" spans="1:30" s="10" customFormat="1" ht="16.5" customHeight="1">
      <c r="A43" s="169"/>
      <c r="B43" s="175"/>
      <c r="C43" s="633"/>
      <c r="D43" s="633"/>
      <c r="E43" s="633"/>
      <c r="F43" s="499"/>
      <c r="G43" s="498"/>
      <c r="H43" s="634"/>
      <c r="I43" s="635"/>
      <c r="J43" s="267">
        <f t="shared" si="0"/>
        <v>0</v>
      </c>
      <c r="K43" s="637"/>
      <c r="L43" s="637"/>
      <c r="M43" s="26">
        <f t="shared" si="1"/>
      </c>
      <c r="N43" s="27">
        <f t="shared" si="2"/>
      </c>
      <c r="O43" s="638"/>
      <c r="P43" s="25">
        <f t="shared" si="16"/>
      </c>
      <c r="Q43" s="690">
        <f t="shared" si="3"/>
      </c>
      <c r="R43" s="25">
        <f t="shared" si="4"/>
      </c>
      <c r="S43" s="337">
        <f t="shared" si="5"/>
        <v>3</v>
      </c>
      <c r="T43" s="341" t="str">
        <f t="shared" si="6"/>
        <v>--</v>
      </c>
      <c r="U43" s="347" t="str">
        <f t="shared" si="7"/>
        <v>--</v>
      </c>
      <c r="V43" s="356" t="str">
        <f t="shared" si="8"/>
        <v>--</v>
      </c>
      <c r="W43" s="357" t="str">
        <f t="shared" si="9"/>
        <v>--</v>
      </c>
      <c r="X43" s="365" t="str">
        <f t="shared" si="10"/>
        <v>--</v>
      </c>
      <c r="Y43" s="366" t="str">
        <f t="shared" si="11"/>
        <v>--</v>
      </c>
      <c r="Z43" s="371" t="str">
        <f t="shared" si="12"/>
        <v>--</v>
      </c>
      <c r="AA43" s="377" t="str">
        <f t="shared" si="13"/>
        <v>--</v>
      </c>
      <c r="AB43" s="25">
        <f t="shared" si="14"/>
      </c>
      <c r="AC43" s="63">
        <f t="shared" si="15"/>
      </c>
      <c r="AD43" s="38"/>
    </row>
    <row r="44" spans="1:30" s="10" customFormat="1" ht="16.5" customHeight="1" thickBot="1">
      <c r="A44" s="169"/>
      <c r="B44" s="175"/>
      <c r="C44" s="636"/>
      <c r="D44" s="636"/>
      <c r="E44" s="636"/>
      <c r="F44" s="636"/>
      <c r="G44" s="636"/>
      <c r="H44" s="636"/>
      <c r="I44" s="636"/>
      <c r="J44" s="271"/>
      <c r="K44" s="636"/>
      <c r="L44" s="636"/>
      <c r="M44" s="29"/>
      <c r="N44" s="29"/>
      <c r="O44" s="636"/>
      <c r="P44" s="636"/>
      <c r="Q44" s="636"/>
      <c r="R44" s="636"/>
      <c r="S44" s="338"/>
      <c r="T44" s="342"/>
      <c r="U44" s="348"/>
      <c r="V44" s="380"/>
      <c r="W44" s="381"/>
      <c r="X44" s="382"/>
      <c r="Y44" s="383"/>
      <c r="Z44" s="372"/>
      <c r="AA44" s="378"/>
      <c r="AB44" s="29"/>
      <c r="AC44" s="217"/>
      <c r="AD44" s="38"/>
    </row>
    <row r="45" spans="1:30" s="10" customFormat="1" ht="16.5" customHeight="1" thickBot="1" thickTop="1">
      <c r="A45" s="169"/>
      <c r="B45" s="175"/>
      <c r="C45" s="239" t="s">
        <v>63</v>
      </c>
      <c r="D45" s="695"/>
      <c r="E45" s="673"/>
      <c r="F45" s="24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3">
        <f aca="true" t="shared" si="17" ref="T45:AA45">SUM(T22:T44)</f>
        <v>48.13587</v>
      </c>
      <c r="U45" s="349">
        <f t="shared" si="17"/>
        <v>0</v>
      </c>
      <c r="V45" s="358">
        <f t="shared" si="17"/>
        <v>0</v>
      </c>
      <c r="W45" s="358">
        <f t="shared" si="17"/>
        <v>0</v>
      </c>
      <c r="X45" s="367">
        <f t="shared" si="17"/>
        <v>0</v>
      </c>
      <c r="Y45" s="367">
        <f t="shared" si="17"/>
        <v>0</v>
      </c>
      <c r="Z45" s="373">
        <f t="shared" si="17"/>
        <v>0</v>
      </c>
      <c r="AA45" s="379">
        <f t="shared" si="17"/>
        <v>0</v>
      </c>
      <c r="AB45" s="31"/>
      <c r="AC45" s="255">
        <f>ROUND(SUM(AC22:AC44),2)</f>
        <v>48.14</v>
      </c>
      <c r="AD45" s="38"/>
    </row>
    <row r="46" spans="1:30" s="257" customFormat="1" ht="9.75" thickTop="1">
      <c r="A46" s="258"/>
      <c r="B46" s="259"/>
      <c r="C46" s="241"/>
      <c r="D46" s="241"/>
      <c r="E46" s="241"/>
      <c r="F46" s="242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1"/>
      <c r="U46" s="261"/>
      <c r="V46" s="261"/>
      <c r="W46" s="261"/>
      <c r="X46" s="261"/>
      <c r="Y46" s="261"/>
      <c r="Z46" s="261"/>
      <c r="AA46" s="261"/>
      <c r="AB46" s="260"/>
      <c r="AC46" s="262"/>
      <c r="AD46" s="263"/>
    </row>
    <row r="47" spans="1:30" s="10" customFormat="1" ht="16.5" customHeight="1" thickBot="1">
      <c r="A47" s="169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C27" sqref="C2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09"/>
    </row>
    <row r="2" spans="2:23" s="109" customFormat="1" ht="26.25">
      <c r="B2" s="110" t="str">
        <f>+'TOT-0315'!B2</f>
        <v>ANEXO III al Memorándum  D.T.E.E.  N°  326 / 2016             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76" t="s">
        <v>16</v>
      </c>
      <c r="C4" s="675"/>
      <c r="D4" s="675"/>
    </row>
    <row r="5" spans="1:4" s="112" customFormat="1" ht="11.25">
      <c r="A5" s="676" t="s">
        <v>130</v>
      </c>
      <c r="C5" s="675"/>
      <c r="D5" s="675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39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126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+'TOT-0315'!B14</f>
        <v>Desde el 01 al 31 de marzo de 2015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2" t="s">
        <v>81</v>
      </c>
      <c r="G15" s="714"/>
      <c r="H15" s="93">
        <f>60*'TOT-0315'!B13</f>
        <v>60</v>
      </c>
      <c r="I15" s="122"/>
      <c r="J15" s="236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2" t="s">
        <v>82</v>
      </c>
      <c r="G16" s="714">
        <v>3.243</v>
      </c>
      <c r="H16" s="93">
        <f>50*'TOT-0315'!B13</f>
        <v>50</v>
      </c>
      <c r="J16" s="236" t="str">
        <f>IF(H16=50," ",IF(H16=100,"Coeficiente duplicado por tasa de falla &gt;4 Sal. x año/100 km.","REVISAR COEFICIENTE"))</f>
        <v> </v>
      </c>
      <c r="Q16" s="273"/>
      <c r="S16" s="8"/>
      <c r="T16" s="8"/>
      <c r="U16" s="8"/>
      <c r="V16" s="219"/>
      <c r="W16" s="11"/>
    </row>
    <row r="17" spans="2:23" s="10" customFormat="1" ht="16.5" customHeight="1" thickBot="1" thickTop="1">
      <c r="B17" s="44"/>
      <c r="C17" s="8"/>
      <c r="D17" s="8"/>
      <c r="E17" s="8"/>
      <c r="F17" s="223" t="s">
        <v>83</v>
      </c>
      <c r="G17" s="715">
        <v>2.433</v>
      </c>
      <c r="H17" s="224">
        <f>25*'TOT-0315'!B13</f>
        <v>25</v>
      </c>
      <c r="J17" s="236" t="str">
        <f>IF(H17=25," ",IF(H17=50,"Coeficiente duplicado por tasa de falla &gt;4 Sal. x año/100 km.","REVISAR COEFICIENTE"))</f>
        <v> </v>
      </c>
      <c r="K17" s="167"/>
      <c r="L17" s="167"/>
      <c r="M17" s="8"/>
      <c r="P17" s="220"/>
      <c r="Q17" s="221"/>
      <c r="R17" s="36"/>
      <c r="S17" s="8"/>
      <c r="T17" s="8"/>
      <c r="U17" s="8"/>
      <c r="V17" s="219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84</v>
      </c>
      <c r="G18" s="715">
        <v>2.433</v>
      </c>
      <c r="H18" s="226">
        <f>20*'TOT-0315'!B13</f>
        <v>20</v>
      </c>
      <c r="J18" s="236" t="str">
        <f>IF(H18=20," ",IF(H18=40,"Coeficiente duplicado por tasa de falla &gt;4 Sal. x año/100 km.","REVISAR COEFICIENTE"))</f>
        <v> </v>
      </c>
      <c r="K18" s="167"/>
      <c r="L18" s="167"/>
      <c r="M18" s="8"/>
      <c r="P18" s="220"/>
      <c r="Q18" s="221"/>
      <c r="R18" s="36"/>
      <c r="S18" s="8"/>
      <c r="T18" s="8"/>
      <c r="U18" s="8"/>
      <c r="V18" s="219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68"/>
      <c r="H19" s="669"/>
      <c r="J19" s="236"/>
      <c r="K19" s="167"/>
      <c r="L19" s="167"/>
      <c r="M19" s="8"/>
      <c r="P19" s="220"/>
      <c r="Q19" s="221"/>
      <c r="R19" s="36"/>
      <c r="S19" s="8"/>
      <c r="T19" s="8"/>
      <c r="U19" s="8"/>
      <c r="V19" s="219"/>
      <c r="W19" s="11"/>
    </row>
    <row r="20" spans="2:23" s="701" customFormat="1" ht="15" customHeight="1" thickBot="1">
      <c r="B20" s="698"/>
      <c r="C20" s="697">
        <v>3</v>
      </c>
      <c r="D20" s="697">
        <v>4</v>
      </c>
      <c r="E20" s="697">
        <v>5</v>
      </c>
      <c r="F20" s="697">
        <v>6</v>
      </c>
      <c r="G20" s="697">
        <v>7</v>
      </c>
      <c r="H20" s="697">
        <v>8</v>
      </c>
      <c r="I20" s="697">
        <v>9</v>
      </c>
      <c r="J20" s="697">
        <v>10</v>
      </c>
      <c r="K20" s="697">
        <v>11</v>
      </c>
      <c r="L20" s="697">
        <v>12</v>
      </c>
      <c r="M20" s="697">
        <v>13</v>
      </c>
      <c r="N20" s="697">
        <v>14</v>
      </c>
      <c r="O20" s="697">
        <v>15</v>
      </c>
      <c r="P20" s="697">
        <v>16</v>
      </c>
      <c r="Q20" s="697">
        <v>17</v>
      </c>
      <c r="R20" s="697">
        <v>18</v>
      </c>
      <c r="S20" s="697">
        <v>19</v>
      </c>
      <c r="T20" s="697">
        <v>20</v>
      </c>
      <c r="U20" s="697">
        <v>21</v>
      </c>
      <c r="V20" s="697">
        <v>22</v>
      </c>
      <c r="W20" s="700"/>
    </row>
    <row r="21" spans="2:23" s="10" customFormat="1" ht="33.75" customHeight="1" thickBot="1" thickTop="1">
      <c r="B21" s="44"/>
      <c r="C21" s="215" t="s">
        <v>45</v>
      </c>
      <c r="D21" s="101" t="s">
        <v>129</v>
      </c>
      <c r="E21" s="101" t="s">
        <v>128</v>
      </c>
      <c r="F21" s="213" t="s">
        <v>69</v>
      </c>
      <c r="G21" s="227" t="s">
        <v>14</v>
      </c>
      <c r="H21" s="230" t="s">
        <v>46</v>
      </c>
      <c r="I21" s="264" t="s">
        <v>48</v>
      </c>
      <c r="J21" s="209" t="s">
        <v>49</v>
      </c>
      <c r="K21" s="227" t="s">
        <v>50</v>
      </c>
      <c r="L21" s="229" t="s">
        <v>73</v>
      </c>
      <c r="M21" s="229" t="s">
        <v>74</v>
      </c>
      <c r="N21" s="105" t="s">
        <v>53</v>
      </c>
      <c r="O21" s="214" t="s">
        <v>75</v>
      </c>
      <c r="P21" s="385" t="s">
        <v>85</v>
      </c>
      <c r="Q21" s="319" t="s">
        <v>55</v>
      </c>
      <c r="R21" s="359" t="s">
        <v>79</v>
      </c>
      <c r="S21" s="360"/>
      <c r="T21" s="395" t="s">
        <v>59</v>
      </c>
      <c r="U21" s="211" t="s">
        <v>61</v>
      </c>
      <c r="V21" s="211" t="s">
        <v>62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2"/>
      <c r="J22" s="33"/>
      <c r="K22" s="34"/>
      <c r="L22" s="35"/>
      <c r="M22" s="64"/>
      <c r="N22" s="387"/>
      <c r="O22" s="387"/>
      <c r="P22" s="388"/>
      <c r="Q22" s="390"/>
      <c r="R22" s="392"/>
      <c r="S22" s="393"/>
      <c r="T22" s="396"/>
      <c r="U22" s="394"/>
      <c r="V22" s="389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2"/>
      <c r="J23" s="33"/>
      <c r="K23" s="34"/>
      <c r="L23" s="35"/>
      <c r="M23" s="64"/>
      <c r="N23" s="28"/>
      <c r="O23" s="28"/>
      <c r="P23" s="386"/>
      <c r="Q23" s="391"/>
      <c r="R23" s="365"/>
      <c r="S23" s="366"/>
      <c r="T23" s="397"/>
      <c r="U23" s="25"/>
      <c r="V23" s="228"/>
      <c r="W23" s="38"/>
    </row>
    <row r="24" spans="2:23" s="10" customFormat="1" ht="16.5" customHeight="1">
      <c r="B24" s="44"/>
      <c r="C24" s="648">
        <v>11</v>
      </c>
      <c r="D24" s="672">
        <v>285657</v>
      </c>
      <c r="E24" s="633">
        <v>1757</v>
      </c>
      <c r="F24" s="649" t="s">
        <v>155</v>
      </c>
      <c r="G24" s="649" t="s">
        <v>152</v>
      </c>
      <c r="H24" s="655">
        <v>33</v>
      </c>
      <c r="I24" s="272">
        <f aca="true" t="shared" si="0" ref="I24:I43">IF(H24=330,$G$15,IF(AND(H24&lt;=132,H24&gt;=66),$G$16,IF(AND(H24&lt;66,H24&gt;=33),$G$17,$G$18)))</f>
        <v>2.433</v>
      </c>
      <c r="J24" s="637">
        <v>42067.388194444444</v>
      </c>
      <c r="K24" s="637">
        <v>42067.52222222222</v>
      </c>
      <c r="L24" s="35">
        <f aca="true" t="shared" si="1" ref="L24:L43">IF(F24="","",(K24-J24)*24)</f>
        <v>3.2166666666744277</v>
      </c>
      <c r="M24" s="64">
        <f aca="true" t="shared" si="2" ref="M24:M43">IF(F24="","",ROUND((K24-J24)*24*60,0))</f>
        <v>193</v>
      </c>
      <c r="N24" s="652" t="s">
        <v>135</v>
      </c>
      <c r="O24" s="28" t="str">
        <f aca="true" t="shared" si="3" ref="O24:O43">IF(F24="","",IF(N24="P","--","NO"))</f>
        <v>--</v>
      </c>
      <c r="P24" s="386">
        <f aca="true" t="shared" si="4" ref="P24:P43">IF(H24=330,$H$15,IF(AND(H24&lt;=132,H24&gt;=66),$H$16,IF(AND(H24&lt;66,H24&gt;13.2),$H$17,$H$18)))</f>
        <v>25</v>
      </c>
      <c r="Q24" s="693">
        <f aca="true" t="shared" si="5" ref="Q24:Q43">IF(N24="P",I24*P24*ROUND(M24/60,2)*0.1,"--")</f>
        <v>19.58565</v>
      </c>
      <c r="R24" s="365" t="str">
        <f aca="true" t="shared" si="6" ref="R24:R43">IF(AND(N24="F",O24="NO"),I24*P24,"--")</f>
        <v>--</v>
      </c>
      <c r="S24" s="366" t="str">
        <f aca="true" t="shared" si="7" ref="S24:S43">IF(N24="F",I24*P24*ROUND(M24/60,2),"--")</f>
        <v>--</v>
      </c>
      <c r="T24" s="397" t="str">
        <f>IF(N24="RF",I24*P24*ROUND(M24/60,2),"--")</f>
        <v>--</v>
      </c>
      <c r="U24" s="25" t="str">
        <f aca="true" t="shared" si="8" ref="U24:U43">IF(F24="","","SI")</f>
        <v>SI</v>
      </c>
      <c r="V24" s="65">
        <f aca="true" t="shared" si="9" ref="V24:V43">IF(F24="","",SUM(Q24:T24)*IF(U24="SI",1,2)*IF(H24="500/220",0,1))</f>
        <v>19.58565</v>
      </c>
      <c r="W24" s="38"/>
    </row>
    <row r="25" spans="2:23" s="10" customFormat="1" ht="16.5" customHeight="1">
      <c r="B25" s="44"/>
      <c r="C25" s="648">
        <v>12</v>
      </c>
      <c r="D25" s="672">
        <v>286885</v>
      </c>
      <c r="E25" s="633">
        <v>1760</v>
      </c>
      <c r="F25" s="649" t="s">
        <v>156</v>
      </c>
      <c r="G25" s="649" t="s">
        <v>153</v>
      </c>
      <c r="H25" s="655">
        <v>132</v>
      </c>
      <c r="I25" s="272">
        <f t="shared" si="0"/>
        <v>3.243</v>
      </c>
      <c r="J25" s="637">
        <v>42086.45486111111</v>
      </c>
      <c r="K25" s="637">
        <v>42086.53333333333</v>
      </c>
      <c r="L25" s="35">
        <f t="shared" si="1"/>
        <v>1.883333333360497</v>
      </c>
      <c r="M25" s="64">
        <f t="shared" si="2"/>
        <v>113</v>
      </c>
      <c r="N25" s="652" t="s">
        <v>139</v>
      </c>
      <c r="O25" s="28" t="str">
        <f t="shared" si="3"/>
        <v>NO</v>
      </c>
      <c r="P25" s="386">
        <f t="shared" si="4"/>
        <v>50</v>
      </c>
      <c r="Q25" s="693" t="str">
        <f t="shared" si="5"/>
        <v>--</v>
      </c>
      <c r="R25" s="365">
        <f t="shared" si="6"/>
        <v>162.15</v>
      </c>
      <c r="S25" s="366">
        <f t="shared" si="7"/>
        <v>304.842</v>
      </c>
      <c r="T25" s="397" t="str">
        <f aca="true" t="shared" si="10" ref="T25:T40">IF(N25="RF",I25*P25*ROUND(M25/60,2),"--")</f>
        <v>--</v>
      </c>
      <c r="U25" s="25" t="str">
        <f t="shared" si="8"/>
        <v>SI</v>
      </c>
      <c r="V25" s="65">
        <f t="shared" si="9"/>
        <v>466.99199999999996</v>
      </c>
      <c r="W25" s="38"/>
    </row>
    <row r="26" spans="2:23" s="10" customFormat="1" ht="16.5" customHeight="1">
      <c r="B26" s="44"/>
      <c r="C26" s="648">
        <v>13</v>
      </c>
      <c r="D26" s="672">
        <v>286887</v>
      </c>
      <c r="E26" s="633">
        <v>1750</v>
      </c>
      <c r="F26" s="649" t="s">
        <v>157</v>
      </c>
      <c r="G26" s="649" t="s">
        <v>154</v>
      </c>
      <c r="H26" s="655">
        <v>33</v>
      </c>
      <c r="I26" s="272">
        <f t="shared" si="0"/>
        <v>2.433</v>
      </c>
      <c r="J26" s="637">
        <v>42089.40625</v>
      </c>
      <c r="K26" s="637">
        <v>42089.58194444444</v>
      </c>
      <c r="L26" s="35">
        <f t="shared" si="1"/>
        <v>4.21666666661622</v>
      </c>
      <c r="M26" s="64">
        <f t="shared" si="2"/>
        <v>253</v>
      </c>
      <c r="N26" s="652" t="s">
        <v>135</v>
      </c>
      <c r="O26" s="28" t="str">
        <f t="shared" si="3"/>
        <v>--</v>
      </c>
      <c r="P26" s="386">
        <f t="shared" si="4"/>
        <v>25</v>
      </c>
      <c r="Q26" s="693">
        <f t="shared" si="5"/>
        <v>25.668149999999997</v>
      </c>
      <c r="R26" s="365" t="str">
        <f t="shared" si="6"/>
        <v>--</v>
      </c>
      <c r="S26" s="366" t="str">
        <f t="shared" si="7"/>
        <v>--</v>
      </c>
      <c r="T26" s="397" t="str">
        <f t="shared" si="10"/>
        <v>--</v>
      </c>
      <c r="U26" s="25" t="str">
        <f t="shared" si="8"/>
        <v>SI</v>
      </c>
      <c r="V26" s="65">
        <f t="shared" si="9"/>
        <v>25.668149999999997</v>
      </c>
      <c r="W26" s="38"/>
    </row>
    <row r="27" spans="2:23" s="10" customFormat="1" ht="16.5" customHeight="1">
      <c r="B27" s="44"/>
      <c r="C27" s="648"/>
      <c r="D27" s="633"/>
      <c r="E27" s="633"/>
      <c r="F27" s="649"/>
      <c r="G27" s="649"/>
      <c r="H27" s="655"/>
      <c r="I27" s="272">
        <f t="shared" si="0"/>
        <v>2.433</v>
      </c>
      <c r="J27" s="650"/>
      <c r="K27" s="651"/>
      <c r="L27" s="35">
        <f t="shared" si="1"/>
      </c>
      <c r="M27" s="64">
        <f t="shared" si="2"/>
      </c>
      <c r="N27" s="652"/>
      <c r="O27" s="28">
        <f t="shared" si="3"/>
      </c>
      <c r="P27" s="386">
        <f t="shared" si="4"/>
        <v>20</v>
      </c>
      <c r="Q27" s="693" t="str">
        <f t="shared" si="5"/>
        <v>--</v>
      </c>
      <c r="R27" s="365" t="str">
        <f t="shared" si="6"/>
        <v>--</v>
      </c>
      <c r="S27" s="366" t="str">
        <f t="shared" si="7"/>
        <v>--</v>
      </c>
      <c r="T27" s="397" t="str">
        <f t="shared" si="10"/>
        <v>--</v>
      </c>
      <c r="U27" s="25">
        <f t="shared" si="8"/>
      </c>
      <c r="V27" s="65">
        <f t="shared" si="9"/>
      </c>
      <c r="W27" s="38"/>
    </row>
    <row r="28" spans="2:23" s="10" customFormat="1" ht="16.5" customHeight="1">
      <c r="B28" s="44"/>
      <c r="C28" s="648"/>
      <c r="D28" s="633"/>
      <c r="E28" s="633"/>
      <c r="F28" s="649"/>
      <c r="G28" s="649"/>
      <c r="H28" s="655"/>
      <c r="I28" s="272">
        <f t="shared" si="0"/>
        <v>2.433</v>
      </c>
      <c r="J28" s="650"/>
      <c r="K28" s="651"/>
      <c r="L28" s="35">
        <f t="shared" si="1"/>
      </c>
      <c r="M28" s="64">
        <f t="shared" si="2"/>
      </c>
      <c r="N28" s="652"/>
      <c r="O28" s="28">
        <f t="shared" si="3"/>
      </c>
      <c r="P28" s="386">
        <f t="shared" si="4"/>
        <v>20</v>
      </c>
      <c r="Q28" s="693" t="str">
        <f t="shared" si="5"/>
        <v>--</v>
      </c>
      <c r="R28" s="365" t="str">
        <f t="shared" si="6"/>
        <v>--</v>
      </c>
      <c r="S28" s="366" t="str">
        <f t="shared" si="7"/>
        <v>--</v>
      </c>
      <c r="T28" s="397" t="str">
        <f t="shared" si="10"/>
        <v>--</v>
      </c>
      <c r="U28" s="25">
        <f t="shared" si="8"/>
      </c>
      <c r="V28" s="65">
        <f t="shared" si="9"/>
      </c>
      <c r="W28" s="38"/>
    </row>
    <row r="29" spans="2:23" s="10" customFormat="1" ht="16.5" customHeight="1">
      <c r="B29" s="44"/>
      <c r="C29" s="648"/>
      <c r="D29" s="633"/>
      <c r="E29" s="633"/>
      <c r="F29" s="649"/>
      <c r="G29" s="649"/>
      <c r="H29" s="655"/>
      <c r="I29" s="272">
        <f t="shared" si="0"/>
        <v>2.433</v>
      </c>
      <c r="J29" s="650"/>
      <c r="K29" s="651"/>
      <c r="L29" s="35">
        <f t="shared" si="1"/>
      </c>
      <c r="M29" s="64">
        <f t="shared" si="2"/>
      </c>
      <c r="N29" s="652"/>
      <c r="O29" s="28">
        <f t="shared" si="3"/>
      </c>
      <c r="P29" s="386">
        <f t="shared" si="4"/>
        <v>20</v>
      </c>
      <c r="Q29" s="693" t="str">
        <f t="shared" si="5"/>
        <v>--</v>
      </c>
      <c r="R29" s="365" t="str">
        <f t="shared" si="6"/>
        <v>--</v>
      </c>
      <c r="S29" s="366" t="str">
        <f t="shared" si="7"/>
        <v>--</v>
      </c>
      <c r="T29" s="397" t="str">
        <f t="shared" si="10"/>
        <v>--</v>
      </c>
      <c r="U29" s="25">
        <f t="shared" si="8"/>
      </c>
      <c r="V29" s="65">
        <f t="shared" si="9"/>
      </c>
      <c r="W29" s="38"/>
    </row>
    <row r="30" spans="2:23" s="10" customFormat="1" ht="16.5" customHeight="1">
      <c r="B30" s="44"/>
      <c r="C30" s="648"/>
      <c r="D30" s="633"/>
      <c r="E30" s="633"/>
      <c r="F30" s="649"/>
      <c r="G30" s="649"/>
      <c r="H30" s="655"/>
      <c r="I30" s="272">
        <f t="shared" si="0"/>
        <v>2.433</v>
      </c>
      <c r="J30" s="650"/>
      <c r="K30" s="651"/>
      <c r="L30" s="35">
        <f t="shared" si="1"/>
      </c>
      <c r="M30" s="64">
        <f t="shared" si="2"/>
      </c>
      <c r="N30" s="652"/>
      <c r="O30" s="28">
        <f t="shared" si="3"/>
      </c>
      <c r="P30" s="386">
        <f t="shared" si="4"/>
        <v>20</v>
      </c>
      <c r="Q30" s="693" t="str">
        <f t="shared" si="5"/>
        <v>--</v>
      </c>
      <c r="R30" s="365" t="str">
        <f t="shared" si="6"/>
        <v>--</v>
      </c>
      <c r="S30" s="366" t="str">
        <f t="shared" si="7"/>
        <v>--</v>
      </c>
      <c r="T30" s="397" t="str">
        <f t="shared" si="10"/>
        <v>--</v>
      </c>
      <c r="U30" s="25">
        <f t="shared" si="8"/>
      </c>
      <c r="V30" s="65">
        <f t="shared" si="9"/>
      </c>
      <c r="W30" s="38"/>
    </row>
    <row r="31" spans="2:23" s="10" customFormat="1" ht="16.5" customHeight="1">
      <c r="B31" s="44"/>
      <c r="C31" s="648"/>
      <c r="D31" s="633"/>
      <c r="E31" s="633"/>
      <c r="F31" s="649"/>
      <c r="G31" s="649"/>
      <c r="H31" s="655"/>
      <c r="I31" s="272">
        <f t="shared" si="0"/>
        <v>2.433</v>
      </c>
      <c r="J31" s="650"/>
      <c r="K31" s="651"/>
      <c r="L31" s="35">
        <f t="shared" si="1"/>
      </c>
      <c r="M31" s="64">
        <f t="shared" si="2"/>
      </c>
      <c r="N31" s="652"/>
      <c r="O31" s="28">
        <f t="shared" si="3"/>
      </c>
      <c r="P31" s="386">
        <f t="shared" si="4"/>
        <v>20</v>
      </c>
      <c r="Q31" s="693" t="str">
        <f t="shared" si="5"/>
        <v>--</v>
      </c>
      <c r="R31" s="365" t="str">
        <f t="shared" si="6"/>
        <v>--</v>
      </c>
      <c r="S31" s="366" t="str">
        <f t="shared" si="7"/>
        <v>--</v>
      </c>
      <c r="T31" s="397" t="str">
        <f t="shared" si="10"/>
        <v>--</v>
      </c>
      <c r="U31" s="25">
        <f t="shared" si="8"/>
      </c>
      <c r="V31" s="65">
        <f t="shared" si="9"/>
      </c>
      <c r="W31" s="38"/>
    </row>
    <row r="32" spans="2:23" s="10" customFormat="1" ht="16.5" customHeight="1">
      <c r="B32" s="44"/>
      <c r="C32" s="648"/>
      <c r="D32" s="633"/>
      <c r="E32" s="633"/>
      <c r="F32" s="649"/>
      <c r="G32" s="649"/>
      <c r="H32" s="655"/>
      <c r="I32" s="272">
        <f t="shared" si="0"/>
        <v>2.433</v>
      </c>
      <c r="J32" s="650"/>
      <c r="K32" s="651"/>
      <c r="L32" s="35">
        <f t="shared" si="1"/>
      </c>
      <c r="M32" s="64">
        <f t="shared" si="2"/>
      </c>
      <c r="N32" s="652"/>
      <c r="O32" s="28">
        <f t="shared" si="3"/>
      </c>
      <c r="P32" s="386">
        <f t="shared" si="4"/>
        <v>20</v>
      </c>
      <c r="Q32" s="693" t="str">
        <f t="shared" si="5"/>
        <v>--</v>
      </c>
      <c r="R32" s="365" t="str">
        <f t="shared" si="6"/>
        <v>--</v>
      </c>
      <c r="S32" s="366" t="str">
        <f t="shared" si="7"/>
        <v>--</v>
      </c>
      <c r="T32" s="397" t="str">
        <f t="shared" si="10"/>
        <v>--</v>
      </c>
      <c r="U32" s="25">
        <f t="shared" si="8"/>
      </c>
      <c r="V32" s="65">
        <f t="shared" si="9"/>
      </c>
      <c r="W32" s="38"/>
    </row>
    <row r="33" spans="2:23" s="10" customFormat="1" ht="16.5" customHeight="1">
      <c r="B33" s="44"/>
      <c r="C33" s="648"/>
      <c r="D33" s="633"/>
      <c r="E33" s="633"/>
      <c r="F33" s="649"/>
      <c r="G33" s="649"/>
      <c r="H33" s="655"/>
      <c r="I33" s="272">
        <f t="shared" si="0"/>
        <v>2.433</v>
      </c>
      <c r="J33" s="650"/>
      <c r="K33" s="651"/>
      <c r="L33" s="35">
        <f t="shared" si="1"/>
      </c>
      <c r="M33" s="64">
        <f t="shared" si="2"/>
      </c>
      <c r="N33" s="652"/>
      <c r="O33" s="28">
        <f t="shared" si="3"/>
      </c>
      <c r="P33" s="386">
        <f t="shared" si="4"/>
        <v>20</v>
      </c>
      <c r="Q33" s="693" t="str">
        <f t="shared" si="5"/>
        <v>--</v>
      </c>
      <c r="R33" s="365" t="str">
        <f t="shared" si="6"/>
        <v>--</v>
      </c>
      <c r="S33" s="366" t="str">
        <f t="shared" si="7"/>
        <v>--</v>
      </c>
      <c r="T33" s="397" t="str">
        <f t="shared" si="10"/>
        <v>--</v>
      </c>
      <c r="U33" s="25">
        <f t="shared" si="8"/>
      </c>
      <c r="V33" s="65">
        <f t="shared" si="9"/>
      </c>
      <c r="W33" s="38"/>
    </row>
    <row r="34" spans="2:23" s="10" customFormat="1" ht="16.5" customHeight="1">
      <c r="B34" s="44"/>
      <c r="C34" s="648"/>
      <c r="D34" s="633"/>
      <c r="E34" s="633"/>
      <c r="F34" s="649"/>
      <c r="G34" s="649"/>
      <c r="H34" s="655"/>
      <c r="I34" s="272">
        <f t="shared" si="0"/>
        <v>2.433</v>
      </c>
      <c r="J34" s="650"/>
      <c r="K34" s="651"/>
      <c r="L34" s="35">
        <f t="shared" si="1"/>
      </c>
      <c r="M34" s="64">
        <f t="shared" si="2"/>
      </c>
      <c r="N34" s="652"/>
      <c r="O34" s="28">
        <f t="shared" si="3"/>
      </c>
      <c r="P34" s="386">
        <f t="shared" si="4"/>
        <v>20</v>
      </c>
      <c r="Q34" s="693" t="str">
        <f t="shared" si="5"/>
        <v>--</v>
      </c>
      <c r="R34" s="365" t="str">
        <f t="shared" si="6"/>
        <v>--</v>
      </c>
      <c r="S34" s="366" t="str">
        <f t="shared" si="7"/>
        <v>--</v>
      </c>
      <c r="T34" s="397" t="str">
        <f t="shared" si="10"/>
        <v>--</v>
      </c>
      <c r="U34" s="25">
        <f t="shared" si="8"/>
      </c>
      <c r="V34" s="65">
        <f t="shared" si="9"/>
      </c>
      <c r="W34" s="38"/>
    </row>
    <row r="35" spans="2:23" s="10" customFormat="1" ht="16.5" customHeight="1">
      <c r="B35" s="44"/>
      <c r="C35" s="648"/>
      <c r="D35" s="633"/>
      <c r="E35" s="633"/>
      <c r="F35" s="649"/>
      <c r="G35" s="649"/>
      <c r="H35" s="655"/>
      <c r="I35" s="272">
        <f t="shared" si="0"/>
        <v>2.433</v>
      </c>
      <c r="J35" s="650"/>
      <c r="K35" s="651"/>
      <c r="L35" s="35">
        <f t="shared" si="1"/>
      </c>
      <c r="M35" s="64">
        <f t="shared" si="2"/>
      </c>
      <c r="N35" s="652"/>
      <c r="O35" s="28">
        <f t="shared" si="3"/>
      </c>
      <c r="P35" s="386">
        <f t="shared" si="4"/>
        <v>20</v>
      </c>
      <c r="Q35" s="693" t="str">
        <f t="shared" si="5"/>
        <v>--</v>
      </c>
      <c r="R35" s="365" t="str">
        <f t="shared" si="6"/>
        <v>--</v>
      </c>
      <c r="S35" s="366" t="str">
        <f t="shared" si="7"/>
        <v>--</v>
      </c>
      <c r="T35" s="397" t="str">
        <f t="shared" si="10"/>
        <v>--</v>
      </c>
      <c r="U35" s="25">
        <f t="shared" si="8"/>
      </c>
      <c r="V35" s="65">
        <f t="shared" si="9"/>
      </c>
      <c r="W35" s="38"/>
    </row>
    <row r="36" spans="2:23" s="10" customFormat="1" ht="16.5" customHeight="1">
      <c r="B36" s="44"/>
      <c r="C36" s="648"/>
      <c r="D36" s="633"/>
      <c r="E36" s="633"/>
      <c r="F36" s="649"/>
      <c r="G36" s="649"/>
      <c r="H36" s="655"/>
      <c r="I36" s="272">
        <f t="shared" si="0"/>
        <v>2.433</v>
      </c>
      <c r="J36" s="650"/>
      <c r="K36" s="651"/>
      <c r="L36" s="35">
        <f t="shared" si="1"/>
      </c>
      <c r="M36" s="64">
        <f t="shared" si="2"/>
      </c>
      <c r="N36" s="652"/>
      <c r="O36" s="28">
        <f t="shared" si="3"/>
      </c>
      <c r="P36" s="386">
        <f t="shared" si="4"/>
        <v>20</v>
      </c>
      <c r="Q36" s="693" t="str">
        <f t="shared" si="5"/>
        <v>--</v>
      </c>
      <c r="R36" s="365" t="str">
        <f t="shared" si="6"/>
        <v>--</v>
      </c>
      <c r="S36" s="366" t="str">
        <f t="shared" si="7"/>
        <v>--</v>
      </c>
      <c r="T36" s="397" t="str">
        <f t="shared" si="10"/>
        <v>--</v>
      </c>
      <c r="U36" s="25">
        <f t="shared" si="8"/>
      </c>
      <c r="V36" s="65">
        <f t="shared" si="9"/>
      </c>
      <c r="W36" s="38"/>
    </row>
    <row r="37" spans="2:23" s="10" customFormat="1" ht="16.5" customHeight="1">
      <c r="B37" s="44"/>
      <c r="C37" s="648"/>
      <c r="D37" s="633"/>
      <c r="E37" s="633"/>
      <c r="F37" s="649"/>
      <c r="G37" s="649"/>
      <c r="H37" s="655"/>
      <c r="I37" s="272">
        <f t="shared" si="0"/>
        <v>2.433</v>
      </c>
      <c r="J37" s="650"/>
      <c r="K37" s="651"/>
      <c r="L37" s="35">
        <f t="shared" si="1"/>
      </c>
      <c r="M37" s="64">
        <f t="shared" si="2"/>
      </c>
      <c r="N37" s="652"/>
      <c r="O37" s="28">
        <f t="shared" si="3"/>
      </c>
      <c r="P37" s="386">
        <f t="shared" si="4"/>
        <v>20</v>
      </c>
      <c r="Q37" s="693" t="str">
        <f t="shared" si="5"/>
        <v>--</v>
      </c>
      <c r="R37" s="365" t="str">
        <f t="shared" si="6"/>
        <v>--</v>
      </c>
      <c r="S37" s="366" t="str">
        <f t="shared" si="7"/>
        <v>--</v>
      </c>
      <c r="T37" s="397" t="str">
        <f t="shared" si="10"/>
        <v>--</v>
      </c>
      <c r="U37" s="25">
        <f t="shared" si="8"/>
      </c>
      <c r="V37" s="65">
        <f t="shared" si="9"/>
      </c>
      <c r="W37" s="38"/>
    </row>
    <row r="38" spans="2:23" s="10" customFormat="1" ht="16.5" customHeight="1">
      <c r="B38" s="44"/>
      <c r="C38" s="648"/>
      <c r="D38" s="633"/>
      <c r="E38" s="633"/>
      <c r="F38" s="649"/>
      <c r="G38" s="649"/>
      <c r="H38" s="655"/>
      <c r="I38" s="272">
        <f t="shared" si="0"/>
        <v>2.433</v>
      </c>
      <c r="J38" s="650"/>
      <c r="K38" s="651"/>
      <c r="L38" s="35">
        <f t="shared" si="1"/>
      </c>
      <c r="M38" s="64">
        <f t="shared" si="2"/>
      </c>
      <c r="N38" s="652"/>
      <c r="O38" s="28">
        <f t="shared" si="3"/>
      </c>
      <c r="P38" s="386">
        <f t="shared" si="4"/>
        <v>20</v>
      </c>
      <c r="Q38" s="693" t="str">
        <f t="shared" si="5"/>
        <v>--</v>
      </c>
      <c r="R38" s="365" t="str">
        <f t="shared" si="6"/>
        <v>--</v>
      </c>
      <c r="S38" s="366" t="str">
        <f t="shared" si="7"/>
        <v>--</v>
      </c>
      <c r="T38" s="397" t="str">
        <f t="shared" si="10"/>
        <v>--</v>
      </c>
      <c r="U38" s="25">
        <f t="shared" si="8"/>
      </c>
      <c r="V38" s="65">
        <f t="shared" si="9"/>
      </c>
      <c r="W38" s="38"/>
    </row>
    <row r="39" spans="2:23" s="10" customFormat="1" ht="16.5" customHeight="1">
      <c r="B39" s="44"/>
      <c r="C39" s="648"/>
      <c r="D39" s="633"/>
      <c r="E39" s="633"/>
      <c r="F39" s="649"/>
      <c r="G39" s="649"/>
      <c r="H39" s="655"/>
      <c r="I39" s="272">
        <f t="shared" si="0"/>
        <v>2.433</v>
      </c>
      <c r="J39" s="650"/>
      <c r="K39" s="651"/>
      <c r="L39" s="35">
        <f t="shared" si="1"/>
      </c>
      <c r="M39" s="64">
        <f t="shared" si="2"/>
      </c>
      <c r="N39" s="652"/>
      <c r="O39" s="28">
        <f t="shared" si="3"/>
      </c>
      <c r="P39" s="386">
        <f t="shared" si="4"/>
        <v>20</v>
      </c>
      <c r="Q39" s="693" t="str">
        <f t="shared" si="5"/>
        <v>--</v>
      </c>
      <c r="R39" s="365" t="str">
        <f t="shared" si="6"/>
        <v>--</v>
      </c>
      <c r="S39" s="366" t="str">
        <f t="shared" si="7"/>
        <v>--</v>
      </c>
      <c r="T39" s="397" t="str">
        <f t="shared" si="10"/>
        <v>--</v>
      </c>
      <c r="U39" s="25">
        <f t="shared" si="8"/>
      </c>
      <c r="V39" s="65">
        <f t="shared" si="9"/>
      </c>
      <c r="W39" s="38"/>
    </row>
    <row r="40" spans="2:23" s="10" customFormat="1" ht="16.5" customHeight="1">
      <c r="B40" s="44"/>
      <c r="C40" s="648"/>
      <c r="D40" s="633"/>
      <c r="E40" s="633"/>
      <c r="F40" s="649"/>
      <c r="G40" s="649"/>
      <c r="H40" s="655"/>
      <c r="I40" s="272">
        <f t="shared" si="0"/>
        <v>2.433</v>
      </c>
      <c r="J40" s="650"/>
      <c r="K40" s="651"/>
      <c r="L40" s="35">
        <f t="shared" si="1"/>
      </c>
      <c r="M40" s="64">
        <f t="shared" si="2"/>
      </c>
      <c r="N40" s="652"/>
      <c r="O40" s="28">
        <f t="shared" si="3"/>
      </c>
      <c r="P40" s="386">
        <f t="shared" si="4"/>
        <v>20</v>
      </c>
      <c r="Q40" s="693" t="str">
        <f t="shared" si="5"/>
        <v>--</v>
      </c>
      <c r="R40" s="365" t="str">
        <f t="shared" si="6"/>
        <v>--</v>
      </c>
      <c r="S40" s="366" t="str">
        <f t="shared" si="7"/>
        <v>--</v>
      </c>
      <c r="T40" s="397" t="str">
        <f t="shared" si="10"/>
        <v>--</v>
      </c>
      <c r="U40" s="25">
        <f t="shared" si="8"/>
      </c>
      <c r="V40" s="65">
        <f t="shared" si="9"/>
      </c>
      <c r="W40" s="38"/>
    </row>
    <row r="41" spans="2:23" s="10" customFormat="1" ht="16.5" customHeight="1">
      <c r="B41" s="44"/>
      <c r="C41" s="648"/>
      <c r="D41" s="633"/>
      <c r="E41" s="633"/>
      <c r="F41" s="649"/>
      <c r="G41" s="649"/>
      <c r="H41" s="655"/>
      <c r="I41" s="272">
        <f t="shared" si="0"/>
        <v>2.433</v>
      </c>
      <c r="J41" s="650"/>
      <c r="K41" s="651"/>
      <c r="L41" s="35">
        <f t="shared" si="1"/>
      </c>
      <c r="M41" s="64">
        <f t="shared" si="2"/>
      </c>
      <c r="N41" s="652"/>
      <c r="O41" s="28">
        <f t="shared" si="3"/>
      </c>
      <c r="P41" s="386">
        <f t="shared" si="4"/>
        <v>20</v>
      </c>
      <c r="Q41" s="693" t="str">
        <f t="shared" si="5"/>
        <v>--</v>
      </c>
      <c r="R41" s="365" t="str">
        <f t="shared" si="6"/>
        <v>--</v>
      </c>
      <c r="S41" s="366" t="str">
        <f t="shared" si="7"/>
        <v>--</v>
      </c>
      <c r="T41" s="397" t="str">
        <f>IF(N41="RF",I41*P41*ROUND(M41/60,2),"--")</f>
        <v>--</v>
      </c>
      <c r="U41" s="25">
        <f t="shared" si="8"/>
      </c>
      <c r="V41" s="65">
        <f t="shared" si="9"/>
      </c>
      <c r="W41" s="38"/>
    </row>
    <row r="42" spans="2:23" s="10" customFormat="1" ht="16.5" customHeight="1">
      <c r="B42" s="44"/>
      <c r="C42" s="648"/>
      <c r="D42" s="633"/>
      <c r="E42" s="633"/>
      <c r="F42" s="649"/>
      <c r="G42" s="649"/>
      <c r="H42" s="655"/>
      <c r="I42" s="272">
        <f t="shared" si="0"/>
        <v>2.433</v>
      </c>
      <c r="J42" s="650"/>
      <c r="K42" s="651"/>
      <c r="L42" s="35">
        <f t="shared" si="1"/>
      </c>
      <c r="M42" s="64">
        <f t="shared" si="2"/>
      </c>
      <c r="N42" s="652"/>
      <c r="O42" s="28">
        <f t="shared" si="3"/>
      </c>
      <c r="P42" s="386">
        <f t="shared" si="4"/>
        <v>20</v>
      </c>
      <c r="Q42" s="693" t="str">
        <f t="shared" si="5"/>
        <v>--</v>
      </c>
      <c r="R42" s="365" t="str">
        <f t="shared" si="6"/>
        <v>--</v>
      </c>
      <c r="S42" s="366" t="str">
        <f t="shared" si="7"/>
        <v>--</v>
      </c>
      <c r="T42" s="397" t="str">
        <f>IF(N42="RF",I42*P42*ROUND(M42/60,2),"--")</f>
        <v>--</v>
      </c>
      <c r="U42" s="25">
        <f t="shared" si="8"/>
      </c>
      <c r="V42" s="65">
        <f t="shared" si="9"/>
      </c>
      <c r="W42" s="38"/>
    </row>
    <row r="43" spans="2:23" s="10" customFormat="1" ht="16.5" customHeight="1">
      <c r="B43" s="44"/>
      <c r="C43" s="648"/>
      <c r="D43" s="633"/>
      <c r="E43" s="633"/>
      <c r="F43" s="649"/>
      <c r="G43" s="649"/>
      <c r="H43" s="655"/>
      <c r="I43" s="272">
        <f t="shared" si="0"/>
        <v>2.433</v>
      </c>
      <c r="J43" s="650"/>
      <c r="K43" s="651"/>
      <c r="L43" s="35">
        <f t="shared" si="1"/>
      </c>
      <c r="M43" s="64">
        <f t="shared" si="2"/>
      </c>
      <c r="N43" s="652"/>
      <c r="O43" s="28">
        <f t="shared" si="3"/>
      </c>
      <c r="P43" s="386">
        <f t="shared" si="4"/>
        <v>20</v>
      </c>
      <c r="Q43" s="693" t="str">
        <f t="shared" si="5"/>
        <v>--</v>
      </c>
      <c r="R43" s="365" t="str">
        <f t="shared" si="6"/>
        <v>--</v>
      </c>
      <c r="S43" s="366" t="str">
        <f t="shared" si="7"/>
        <v>--</v>
      </c>
      <c r="T43" s="397" t="str">
        <f>IF(N43="RF",I43*P43*ROUND(M43/60,2),"--")</f>
        <v>--</v>
      </c>
      <c r="U43" s="25">
        <f t="shared" si="8"/>
      </c>
      <c r="V43" s="65">
        <f t="shared" si="9"/>
      </c>
      <c r="W43" s="38"/>
    </row>
    <row r="44" spans="2:23" s="10" customFormat="1" ht="16.5" customHeight="1" thickBot="1">
      <c r="B44" s="44"/>
      <c r="C44" s="636"/>
      <c r="D44" s="636"/>
      <c r="E44" s="636"/>
      <c r="F44" s="636"/>
      <c r="G44" s="636"/>
      <c r="H44" s="636"/>
      <c r="I44" s="271"/>
      <c r="J44" s="636"/>
      <c r="K44" s="636"/>
      <c r="L44" s="29"/>
      <c r="M44" s="29"/>
      <c r="N44" s="636"/>
      <c r="O44" s="636"/>
      <c r="P44" s="653"/>
      <c r="Q44" s="654"/>
      <c r="R44" s="644"/>
      <c r="S44" s="645"/>
      <c r="T44" s="639"/>
      <c r="U44" s="636"/>
      <c r="V44" s="217"/>
      <c r="W44" s="38"/>
    </row>
    <row r="45" spans="2:23" s="10" customFormat="1" ht="16.5" customHeight="1" thickBot="1" thickTop="1">
      <c r="B45" s="44"/>
      <c r="C45" s="239" t="s">
        <v>63</v>
      </c>
      <c r="D45" s="695"/>
      <c r="E45" s="673"/>
      <c r="F45" s="24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8">
        <f>ROUND(SUM(Q22:Q44),2)</f>
        <v>45.25</v>
      </c>
      <c r="R45" s="326">
        <f>SUM(R22:R44)</f>
        <v>162.15</v>
      </c>
      <c r="S45" s="326">
        <f>SUM(S22:S44)</f>
        <v>304.842</v>
      </c>
      <c r="T45" s="399">
        <f>SUM(T22:T44)</f>
        <v>0</v>
      </c>
      <c r="U45" s="66"/>
      <c r="V45" s="255">
        <f>SUM(V22:V44)</f>
        <v>512.2457999999999</v>
      </c>
      <c r="W45" s="38"/>
    </row>
    <row r="46" spans="2:23" s="257" customFormat="1" ht="9.75" thickTop="1">
      <c r="B46" s="256"/>
      <c r="C46" s="241"/>
      <c r="D46" s="241"/>
      <c r="E46" s="241"/>
      <c r="F46" s="242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1"/>
      <c r="V46" s="262"/>
      <c r="W46" s="263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H16" sqref="H16:N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10.71093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09"/>
    </row>
    <row r="2" spans="1:16" s="109" customFormat="1" ht="26.25">
      <c r="A2" s="170"/>
      <c r="B2" s="110" t="str">
        <f>'TOT-0315'!B2</f>
        <v>ANEXO III al Memorándum  D.T.E.E.  N°  326 / 2016             .-</v>
      </c>
      <c r="C2" s="671"/>
      <c r="D2" s="671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76" t="s">
        <v>132</v>
      </c>
      <c r="B3" s="10"/>
      <c r="C3" s="10"/>
      <c r="D3" s="10"/>
    </row>
    <row r="4" spans="1:4" s="112" customFormat="1" ht="11.25">
      <c r="A4" s="676" t="s">
        <v>131</v>
      </c>
      <c r="B4" s="231"/>
      <c r="C4" s="231"/>
      <c r="D4" s="231"/>
    </row>
    <row r="5" spans="1:4" s="10" customFormat="1" ht="13.5" thickBot="1">
      <c r="A5" s="676"/>
      <c r="B5" s="231"/>
      <c r="C5" s="231"/>
      <c r="D5" s="231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39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4"/>
      <c r="C8" s="73"/>
      <c r="D8" s="410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8"/>
    </row>
    <row r="9" spans="1:19" s="114" customFormat="1" ht="20.25">
      <c r="A9" s="45"/>
      <c r="B9" s="411"/>
      <c r="C9"/>
      <c r="D9" s="22" t="s">
        <v>125</v>
      </c>
      <c r="E9" s="412"/>
      <c r="F9" s="412"/>
      <c r="G9" s="412"/>
      <c r="H9" s="413"/>
      <c r="I9" s="412"/>
      <c r="J9" s="412"/>
      <c r="K9" s="412"/>
      <c r="L9" s="412"/>
      <c r="M9" s="412"/>
      <c r="N9" s="412"/>
      <c r="O9" s="412"/>
      <c r="P9" s="414"/>
      <c r="Q9" s="232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5" t="str">
        <f>+'TOT-0315'!B14</f>
        <v>Desde el 01 al 31 de marzo de 2015</v>
      </c>
      <c r="C11" s="143"/>
      <c r="D11" s="196"/>
      <c r="E11" s="196"/>
      <c r="F11" s="196"/>
      <c r="G11" s="196"/>
      <c r="H11" s="196"/>
      <c r="I11" s="143"/>
      <c r="J11" s="196"/>
      <c r="K11" s="196"/>
      <c r="L11" s="196"/>
      <c r="M11" s="196"/>
      <c r="N11" s="196"/>
      <c r="O11" s="196"/>
      <c r="P11" s="415"/>
      <c r="Q11" s="416"/>
      <c r="R11" s="416"/>
      <c r="S11" s="416"/>
    </row>
    <row r="12" spans="1:19" ht="15">
      <c r="A12" s="1"/>
      <c r="B12" s="274"/>
      <c r="C12" s="73"/>
      <c r="D12" s="69"/>
      <c r="E12" s="69"/>
      <c r="F12" s="69"/>
      <c r="G12" s="69"/>
      <c r="H12" s="417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18"/>
    </row>
    <row r="13" spans="1:19" ht="18" customHeight="1">
      <c r="A13" s="1"/>
      <c r="B13" s="274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18"/>
    </row>
    <row r="14" spans="1:19" ht="18" customHeight="1">
      <c r="A14" s="1"/>
      <c r="B14" s="274"/>
      <c r="C14" s="73"/>
      <c r="D14" s="68"/>
      <c r="E14" s="419"/>
      <c r="F14" s="69"/>
      <c r="G14" s="69"/>
      <c r="H14" s="81"/>
      <c r="I14" s="81"/>
      <c r="J14" s="69"/>
      <c r="K14" s="69"/>
      <c r="P14" s="70"/>
      <c r="Q14" s="4"/>
      <c r="R14" s="4"/>
      <c r="S14" s="418"/>
    </row>
    <row r="15" spans="1:16" ht="16.5" thickBot="1">
      <c r="A15" s="1"/>
      <c r="B15" s="274"/>
      <c r="C15" s="420" t="s">
        <v>86</v>
      </c>
      <c r="D15" s="71"/>
      <c r="E15" s="275"/>
      <c r="F15" s="276"/>
      <c r="G15" s="73"/>
      <c r="H15" s="73"/>
      <c r="I15" s="73"/>
      <c r="J15" s="72"/>
      <c r="K15" s="72"/>
      <c r="L15" s="277"/>
      <c r="M15" s="73"/>
      <c r="N15" s="73"/>
      <c r="O15" s="73"/>
      <c r="P15" s="278"/>
    </row>
    <row r="16" spans="1:16" ht="16.5" thickBot="1">
      <c r="A16" s="1"/>
      <c r="B16" s="274"/>
      <c r="C16" s="279"/>
      <c r="D16" s="71"/>
      <c r="E16" s="275"/>
      <c r="F16" s="276"/>
      <c r="G16" s="73"/>
      <c r="H16" s="73"/>
      <c r="L16" s="716" t="s">
        <v>82</v>
      </c>
      <c r="M16" s="717">
        <v>11.322</v>
      </c>
      <c r="N16" s="421"/>
      <c r="O16" s="73"/>
      <c r="P16" s="278"/>
    </row>
    <row r="17" spans="1:16" ht="15.75">
      <c r="A17" s="1"/>
      <c r="B17" s="274"/>
      <c r="C17" s="279"/>
      <c r="D17" s="72" t="s">
        <v>87</v>
      </c>
      <c r="E17" s="280">
        <f>MID(B11,16,2)*24</f>
        <v>744</v>
      </c>
      <c r="F17" s="73" t="s">
        <v>88</v>
      </c>
      <c r="G17" s="69"/>
      <c r="H17" s="422"/>
      <c r="I17" s="423" t="s">
        <v>89</v>
      </c>
      <c r="J17" s="424">
        <v>243.513</v>
      </c>
      <c r="K17" s="405"/>
      <c r="L17" s="718" t="s">
        <v>83</v>
      </c>
      <c r="M17" s="425">
        <v>8.497</v>
      </c>
      <c r="N17" s="426"/>
      <c r="O17" s="73"/>
      <c r="P17" s="278"/>
    </row>
    <row r="18" spans="1:16" ht="16.5" thickBot="1">
      <c r="A18" s="1"/>
      <c r="B18" s="274"/>
      <c r="C18" s="279"/>
      <c r="D18" s="72" t="s">
        <v>90</v>
      </c>
      <c r="E18" s="282">
        <v>0.025</v>
      </c>
      <c r="F18" s="69"/>
      <c r="G18" s="69"/>
      <c r="H18" s="427"/>
      <c r="I18" s="428" t="s">
        <v>91</v>
      </c>
      <c r="J18" s="429">
        <v>0.848</v>
      </c>
      <c r="K18" s="430"/>
      <c r="L18" s="719" t="s">
        <v>84</v>
      </c>
      <c r="M18" s="431">
        <v>8.497</v>
      </c>
      <c r="N18" s="432"/>
      <c r="O18" s="73"/>
      <c r="P18" s="278"/>
    </row>
    <row r="19" spans="1:16" ht="15.75">
      <c r="A19" s="1"/>
      <c r="B19" s="274"/>
      <c r="C19" s="279"/>
      <c r="D19" s="72"/>
      <c r="E19" s="282"/>
      <c r="F19" s="69"/>
      <c r="G19" s="69"/>
      <c r="H19" s="69"/>
      <c r="I19" s="69"/>
      <c r="L19" s="277"/>
      <c r="M19" s="73"/>
      <c r="N19" s="73"/>
      <c r="O19" s="73"/>
      <c r="P19" s="278"/>
    </row>
    <row r="20" spans="1:16" ht="15">
      <c r="A20" s="1"/>
      <c r="B20" s="274"/>
      <c r="C20" s="68" t="s">
        <v>92</v>
      </c>
      <c r="D20" s="76"/>
      <c r="E20" s="275"/>
      <c r="F20" s="276"/>
      <c r="G20" s="73"/>
      <c r="H20" s="73"/>
      <c r="I20" s="73"/>
      <c r="J20" s="72"/>
      <c r="K20" s="72"/>
      <c r="L20" s="277"/>
      <c r="M20" s="73"/>
      <c r="N20" s="73"/>
      <c r="O20" s="73"/>
      <c r="P20" s="278"/>
    </row>
    <row r="21" spans="1:16" ht="15">
      <c r="A21" s="1"/>
      <c r="B21" s="274"/>
      <c r="C21" s="73"/>
      <c r="D21" s="73"/>
      <c r="E21" s="73"/>
      <c r="F21" s="73"/>
      <c r="G21" s="73"/>
      <c r="H21" s="283"/>
      <c r="I21" s="73"/>
      <c r="J21" s="73"/>
      <c r="K21" s="73"/>
      <c r="L21" s="73"/>
      <c r="M21" s="73"/>
      <c r="N21" s="73"/>
      <c r="O21" s="73"/>
      <c r="P21" s="278"/>
    </row>
    <row r="22" spans="1:16" ht="15">
      <c r="A22" s="1"/>
      <c r="B22" s="274"/>
      <c r="C22" s="73"/>
      <c r="D22" s="72" t="s">
        <v>93</v>
      </c>
      <c r="E22" s="73"/>
      <c r="F22" s="283" t="s">
        <v>19</v>
      </c>
      <c r="G22" s="73"/>
      <c r="H22" s="71"/>
      <c r="I22" s="433">
        <v>55119.66</v>
      </c>
      <c r="J22" s="73"/>
      <c r="K22" s="73"/>
      <c r="L22" s="434"/>
      <c r="M22" s="73"/>
      <c r="N22" s="73"/>
      <c r="O22" s="73"/>
      <c r="P22" s="278"/>
    </row>
    <row r="23" spans="1:16" ht="15">
      <c r="A23" s="1"/>
      <c r="B23" s="274"/>
      <c r="C23" s="73"/>
      <c r="D23" s="73"/>
      <c r="E23" s="73"/>
      <c r="F23" s="283" t="s">
        <v>94</v>
      </c>
      <c r="G23" s="73"/>
      <c r="H23" s="71"/>
      <c r="I23" s="433">
        <v>167.98</v>
      </c>
      <c r="J23" s="73"/>
      <c r="K23" s="73"/>
      <c r="L23" s="434"/>
      <c r="M23" s="73"/>
      <c r="N23" s="73"/>
      <c r="O23" s="73"/>
      <c r="P23" s="278"/>
    </row>
    <row r="24" spans="1:16" ht="15">
      <c r="A24" s="1"/>
      <c r="B24" s="274"/>
      <c r="C24" s="73"/>
      <c r="D24" s="73"/>
      <c r="E24" s="73"/>
      <c r="F24" s="283" t="s">
        <v>3</v>
      </c>
      <c r="G24" s="73"/>
      <c r="H24" s="71"/>
      <c r="I24" s="435">
        <v>1788.41</v>
      </c>
      <c r="J24" s="73"/>
      <c r="K24" s="73"/>
      <c r="L24" s="434"/>
      <c r="M24" s="73"/>
      <c r="N24" s="73"/>
      <c r="O24" s="73"/>
      <c r="P24" s="278"/>
    </row>
    <row r="25" spans="1:16" ht="15.75" thickBot="1">
      <c r="A25" s="1"/>
      <c r="B25" s="274"/>
      <c r="C25" s="73"/>
      <c r="D25" s="73"/>
      <c r="E25" s="73"/>
      <c r="F25" s="73"/>
      <c r="G25" s="73"/>
      <c r="H25" s="283"/>
      <c r="I25" s="73"/>
      <c r="J25" s="73"/>
      <c r="K25" s="73"/>
      <c r="L25" s="73"/>
      <c r="M25" s="73"/>
      <c r="N25" s="73"/>
      <c r="O25" s="73"/>
      <c r="P25" s="278"/>
    </row>
    <row r="26" spans="2:16" ht="20.25" thickBot="1" thickTop="1">
      <c r="B26" s="274"/>
      <c r="C26" s="80"/>
      <c r="H26" s="436" t="s">
        <v>95</v>
      </c>
      <c r="I26" s="156">
        <f>SUM(I22:I25)</f>
        <v>57076.05000000001</v>
      </c>
      <c r="L26" s="77"/>
      <c r="M26" s="77"/>
      <c r="N26" s="78"/>
      <c r="O26" s="79"/>
      <c r="P26" s="284"/>
    </row>
    <row r="27" spans="2:16" ht="15.75" thickTop="1">
      <c r="B27" s="274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4"/>
    </row>
    <row r="28" spans="2:16" ht="15">
      <c r="B28" s="274"/>
      <c r="C28" s="68" t="s">
        <v>96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4"/>
    </row>
    <row r="29" spans="2:16" ht="15">
      <c r="B29" s="274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4"/>
    </row>
    <row r="30" spans="2:16" ht="15.75">
      <c r="B30" s="274"/>
      <c r="C30" s="80"/>
      <c r="D30" s="437" t="s">
        <v>97</v>
      </c>
      <c r="E30" s="438" t="s">
        <v>15</v>
      </c>
      <c r="F30" s="439" t="s">
        <v>98</v>
      </c>
      <c r="G30" s="440"/>
      <c r="H30" s="663" t="s">
        <v>123</v>
      </c>
      <c r="I30" s="662" t="s">
        <v>122</v>
      </c>
      <c r="J30" s="658"/>
      <c r="K30" s="463"/>
      <c r="L30" s="441" t="s">
        <v>2</v>
      </c>
      <c r="N30" s="78"/>
      <c r="O30" s="79"/>
      <c r="P30" s="284"/>
    </row>
    <row r="31" spans="2:16" ht="15.75">
      <c r="B31" s="274"/>
      <c r="C31" s="80"/>
      <c r="D31" s="442" t="s">
        <v>4</v>
      </c>
      <c r="E31" s="443">
        <v>132</v>
      </c>
      <c r="F31" s="444">
        <v>31</v>
      </c>
      <c r="G31" s="445"/>
      <c r="H31" s="446">
        <f>F31*$J$17*$E$17/100</f>
        <v>56163.83832</v>
      </c>
      <c r="I31" s="447">
        <v>0</v>
      </c>
      <c r="J31" s="660" t="s">
        <v>147</v>
      </c>
      <c r="K31" s="449"/>
      <c r="L31" s="450">
        <f>SUM(H31:K31)</f>
        <v>56163.83832</v>
      </c>
      <c r="M31" s="77"/>
      <c r="N31" s="78"/>
      <c r="O31" s="79"/>
      <c r="P31" s="284"/>
    </row>
    <row r="32" spans="2:16" ht="15.75">
      <c r="B32" s="274"/>
      <c r="C32" s="80"/>
      <c r="D32" s="470" t="s">
        <v>5</v>
      </c>
      <c r="E32" s="76">
        <v>132</v>
      </c>
      <c r="F32" s="82">
        <v>110.3</v>
      </c>
      <c r="G32" s="77"/>
      <c r="H32" s="289">
        <f>F32*$J$17*$E$17/100</f>
        <v>199834.560216</v>
      </c>
      <c r="I32" s="487">
        <v>14685</v>
      </c>
      <c r="J32" s="659" t="s">
        <v>147</v>
      </c>
      <c r="K32" s="281"/>
      <c r="L32" s="471">
        <f>SUM(H32:K32)</f>
        <v>214519.560216</v>
      </c>
      <c r="M32" s="77"/>
      <c r="N32" s="78"/>
      <c r="O32" s="79"/>
      <c r="P32" s="284"/>
    </row>
    <row r="33" spans="2:16" ht="15.75">
      <c r="B33" s="274"/>
      <c r="C33" s="80"/>
      <c r="D33" s="470" t="s">
        <v>6</v>
      </c>
      <c r="E33" s="76">
        <v>132</v>
      </c>
      <c r="F33" s="82">
        <v>185.6</v>
      </c>
      <c r="G33" s="77"/>
      <c r="H33" s="289">
        <f>F33*$J$17*$E$17/100</f>
        <v>336258.335232</v>
      </c>
      <c r="I33" s="487">
        <v>11778</v>
      </c>
      <c r="J33" s="659" t="s">
        <v>147</v>
      </c>
      <c r="K33" s="281"/>
      <c r="L33" s="471">
        <f>SUM(H33:K33)</f>
        <v>348036.335232</v>
      </c>
      <c r="M33" s="77"/>
      <c r="N33" s="78"/>
      <c r="O33" s="79"/>
      <c r="P33" s="284"/>
    </row>
    <row r="34" spans="2:16" ht="15.75">
      <c r="B34" s="274"/>
      <c r="C34" s="80"/>
      <c r="D34" s="451" t="s">
        <v>7</v>
      </c>
      <c r="E34" s="452">
        <v>132</v>
      </c>
      <c r="F34" s="453">
        <v>7</v>
      </c>
      <c r="G34" s="454"/>
      <c r="H34" s="455">
        <f>F34*$J$17*$E$17/100</f>
        <v>12682.157040000002</v>
      </c>
      <c r="I34" s="456">
        <v>0</v>
      </c>
      <c r="J34" s="661" t="s">
        <v>147</v>
      </c>
      <c r="K34" s="458"/>
      <c r="L34" s="459">
        <f>SUM(H34:K34)</f>
        <v>12682.157040000002</v>
      </c>
      <c r="M34" s="77"/>
      <c r="N34" s="78"/>
      <c r="O34" s="79"/>
      <c r="P34" s="284"/>
    </row>
    <row r="35" spans="2:16" ht="15">
      <c r="B35" s="274"/>
      <c r="C35" s="80"/>
      <c r="D35" s="76"/>
      <c r="E35" s="76"/>
      <c r="F35" s="285"/>
      <c r="G35" s="77"/>
      <c r="I35" s="83"/>
      <c r="J35" s="281"/>
      <c r="K35" s="281"/>
      <c r="L35" s="460">
        <f>SUM(L31:L34)</f>
        <v>631401.890808</v>
      </c>
      <c r="M35" s="77"/>
      <c r="N35" s="78"/>
      <c r="O35" s="79"/>
      <c r="P35" s="284"/>
    </row>
    <row r="36" spans="2:16" ht="15">
      <c r="B36" s="274"/>
      <c r="C36" s="80"/>
      <c r="D36" s="76"/>
      <c r="E36" s="76"/>
      <c r="F36" s="285"/>
      <c r="G36" s="77"/>
      <c r="I36" s="83"/>
      <c r="J36" s="281"/>
      <c r="K36" s="281"/>
      <c r="L36" s="286"/>
      <c r="M36" s="77"/>
      <c r="N36" s="78"/>
      <c r="O36" s="79"/>
      <c r="P36" s="284"/>
    </row>
    <row r="37" spans="2:16" ht="15.75">
      <c r="B37" s="274"/>
      <c r="C37" s="80"/>
      <c r="D37" s="437" t="s">
        <v>99</v>
      </c>
      <c r="E37" s="438" t="s">
        <v>100</v>
      </c>
      <c r="F37" s="488" t="s">
        <v>110</v>
      </c>
      <c r="G37" s="489"/>
      <c r="H37" s="664" t="s">
        <v>124</v>
      </c>
      <c r="J37" s="461" t="s">
        <v>101</v>
      </c>
      <c r="K37" s="462"/>
      <c r="L37" s="463" t="s">
        <v>49</v>
      </c>
      <c r="M37" s="438" t="s">
        <v>15</v>
      </c>
      <c r="N37" s="464" t="s">
        <v>102</v>
      </c>
      <c r="O37" s="465"/>
      <c r="P37" s="284"/>
    </row>
    <row r="38" spans="2:16" ht="15">
      <c r="B38" s="274"/>
      <c r="C38" s="80"/>
      <c r="D38" s="442" t="s">
        <v>9</v>
      </c>
      <c r="E38" s="443" t="s">
        <v>111</v>
      </c>
      <c r="F38" s="490">
        <v>30</v>
      </c>
      <c r="G38" s="491"/>
      <c r="H38" s="450">
        <f>+F38*$J$18*$E$17</f>
        <v>18927.359999999997</v>
      </c>
      <c r="J38" s="466" t="s">
        <v>112</v>
      </c>
      <c r="K38" s="448"/>
      <c r="L38" s="445" t="s">
        <v>113</v>
      </c>
      <c r="M38" s="467">
        <v>132</v>
      </c>
      <c r="N38" s="468">
        <f>M16*E17</f>
        <v>8423.568</v>
      </c>
      <c r="O38" s="469"/>
      <c r="P38" s="284"/>
    </row>
    <row r="39" spans="2:16" ht="15">
      <c r="B39" s="274"/>
      <c r="C39" s="80"/>
      <c r="D39" s="470" t="s">
        <v>12</v>
      </c>
      <c r="E39" s="76" t="s">
        <v>114</v>
      </c>
      <c r="F39" s="492">
        <v>88</v>
      </c>
      <c r="G39" s="493"/>
      <c r="H39" s="471">
        <f>+F39*$J$18*$E$17</f>
        <v>55520.255999999994</v>
      </c>
      <c r="J39" s="472" t="s">
        <v>10</v>
      </c>
      <c r="K39" s="473"/>
      <c r="L39" s="77" t="s">
        <v>115</v>
      </c>
      <c r="M39" s="78">
        <v>33</v>
      </c>
      <c r="N39" s="474">
        <f>+M17*E17*2</f>
        <v>12643.536</v>
      </c>
      <c r="O39" s="475"/>
      <c r="P39" s="284"/>
    </row>
    <row r="40" spans="2:16" ht="15">
      <c r="B40" s="274"/>
      <c r="C40" s="80"/>
      <c r="D40" s="470" t="s">
        <v>10</v>
      </c>
      <c r="E40" s="76" t="s">
        <v>8</v>
      </c>
      <c r="F40" s="492">
        <v>7.5</v>
      </c>
      <c r="G40" s="493"/>
      <c r="H40" s="471">
        <f>+F40*$J$18*$E$17</f>
        <v>4731.839999999999</v>
      </c>
      <c r="J40" s="472" t="s">
        <v>11</v>
      </c>
      <c r="K40" s="473"/>
      <c r="L40" s="77" t="s">
        <v>116</v>
      </c>
      <c r="M40" s="78">
        <v>33</v>
      </c>
      <c r="N40" s="474">
        <f>3*M17*E17</f>
        <v>18965.304</v>
      </c>
      <c r="O40" s="475"/>
      <c r="P40" s="284"/>
    </row>
    <row r="41" spans="2:16" ht="15">
      <c r="B41" s="274"/>
      <c r="C41" s="80"/>
      <c r="D41" s="470" t="s">
        <v>11</v>
      </c>
      <c r="E41" s="76" t="s">
        <v>8</v>
      </c>
      <c r="F41" s="492">
        <v>15</v>
      </c>
      <c r="G41" s="493"/>
      <c r="H41" s="471">
        <f>+F41*$J$18*$E$17</f>
        <v>9463.679999999998</v>
      </c>
      <c r="J41" s="472" t="s">
        <v>13</v>
      </c>
      <c r="K41" s="473"/>
      <c r="L41" s="77" t="s">
        <v>117</v>
      </c>
      <c r="M41" s="78">
        <v>13.2</v>
      </c>
      <c r="N41" s="474">
        <f>+M18*E17*6</f>
        <v>37930.608</v>
      </c>
      <c r="O41" s="475"/>
      <c r="P41" s="284"/>
    </row>
    <row r="42" spans="2:16" ht="15">
      <c r="B42" s="274"/>
      <c r="C42" s="80"/>
      <c r="D42" s="451" t="s">
        <v>13</v>
      </c>
      <c r="E42" s="452" t="s">
        <v>118</v>
      </c>
      <c r="F42" s="494">
        <v>30</v>
      </c>
      <c r="G42" s="495"/>
      <c r="H42" s="471">
        <f>+F42*$J$18*$E$17</f>
        <v>18927.359999999997</v>
      </c>
      <c r="J42" s="472" t="s">
        <v>9</v>
      </c>
      <c r="K42" s="473"/>
      <c r="L42" s="77" t="s">
        <v>119</v>
      </c>
      <c r="M42" s="78"/>
      <c r="N42" s="474">
        <f>+M17*E17+M18*E17*2</f>
        <v>18965.304</v>
      </c>
      <c r="O42" s="475"/>
      <c r="P42" s="284"/>
    </row>
    <row r="43" spans="2:16" ht="15">
      <c r="B43" s="274"/>
      <c r="C43" s="80"/>
      <c r="D43" s="76"/>
      <c r="E43" s="76"/>
      <c r="F43" s="285"/>
      <c r="G43" s="77"/>
      <c r="H43" s="460">
        <f>SUM(H38:H42)</f>
        <v>107570.49599999998</v>
      </c>
      <c r="J43" s="476" t="s">
        <v>12</v>
      </c>
      <c r="K43" s="457"/>
      <c r="L43" s="454" t="s">
        <v>120</v>
      </c>
      <c r="M43" s="477"/>
      <c r="N43" s="478">
        <f>(M16+M17+M18*5)*E17</f>
        <v>46354.176</v>
      </c>
      <c r="O43" s="479"/>
      <c r="P43" s="284"/>
    </row>
    <row r="44" spans="2:16" ht="15">
      <c r="B44" s="274"/>
      <c r="C44" s="80"/>
      <c r="D44" s="76"/>
      <c r="E44" s="76"/>
      <c r="F44" s="285"/>
      <c r="G44" s="77"/>
      <c r="I44" s="83"/>
      <c r="J44" s="281"/>
      <c r="K44" s="281"/>
      <c r="L44" s="286"/>
      <c r="M44" s="77"/>
      <c r="N44" s="480">
        <f>SUM(N38:N43)</f>
        <v>143282.496</v>
      </c>
      <c r="O44" s="465"/>
      <c r="P44" s="284"/>
    </row>
    <row r="45" spans="2:16" ht="12.75" customHeight="1" thickBot="1">
      <c r="B45" s="274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4"/>
    </row>
    <row r="46" spans="2:16" ht="20.25" thickBot="1" thickTop="1">
      <c r="B46" s="274"/>
      <c r="C46" s="80"/>
      <c r="D46" s="76"/>
      <c r="E46" s="76"/>
      <c r="F46" s="82"/>
      <c r="G46" s="77"/>
      <c r="H46" s="481" t="s">
        <v>103</v>
      </c>
      <c r="I46" s="482">
        <f>+H43+N44+L35</f>
        <v>882254.882808</v>
      </c>
      <c r="J46" s="76"/>
      <c r="K46" s="481" t="s">
        <v>159</v>
      </c>
      <c r="L46" s="482">
        <v>271521.17</v>
      </c>
      <c r="M46" s="77"/>
      <c r="N46" s="78"/>
      <c r="O46" s="79"/>
      <c r="P46" s="284"/>
    </row>
    <row r="47" spans="2:16" ht="15.75" thickTop="1">
      <c r="B47" s="274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4"/>
    </row>
    <row r="48" spans="2:16" ht="15.75">
      <c r="B48" s="274"/>
      <c r="C48" s="483" t="s">
        <v>104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4"/>
    </row>
    <row r="49" spans="2:16" ht="15.75" thickBot="1">
      <c r="B49" s="274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4"/>
    </row>
    <row r="50" spans="2:16" ht="20.25" thickBot="1" thickTop="1">
      <c r="B50" s="274"/>
      <c r="C50" s="80"/>
      <c r="D50" s="233" t="s">
        <v>105</v>
      </c>
      <c r="F50" s="287"/>
      <c r="G50" s="73"/>
      <c r="H50" s="155" t="s">
        <v>106</v>
      </c>
      <c r="I50" s="484">
        <f>E18*L46</f>
        <v>6788.02925</v>
      </c>
      <c r="J50" s="69"/>
      <c r="K50" s="69"/>
      <c r="O50" s="69"/>
      <c r="P50" s="284"/>
    </row>
    <row r="51" spans="2:16" ht="21.75" thickTop="1">
      <c r="B51" s="274"/>
      <c r="C51" s="80"/>
      <c r="F51" s="288"/>
      <c r="G51" s="45"/>
      <c r="I51" s="69"/>
      <c r="J51" s="69"/>
      <c r="K51" s="69"/>
      <c r="O51" s="69"/>
      <c r="P51" s="284"/>
    </row>
    <row r="52" spans="2:16" ht="15">
      <c r="B52" s="274"/>
      <c r="C52" s="68" t="s">
        <v>107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4"/>
    </row>
    <row r="53" spans="2:16" ht="15">
      <c r="B53" s="274"/>
      <c r="C53" s="80"/>
      <c r="D53" s="75" t="s">
        <v>108</v>
      </c>
      <c r="E53" s="289">
        <f>10*I26*I50/I46</f>
        <v>4391.405527180035</v>
      </c>
      <c r="F53" s="485"/>
      <c r="H53" s="69"/>
      <c r="I53" s="77"/>
      <c r="J53" s="77"/>
      <c r="K53" s="77"/>
      <c r="L53" s="77"/>
      <c r="M53" s="77"/>
      <c r="N53" s="78"/>
      <c r="O53" s="79"/>
      <c r="P53" s="284"/>
    </row>
    <row r="54" spans="2:16" ht="15">
      <c r="B54" s="274"/>
      <c r="C54" s="80"/>
      <c r="D54" s="69"/>
      <c r="E54" s="69"/>
      <c r="J54" s="77"/>
      <c r="K54" s="77"/>
      <c r="L54" s="77"/>
      <c r="M54" s="77"/>
      <c r="N54" s="78"/>
      <c r="O54" s="79"/>
      <c r="P54" s="284"/>
    </row>
    <row r="55" spans="2:16" ht="15">
      <c r="B55" s="274"/>
      <c r="C55" s="80"/>
      <c r="D55" s="69" t="s">
        <v>121</v>
      </c>
      <c r="E55" s="69"/>
      <c r="F55" s="69"/>
      <c r="G55" s="69"/>
      <c r="H55" s="69"/>
      <c r="M55" s="77"/>
      <c r="N55" s="78"/>
      <c r="O55" s="79"/>
      <c r="P55" s="284"/>
    </row>
    <row r="56" spans="2:16" ht="15.75" thickBot="1">
      <c r="B56" s="274"/>
      <c r="C56" s="80"/>
      <c r="D56" s="69"/>
      <c r="E56" s="69"/>
      <c r="F56" s="69"/>
      <c r="G56" s="69"/>
      <c r="H56" s="69"/>
      <c r="M56" s="77"/>
      <c r="N56" s="78"/>
      <c r="O56" s="79"/>
      <c r="P56" s="284"/>
    </row>
    <row r="57" spans="2:16" ht="20.25" thickBot="1" thickTop="1">
      <c r="B57" s="274"/>
      <c r="C57" s="80"/>
      <c r="D57" s="76"/>
      <c r="E57" s="76"/>
      <c r="F57" s="82"/>
      <c r="G57" s="77"/>
      <c r="H57" s="234" t="s">
        <v>109</v>
      </c>
      <c r="I57" s="486">
        <f>IF($E$53&gt;3*I50,3*I50,$E$53)</f>
        <v>4391.405527180035</v>
      </c>
      <c r="J57" s="77"/>
      <c r="K57" s="77"/>
      <c r="L57" s="77"/>
      <c r="M57" s="77"/>
      <c r="N57" s="78"/>
      <c r="O57" s="79"/>
      <c r="P57" s="284"/>
    </row>
    <row r="58" spans="2:16" ht="16.5" thickBot="1" thickTop="1"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2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2015-06-12T15:17:53Z</cp:lastPrinted>
  <dcterms:created xsi:type="dcterms:W3CDTF">2000-10-04T20:14:32Z</dcterms:created>
  <dcterms:modified xsi:type="dcterms:W3CDTF">2016-08-09T14:11:19Z</dcterms:modified>
  <cp:category/>
  <cp:version/>
  <cp:contentType/>
  <cp:contentStatus/>
</cp:coreProperties>
</file>