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47" activeTab="0"/>
  </bookViews>
  <sheets>
    <sheet name="TOT-0115" sheetId="1" r:id="rId1"/>
    <sheet name="LI-01 (1)" sheetId="2" r:id="rId2"/>
    <sheet name="LI-EDERSA-01 (1)" sheetId="3" r:id="rId3"/>
    <sheet name="TR-01 (1)" sheetId="4" r:id="rId4"/>
    <sheet name="T EDERSA" sheetId="5" r:id="rId5"/>
    <sheet name="S-01" sheetId="6" r:id="rId6"/>
    <sheet name=" R-01" sheetId="7" r:id="rId7"/>
    <sheet name="SUP-EDERSA" sheetId="8" r:id="rId8"/>
  </sheets>
  <definedNames/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8.xml><?xml version="1.0" encoding="utf-8"?>
<comments xmlns="http://schemas.openxmlformats.org/spreadsheetml/2006/main">
  <authors>
    <author>Ing. Juan Messina</author>
  </authors>
  <commentList>
    <comment ref="K29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<sst xmlns="http://schemas.openxmlformats.org/spreadsheetml/2006/main" count="363" uniqueCount="171">
  <si>
    <t>SISTEMA DE TRANSPORTE DE ENERGÍA ELÉCTRICA POR DISTRIBUCIÓN TRONCAL</t>
  </si>
  <si>
    <t>TRANSPA S.A.</t>
  </si>
  <si>
    <t>TOTAL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</si>
  <si>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</si>
  <si>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</si>
  <si>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</si>
  <si>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</si>
  <si>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</si>
  <si>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</si>
  <si>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</si>
  <si>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</si>
  <si>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</si>
  <si>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</si>
  <si>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</si>
  <si>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</si>
  <si>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</si>
  <si>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</si>
  <si>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</si>
  <si>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</si>
  <si>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</si>
  <si>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</si>
  <si>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</si>
  <si>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</si>
  <si>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</si>
  <si>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</si>
  <si>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</si>
  <si>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</si>
  <si>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</si>
  <si>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</si>
  <si>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</si>
  <si>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</si>
  <si>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</si>
  <si>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</si>
  <si>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</si>
  <si>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</si>
  <si>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</si>
  <si>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</si>
  <si>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</si>
  <si>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</si>
  <si>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</si>
  <si>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</si>
  <si>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</si>
  <si>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</si>
  <si>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</si>
  <si>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</si>
  <si>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</si>
  <si>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</si>
  <si>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</si>
  <si>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</si>
  <si>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</si>
  <si>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</si>
  <si>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</si>
  <si>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</si>
  <si>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</si>
  <si>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</si>
  <si>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</si>
  <si>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</si>
  <si>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</si>
  <si>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</si>
  <si>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</si>
  <si>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</si>
  <si>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</si>
  <si>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</si>
  <si>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</si>
  <si>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</si>
  <si>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</si>
  <si>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</si>
  <si>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</si>
  <si>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</si>
  <si>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</si>
  <si>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</si>
  <si>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</si>
  <si>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</si>
  <si>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</si>
  <si>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</si>
  <si>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</si>
  <si>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</si>
  <si>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</si>
  <si>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</si>
  <si>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</si>
  <si>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</si>
  <si>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</si>
  <si>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</si>
  <si>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</si>
  <si>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</si>
  <si>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</si>
  <si>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</si>
  <si>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</si>
  <si>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</si>
  <si>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</si>
  <si>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</si>
  <si>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</si>
  <si>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</si>
  <si>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</si>
  <si>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</si>
  <si>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</si>
  <si>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</si>
  <si>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</si>
  <si>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</si>
  <si>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</si>
  <si>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</si>
  <si>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</si>
  <si>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</si>
  <si>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</si>
  <si>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</si>
  <si>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</si>
  <si>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</si>
  <si>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</si>
  <si>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</si>
  <si>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</si>
  <si>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</si>
  <si>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</si>
  <si>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</si>
  <si>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</si>
  <si>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</si>
  <si>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</si>
  <si>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</si>
  <si>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</si>
  <si>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</si>
  <si>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</si>
  <si>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</si>
  <si>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</si>
  <si>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</si>
  <si>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</si>
  <si>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</si>
  <si>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</si>
  <si>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</si>
  <si>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</si>
  <si>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</si>
  <si>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</si>
  <si>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</si>
  <si>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</si>
  <si>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</si>
  <si>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</si>
  <si>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</si>
  <si>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</si>
  <si>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</si>
  <si>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</si>
  <si>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</si>
  <si>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</si>
  <si>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enero de 2015</t>
  </si>
  <si>
    <t>P</t>
  </si>
  <si>
    <t>SI</t>
  </si>
  <si>
    <t>0,000</t>
  </si>
  <si>
    <t>FLORENTINO AMEGHINO - ESTACION PATAGONIA</t>
  </si>
  <si>
    <t>F</t>
  </si>
  <si>
    <t>FUTALEUFU - PTO. MADRYN 1</t>
  </si>
  <si>
    <t>PTO. MADRYN - P. ALUMINIO DGPA</t>
  </si>
  <si>
    <t>TRELEW - FLORENTINO AMEGHINO</t>
  </si>
  <si>
    <t>S.A. OESTE - S.A. ESTE</t>
  </si>
  <si>
    <t>S.A. ESTE - VIEDMA</t>
  </si>
  <si>
    <t>COMODORO RIVADAVIA A1</t>
  </si>
  <si>
    <t>TR01</t>
  </si>
  <si>
    <t>132/33/6.6</t>
  </si>
  <si>
    <t>132/33/13.2</t>
  </si>
  <si>
    <t>S.ANTONIO ESTE</t>
  </si>
  <si>
    <t>132/10.4</t>
  </si>
  <si>
    <t>TR04</t>
  </si>
  <si>
    <t>P. ALUMINIO DGPA</t>
  </si>
  <si>
    <t>SAL. ALIM. 116</t>
  </si>
  <si>
    <t>LAS HERAS</t>
  </si>
  <si>
    <t>SAL. ALIM. 115</t>
  </si>
  <si>
    <t xml:space="preserve">P.MADRYN </t>
  </si>
  <si>
    <t>BOB COMP2 3RD06</t>
  </si>
  <si>
    <t>(DTE 0115)</t>
  </si>
  <si>
    <t>TOTAL DE PENALIZACIONES A APLICAR</t>
  </si>
  <si>
    <t>13B</t>
  </si>
  <si>
    <t>RF</t>
  </si>
  <si>
    <t>NO</t>
  </si>
  <si>
    <t>RM* =</t>
  </si>
  <si>
    <t>ANEXO I al Memorándum  D.T.E.E.  N°   326  / 2016              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</si>
</sst>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0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MS Sans Serif"/>
      <family val="2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7" applyNumberFormat="0" applyFill="0" applyAlignment="0" applyProtection="0"/>
    <xf numFmtId="0" fontId="96" fillId="0" borderId="8" applyNumberFormat="0" applyFill="0" applyAlignment="0" applyProtection="0"/>
    <xf numFmtId="0" fontId="105" fillId="0" borderId="9" applyNumberFormat="0" applyFill="0" applyAlignment="0" applyProtection="0"/>
  </cellStyleXfs>
  <cellXfs count="7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168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8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22" fontId="7" fillId="0" borderId="29" xfId="0" applyNumberFormat="1" applyFont="1" applyBorder="1" applyAlignment="1">
      <alignment horizontal="center"/>
    </xf>
    <xf numFmtId="22" fontId="7" fillId="0" borderId="2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68" fontId="7" fillId="0" borderId="3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7" fontId="8" fillId="0" borderId="35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 applyProtection="1" quotePrefix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164" fontId="0" fillId="0" borderId="32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4" xfId="0" applyFont="1" applyFill="1" applyBorder="1" applyAlignment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 quotePrefix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 quotePrefix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4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/>
    </xf>
    <xf numFmtId="171" fontId="25" fillId="0" borderId="3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 applyProtection="1" quotePrefix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164" fontId="0" fillId="0" borderId="35" xfId="0" applyNumberFormat="1" applyFont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/>
    </xf>
    <xf numFmtId="168" fontId="18" fillId="0" borderId="2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39" fillId="0" borderId="36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32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8" fillId="33" borderId="15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168" fontId="49" fillId="33" borderId="12" xfId="0" applyNumberFormat="1" applyFont="1" applyFill="1" applyBorder="1" applyAlignment="1" applyProtection="1">
      <alignment horizontal="center"/>
      <protection/>
    </xf>
    <xf numFmtId="168" fontId="49" fillId="33" borderId="13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171" fontId="49" fillId="33" borderId="12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4" fillId="34" borderId="32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4" fillId="35" borderId="32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/>
    </xf>
    <xf numFmtId="0" fontId="55" fillId="35" borderId="12" xfId="0" applyFont="1" applyFill="1" applyBorder="1" applyAlignment="1">
      <alignment/>
    </xf>
    <xf numFmtId="0" fontId="27" fillId="36" borderId="32" xfId="0" applyFont="1" applyFill="1" applyBorder="1" applyAlignment="1" applyProtection="1">
      <alignment horizontal="centerContinuous" vertical="center" wrapText="1"/>
      <protection/>
    </xf>
    <xf numFmtId="0" fontId="25" fillId="36" borderId="33" xfId="0" applyFont="1" applyFill="1" applyBorder="1" applyAlignment="1">
      <alignment horizontal="centerContinuous"/>
    </xf>
    <xf numFmtId="0" fontId="27" fillId="36" borderId="35" xfId="0" applyFont="1" applyFill="1" applyBorder="1" applyAlignment="1">
      <alignment horizontal="centerContinuous" vertical="center"/>
    </xf>
    <xf numFmtId="0" fontId="57" fillId="36" borderId="43" xfId="0" applyFont="1" applyFill="1" applyBorder="1" applyAlignment="1">
      <alignment horizontal="center"/>
    </xf>
    <xf numFmtId="0" fontId="57" fillId="36" borderId="44" xfId="0" applyFont="1" applyFill="1" applyBorder="1" applyAlignment="1">
      <alignment/>
    </xf>
    <xf numFmtId="0" fontId="57" fillId="36" borderId="45" xfId="0" applyFont="1" applyFill="1" applyBorder="1" applyAlignment="1">
      <alignment/>
    </xf>
    <xf numFmtId="0" fontId="57" fillId="36" borderId="46" xfId="0" applyFont="1" applyFill="1" applyBorder="1" applyAlignment="1">
      <alignment horizontal="center"/>
    </xf>
    <xf numFmtId="0" fontId="57" fillId="36" borderId="47" xfId="0" applyFont="1" applyFill="1" applyBorder="1" applyAlignment="1">
      <alignment/>
    </xf>
    <xf numFmtId="0" fontId="57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32" xfId="0" applyFont="1" applyFill="1" applyBorder="1" applyAlignment="1" applyProtection="1">
      <alignment horizontal="centerContinuous" vertical="center" wrapText="1"/>
      <protection/>
    </xf>
    <xf numFmtId="0" fontId="25" fillId="37" borderId="33" xfId="0" applyFont="1" applyFill="1" applyBorder="1" applyAlignment="1">
      <alignment horizontal="centerContinuous"/>
    </xf>
    <xf numFmtId="0" fontId="27" fillId="37" borderId="35" xfId="0" applyFont="1" applyFill="1" applyBorder="1" applyAlignment="1">
      <alignment horizontal="centerContinuous" vertical="center"/>
    </xf>
    <xf numFmtId="0" fontId="57" fillId="37" borderId="43" xfId="0" applyFont="1" applyFill="1" applyBorder="1" applyAlignment="1">
      <alignment horizontal="center"/>
    </xf>
    <xf numFmtId="0" fontId="57" fillId="37" borderId="44" xfId="0" applyFont="1" applyFill="1" applyBorder="1" applyAlignment="1">
      <alignment/>
    </xf>
    <xf numFmtId="0" fontId="57" fillId="37" borderId="45" xfId="0" applyFont="1" applyFill="1" applyBorder="1" applyAlignment="1">
      <alignment/>
    </xf>
    <xf numFmtId="0" fontId="57" fillId="37" borderId="46" xfId="0" applyFont="1" applyFill="1" applyBorder="1" applyAlignment="1">
      <alignment horizontal="center"/>
    </xf>
    <xf numFmtId="0" fontId="57" fillId="37" borderId="47" xfId="0" applyFont="1" applyFill="1" applyBorder="1" applyAlignment="1">
      <alignment/>
    </xf>
    <xf numFmtId="0" fontId="57" fillId="37" borderId="16" xfId="0" applyFont="1" applyFill="1" applyBorder="1" applyAlignment="1">
      <alignment/>
    </xf>
    <xf numFmtId="0" fontId="27" fillId="36" borderId="32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0" fontId="54" fillId="39" borderId="32" xfId="0" applyFont="1" applyFill="1" applyBorder="1" applyAlignment="1">
      <alignment horizontal="center" vertical="center" wrapText="1"/>
    </xf>
    <xf numFmtId="0" fontId="55" fillId="39" borderId="15" xfId="0" applyFont="1" applyFill="1" applyBorder="1" applyAlignment="1">
      <alignment/>
    </xf>
    <xf numFmtId="0" fontId="55" fillId="39" borderId="12" xfId="0" applyFont="1" applyFill="1" applyBorder="1" applyAlignment="1">
      <alignment/>
    </xf>
    <xf numFmtId="2" fontId="53" fillId="34" borderId="32" xfId="0" applyNumberFormat="1" applyFont="1" applyFill="1" applyBorder="1" applyAlignment="1">
      <alignment horizontal="center"/>
    </xf>
    <xf numFmtId="2" fontId="53" fillId="35" borderId="32" xfId="0" applyNumberFormat="1" applyFont="1" applyFill="1" applyBorder="1" applyAlignment="1">
      <alignment horizontal="center"/>
    </xf>
    <xf numFmtId="168" fontId="58" fillId="36" borderId="32" xfId="0" applyNumberFormat="1" applyFont="1" applyFill="1" applyBorder="1" applyAlignment="1" applyProtection="1" quotePrefix="1">
      <alignment horizontal="center"/>
      <protection/>
    </xf>
    <xf numFmtId="4" fontId="58" fillId="36" borderId="32" xfId="0" applyNumberFormat="1" applyFont="1" applyFill="1" applyBorder="1" applyAlignment="1">
      <alignment horizontal="center"/>
    </xf>
    <xf numFmtId="168" fontId="58" fillId="37" borderId="32" xfId="0" applyNumberFormat="1" applyFont="1" applyFill="1" applyBorder="1" applyAlignment="1" applyProtection="1" quotePrefix="1">
      <alignment horizontal="center"/>
      <protection/>
    </xf>
    <xf numFmtId="4" fontId="58" fillId="37" borderId="32" xfId="0" applyNumberFormat="1" applyFont="1" applyFill="1" applyBorder="1" applyAlignment="1">
      <alignment horizontal="center"/>
    </xf>
    <xf numFmtId="168" fontId="58" fillId="38" borderId="32" xfId="0" applyNumberFormat="1" applyFont="1" applyFill="1" applyBorder="1" applyAlignment="1" applyProtection="1" quotePrefix="1">
      <alignment horizontal="center"/>
      <protection/>
    </xf>
    <xf numFmtId="4" fontId="53" fillId="39" borderId="32" xfId="0" applyNumberFormat="1" applyFont="1" applyFill="1" applyBorder="1" applyAlignment="1">
      <alignment horizontal="center"/>
    </xf>
    <xf numFmtId="0" fontId="54" fillId="39" borderId="32" xfId="0" applyFont="1" applyFill="1" applyBorder="1" applyAlignment="1" applyProtection="1">
      <alignment horizontal="center" vertical="center"/>
      <protection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4" fontId="53" fillId="39" borderId="12" xfId="0" applyNumberFormat="1" applyFont="1" applyFill="1" applyBorder="1" applyAlignment="1" applyProtection="1">
      <alignment horizontal="center"/>
      <protection/>
    </xf>
    <xf numFmtId="0" fontId="53" fillId="39" borderId="13" xfId="0" applyFont="1" applyFill="1" applyBorder="1" applyAlignment="1">
      <alignment/>
    </xf>
    <xf numFmtId="0" fontId="58" fillId="38" borderId="15" xfId="0" applyFont="1" applyFill="1" applyBorder="1" applyAlignment="1">
      <alignment/>
    </xf>
    <xf numFmtId="0" fontId="58" fillId="38" borderId="12" xfId="0" applyFont="1" applyFill="1" applyBorder="1" applyAlignment="1">
      <alignment/>
    </xf>
    <xf numFmtId="2" fontId="58" fillId="38" borderId="12" xfId="0" applyNumberFormat="1" applyFont="1" applyFill="1" applyBorder="1" applyAlignment="1">
      <alignment horizontal="center"/>
    </xf>
    <xf numFmtId="0" fontId="58" fillId="38" borderId="13" xfId="0" applyFont="1" applyFill="1" applyBorder="1" applyAlignment="1">
      <alignment/>
    </xf>
    <xf numFmtId="7" fontId="58" fillId="38" borderId="32" xfId="0" applyNumberFormat="1" applyFont="1" applyFill="1" applyBorder="1" applyAlignment="1">
      <alignment horizontal="center"/>
    </xf>
    <xf numFmtId="0" fontId="27" fillId="40" borderId="32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/>
    </xf>
    <xf numFmtId="0" fontId="58" fillId="40" borderId="12" xfId="0" applyFont="1" applyFill="1" applyBorder="1" applyAlignment="1">
      <alignment/>
    </xf>
    <xf numFmtId="2" fontId="58" fillId="40" borderId="12" xfId="0" applyNumberFormat="1" applyFont="1" applyFill="1" applyBorder="1" applyAlignment="1">
      <alignment horizontal="center"/>
    </xf>
    <xf numFmtId="0" fontId="58" fillId="40" borderId="13" xfId="0" applyFont="1" applyFill="1" applyBorder="1" applyAlignment="1">
      <alignment/>
    </xf>
    <xf numFmtId="7" fontId="58" fillId="40" borderId="32" xfId="0" applyNumberFormat="1" applyFont="1" applyFill="1" applyBorder="1" applyAlignment="1">
      <alignment horizontal="center"/>
    </xf>
    <xf numFmtId="0" fontId="54" fillId="41" borderId="34" xfId="0" applyFont="1" applyFill="1" applyBorder="1" applyAlignment="1" applyProtection="1">
      <alignment horizontal="centerContinuous" vertical="center" wrapText="1"/>
      <protection/>
    </xf>
    <xf numFmtId="0" fontId="54" fillId="41" borderId="35" xfId="0" applyFont="1" applyFill="1" applyBorder="1" applyAlignment="1">
      <alignment horizontal="centerContinuous" vertical="center"/>
    </xf>
    <xf numFmtId="0" fontId="53" fillId="41" borderId="43" xfId="0" applyFont="1" applyFill="1" applyBorder="1" applyAlignment="1">
      <alignment horizontal="center"/>
    </xf>
    <xf numFmtId="0" fontId="53" fillId="41" borderId="45" xfId="0" applyFont="1" applyFill="1" applyBorder="1" applyAlignment="1">
      <alignment/>
    </xf>
    <xf numFmtId="0" fontId="53" fillId="41" borderId="46" xfId="0" applyFont="1" applyFill="1" applyBorder="1" applyAlignment="1">
      <alignment horizontal="center"/>
    </xf>
    <xf numFmtId="0" fontId="53" fillId="41" borderId="16" xfId="0" applyFont="1" applyFill="1" applyBorder="1" applyAlignment="1">
      <alignment/>
    </xf>
    <xf numFmtId="168" fontId="53" fillId="41" borderId="46" xfId="0" applyNumberFormat="1" applyFont="1" applyFill="1" applyBorder="1" applyAlignment="1" applyProtection="1" quotePrefix="1">
      <alignment horizontal="center"/>
      <protection/>
    </xf>
    <xf numFmtId="168" fontId="53" fillId="41" borderId="19" xfId="0" applyNumberFormat="1" applyFont="1" applyFill="1" applyBorder="1" applyAlignment="1" applyProtection="1" quotePrefix="1">
      <alignment horizontal="center"/>
      <protection/>
    </xf>
    <xf numFmtId="7" fontId="53" fillId="41" borderId="32" xfId="0" applyNumberFormat="1" applyFont="1" applyFill="1" applyBorder="1" applyAlignment="1">
      <alignment horizontal="center"/>
    </xf>
    <xf numFmtId="0" fontId="54" fillId="34" borderId="34" xfId="0" applyFont="1" applyFill="1" applyBorder="1" applyAlignment="1" applyProtection="1">
      <alignment horizontal="centerContinuous" vertical="center" wrapText="1"/>
      <protection/>
    </xf>
    <xf numFmtId="0" fontId="54" fillId="34" borderId="35" xfId="0" applyFont="1" applyFill="1" applyBorder="1" applyAlignment="1">
      <alignment horizontal="centerContinuous" vertical="center"/>
    </xf>
    <xf numFmtId="0" fontId="53" fillId="34" borderId="43" xfId="0" applyFont="1" applyFill="1" applyBorder="1" applyAlignment="1">
      <alignment horizontal="center"/>
    </xf>
    <xf numFmtId="0" fontId="53" fillId="34" borderId="45" xfId="0" applyFont="1" applyFill="1" applyBorder="1" applyAlignment="1">
      <alignment/>
    </xf>
    <xf numFmtId="0" fontId="53" fillId="34" borderId="46" xfId="0" applyFont="1" applyFill="1" applyBorder="1" applyAlignment="1">
      <alignment horizontal="center"/>
    </xf>
    <xf numFmtId="0" fontId="53" fillId="34" borderId="16" xfId="0" applyFont="1" applyFill="1" applyBorder="1" applyAlignment="1">
      <alignment/>
    </xf>
    <xf numFmtId="168" fontId="53" fillId="34" borderId="46" xfId="0" applyNumberFormat="1" applyFont="1" applyFill="1" applyBorder="1" applyAlignment="1" applyProtection="1" quotePrefix="1">
      <alignment horizontal="center"/>
      <protection/>
    </xf>
    <xf numFmtId="168" fontId="53" fillId="34" borderId="19" xfId="0" applyNumberFormat="1" applyFont="1" applyFill="1" applyBorder="1" applyAlignment="1" applyProtection="1" quotePrefix="1">
      <alignment horizontal="center"/>
      <protection/>
    </xf>
    <xf numFmtId="7" fontId="53" fillId="34" borderId="32" xfId="0" applyNumberFormat="1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/>
    </xf>
    <xf numFmtId="0" fontId="51" fillId="36" borderId="12" xfId="0" applyFont="1" applyFill="1" applyBorder="1" applyAlignment="1">
      <alignment/>
    </xf>
    <xf numFmtId="168" fontId="51" fillId="36" borderId="12" xfId="0" applyNumberFormat="1" applyFont="1" applyFill="1" applyBorder="1" applyAlignment="1" applyProtection="1" quotePrefix="1">
      <alignment horizontal="center"/>
      <protection/>
    </xf>
    <xf numFmtId="0" fontId="51" fillId="36" borderId="13" xfId="0" applyFont="1" applyFill="1" applyBorder="1" applyAlignment="1">
      <alignment/>
    </xf>
    <xf numFmtId="7" fontId="51" fillId="36" borderId="32" xfId="0" applyNumberFormat="1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/>
    </xf>
    <xf numFmtId="0" fontId="58" fillId="37" borderId="12" xfId="0" applyFont="1" applyFill="1" applyBorder="1" applyAlignment="1">
      <alignment/>
    </xf>
    <xf numFmtId="168" fontId="58" fillId="37" borderId="12" xfId="0" applyNumberFormat="1" applyFont="1" applyFill="1" applyBorder="1" applyAlignment="1" applyProtection="1" quotePrefix="1">
      <alignment horizontal="center"/>
      <protection/>
    </xf>
    <xf numFmtId="0" fontId="58" fillId="37" borderId="13" xfId="0" applyFont="1" applyFill="1" applyBorder="1" applyAlignment="1">
      <alignment/>
    </xf>
    <xf numFmtId="7" fontId="58" fillId="37" borderId="32" xfId="0" applyNumberFormat="1" applyFont="1" applyFill="1" applyBorder="1" applyAlignment="1">
      <alignment horizontal="center"/>
    </xf>
    <xf numFmtId="0" fontId="53" fillId="41" borderId="48" xfId="0" applyFont="1" applyFill="1" applyBorder="1" applyAlignment="1">
      <alignment/>
    </xf>
    <xf numFmtId="0" fontId="53" fillId="41" borderId="49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49" xfId="0" applyFont="1" applyFill="1" applyBorder="1" applyAlignment="1">
      <alignment/>
    </xf>
    <xf numFmtId="0" fontId="59" fillId="0" borderId="20" xfId="0" applyFont="1" applyBorder="1" applyAlignment="1">
      <alignment/>
    </xf>
    <xf numFmtId="0" fontId="54" fillId="37" borderId="32" xfId="0" applyFont="1" applyFill="1" applyBorder="1" applyAlignment="1" applyProtection="1">
      <alignment horizontal="center" vertical="center"/>
      <protection/>
    </xf>
    <xf numFmtId="164" fontId="53" fillId="37" borderId="12" xfId="0" applyNumberFormat="1" applyFont="1" applyFill="1" applyBorder="1" applyAlignment="1" applyProtection="1">
      <alignment horizontal="center"/>
      <protection/>
    </xf>
    <xf numFmtId="168" fontId="7" fillId="0" borderId="45" xfId="0" applyNumberFormat="1" applyFont="1" applyFill="1" applyBorder="1" applyAlignment="1" applyProtection="1">
      <alignment horizontal="center"/>
      <protection/>
    </xf>
    <xf numFmtId="164" fontId="53" fillId="37" borderId="15" xfId="0" applyNumberFormat="1" applyFont="1" applyFill="1" applyBorder="1" applyAlignment="1" applyProtection="1">
      <alignment horizontal="center"/>
      <protection/>
    </xf>
    <xf numFmtId="2" fontId="58" fillId="36" borderId="15" xfId="0" applyNumberFormat="1" applyFont="1" applyFill="1" applyBorder="1" applyAlignment="1">
      <alignment horizontal="center"/>
    </xf>
    <xf numFmtId="2" fontId="58" fillId="36" borderId="12" xfId="0" applyNumberFormat="1" applyFont="1" applyFill="1" applyBorder="1" applyAlignment="1">
      <alignment horizontal="center"/>
    </xf>
    <xf numFmtId="168" fontId="53" fillId="34" borderId="43" xfId="0" applyNumberFormat="1" applyFont="1" applyFill="1" applyBorder="1" applyAlignment="1" applyProtection="1" quotePrefix="1">
      <alignment horizontal="center"/>
      <protection/>
    </xf>
    <xf numFmtId="168" fontId="53" fillId="34" borderId="50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Fill="1" applyBorder="1" applyAlignment="1" applyProtection="1">
      <alignment horizontal="center"/>
      <protection/>
    </xf>
    <xf numFmtId="0" fontId="54" fillId="39" borderId="32" xfId="0" applyFont="1" applyFill="1" applyBorder="1" applyAlignment="1" applyProtection="1">
      <alignment horizontal="centerContinuous" vertical="center" wrapText="1"/>
      <protection/>
    </xf>
    <xf numFmtId="168" fontId="53" fillId="39" borderId="15" xfId="0" applyNumberFormat="1" applyFont="1" applyFill="1" applyBorder="1" applyAlignment="1" applyProtection="1" quotePrefix="1">
      <alignment horizontal="center"/>
      <protection/>
    </xf>
    <xf numFmtId="168" fontId="53" fillId="39" borderId="12" xfId="0" applyNumberFormat="1" applyFont="1" applyFill="1" applyBorder="1" applyAlignment="1" applyProtection="1" quotePrefix="1">
      <alignment horizontal="center"/>
      <protection/>
    </xf>
    <xf numFmtId="2" fontId="58" fillId="36" borderId="32" xfId="0" applyNumberFormat="1" applyFont="1" applyFill="1" applyBorder="1" applyAlignment="1">
      <alignment horizontal="center"/>
    </xf>
    <xf numFmtId="2" fontId="53" fillId="39" borderId="32" xfId="0" applyNumberFormat="1" applyFont="1" applyFill="1" applyBorder="1" applyAlignment="1">
      <alignment horizontal="center"/>
    </xf>
    <xf numFmtId="0" fontId="60" fillId="33" borderId="40" xfId="0" applyFont="1" applyFill="1" applyBorder="1" applyAlignment="1">
      <alignment horizontal="center"/>
    </xf>
    <xf numFmtId="168" fontId="60" fillId="33" borderId="18" xfId="0" applyNumberFormat="1" applyFont="1" applyFill="1" applyBorder="1" applyAlignment="1" applyProtection="1">
      <alignment horizontal="center"/>
      <protection/>
    </xf>
    <xf numFmtId="168" fontId="60" fillId="33" borderId="12" xfId="0" applyNumberFormat="1" applyFont="1" applyFill="1" applyBorder="1" applyAlignment="1" applyProtection="1">
      <alignment horizontal="center"/>
      <protection/>
    </xf>
    <xf numFmtId="168" fontId="60" fillId="33" borderId="13" xfId="0" applyNumberFormat="1" applyFont="1" applyFill="1" applyBorder="1" applyAlignment="1" applyProtection="1">
      <alignment horizontal="center"/>
      <protection/>
    </xf>
    <xf numFmtId="164" fontId="56" fillId="39" borderId="18" xfId="0" applyNumberFormat="1" applyFont="1" applyFill="1" applyBorder="1" applyAlignment="1" applyProtection="1">
      <alignment horizontal="center"/>
      <protection/>
    </xf>
    <xf numFmtId="2" fontId="58" fillId="40" borderId="18" xfId="0" applyNumberFormat="1" applyFont="1" applyFill="1" applyBorder="1" applyAlignment="1">
      <alignment horizontal="center"/>
    </xf>
    <xf numFmtId="4" fontId="58" fillId="40" borderId="32" xfId="0" applyNumberFormat="1" applyFont="1" applyFill="1" applyBorder="1" applyAlignment="1">
      <alignment horizontal="center"/>
    </xf>
    <xf numFmtId="0" fontId="56" fillId="39" borderId="15" xfId="0" applyFont="1" applyFill="1" applyBorder="1" applyAlignment="1">
      <alignment horizontal="center"/>
    </xf>
    <xf numFmtId="0" fontId="58" fillId="4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8" fontId="58" fillId="37" borderId="43" xfId="0" applyNumberFormat="1" applyFont="1" applyFill="1" applyBorder="1" applyAlignment="1" applyProtection="1" quotePrefix="1">
      <alignment horizontal="center"/>
      <protection/>
    </xf>
    <xf numFmtId="168" fontId="58" fillId="37" borderId="29" xfId="0" applyNumberFormat="1" applyFont="1" applyFill="1" applyBorder="1" applyAlignment="1" applyProtection="1" quotePrefix="1">
      <alignment horizontal="center"/>
      <protection/>
    </xf>
    <xf numFmtId="4" fontId="58" fillId="37" borderId="32" xfId="0" applyNumberFormat="1" applyFont="1" applyFill="1" applyBorder="1" applyAlignment="1">
      <alignment horizontal="center"/>
    </xf>
    <xf numFmtId="4" fontId="58" fillId="37" borderId="37" xfId="0" applyNumberFormat="1" applyFont="1" applyFill="1" applyBorder="1" applyAlignment="1">
      <alignment horizontal="center"/>
    </xf>
    <xf numFmtId="0" fontId="27" fillId="37" borderId="34" xfId="0" applyFont="1" applyFill="1" applyBorder="1" applyAlignment="1" applyProtection="1">
      <alignment horizontal="centerContinuous" vertical="center" wrapText="1"/>
      <protection/>
    </xf>
    <xf numFmtId="168" fontId="58" fillId="37" borderId="50" xfId="0" applyNumberFormat="1" applyFont="1" applyFill="1" applyBorder="1" applyAlignment="1" applyProtection="1" quotePrefix="1">
      <alignment horizontal="center"/>
      <protection/>
    </xf>
    <xf numFmtId="168" fontId="58" fillId="37" borderId="5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Border="1" applyAlignment="1" applyProtection="1">
      <alignment horizontal="center"/>
      <protection/>
    </xf>
    <xf numFmtId="0" fontId="61" fillId="33" borderId="15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68" fontId="60" fillId="33" borderId="12" xfId="0" applyNumberFormat="1" applyFont="1" applyFill="1" applyBorder="1" applyAlignment="1" applyProtection="1">
      <alignment horizontal="center"/>
      <protection/>
    </xf>
    <xf numFmtId="168" fontId="60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 applyProtection="1">
      <alignment horizontal="center"/>
      <protection/>
    </xf>
    <xf numFmtId="168" fontId="58" fillId="36" borderId="15" xfId="0" applyNumberFormat="1" applyFont="1" applyFill="1" applyBorder="1" applyAlignment="1" applyProtection="1" quotePrefix="1">
      <alignment horizontal="center"/>
      <protection/>
    </xf>
    <xf numFmtId="168" fontId="58" fillId="36" borderId="18" xfId="0" applyNumberFormat="1" applyFont="1" applyFill="1" applyBorder="1" applyAlignment="1" applyProtection="1" quotePrefix="1">
      <alignment horizontal="center"/>
      <protection/>
    </xf>
    <xf numFmtId="4" fontId="58" fillId="36" borderId="37" xfId="0" applyNumberFormat="1" applyFont="1" applyFill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7" fontId="10" fillId="0" borderId="15" xfId="0" applyNumberFormat="1" applyFont="1" applyFill="1" applyBorder="1" applyAlignment="1">
      <alignment horizontal="center"/>
    </xf>
    <xf numFmtId="0" fontId="62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52" xfId="0" applyFont="1" applyBorder="1" applyAlignment="1" applyProtection="1">
      <alignment horizontal="left"/>
      <protection/>
    </xf>
    <xf numFmtId="171" fontId="0" fillId="0" borderId="53" xfId="0" applyNumberFormat="1" applyFont="1" applyBorder="1" applyAlignment="1" applyProtection="1">
      <alignment horizontal="centerContinuous"/>
      <protection/>
    </xf>
    <xf numFmtId="0" fontId="10" fillId="0" borderId="54" xfId="0" applyFont="1" applyBorder="1" applyAlignment="1">
      <alignment horizontal="centerContinuous"/>
    </xf>
    <xf numFmtId="0" fontId="10" fillId="0" borderId="55" xfId="0" applyFont="1" applyFill="1" applyBorder="1" applyAlignment="1">
      <alignment/>
    </xf>
    <xf numFmtId="0" fontId="10" fillId="0" borderId="56" xfId="0" applyFont="1" applyBorder="1" applyAlignment="1" applyProtection="1">
      <alignment horizontal="right"/>
      <protection/>
    </xf>
    <xf numFmtId="173" fontId="1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171" fontId="25" fillId="0" borderId="59" xfId="0" applyNumberFormat="1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0" fontId="10" fillId="0" borderId="61" xfId="0" applyFont="1" applyFill="1" applyBorder="1" applyAlignment="1">
      <alignment/>
    </xf>
    <xf numFmtId="168" fontId="10" fillId="0" borderId="62" xfId="0" applyNumberFormat="1" applyFont="1" applyBorder="1" applyAlignment="1" applyProtection="1">
      <alignment horizontal="right"/>
      <protection/>
    </xf>
    <xf numFmtId="171" fontId="10" fillId="0" borderId="6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171" fontId="25" fillId="0" borderId="62" xfId="0" applyNumberFormat="1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2" fontId="10" fillId="0" borderId="59" xfId="0" applyNumberFormat="1" applyFont="1" applyBorder="1" applyAlignment="1" applyProtection="1">
      <alignment horizontal="center"/>
      <protection/>
    </xf>
    <xf numFmtId="168" fontId="10" fillId="0" borderId="59" xfId="0" applyNumberFormat="1" applyFont="1" applyBorder="1" applyAlignment="1" applyProtection="1">
      <alignment horizontal="center"/>
      <protection/>
    </xf>
    <xf numFmtId="7" fontId="19" fillId="0" borderId="67" xfId="0" applyNumberFormat="1" applyFont="1" applyBorder="1" applyAlignment="1">
      <alignment horizontal="center"/>
    </xf>
    <xf numFmtId="0" fontId="10" fillId="0" borderId="68" xfId="0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2" fontId="10" fillId="0" borderId="69" xfId="0" applyNumberFormat="1" applyFont="1" applyBorder="1" applyAlignment="1" applyProtection="1">
      <alignment horizontal="center"/>
      <protection/>
    </xf>
    <xf numFmtId="168" fontId="10" fillId="0" borderId="69" xfId="0" applyNumberFormat="1" applyFont="1" applyBorder="1" applyAlignment="1" applyProtection="1">
      <alignment horizontal="center"/>
      <protection/>
    </xf>
    <xf numFmtId="7" fontId="10" fillId="0" borderId="69" xfId="0" applyNumberFormat="1" applyFont="1" applyBorder="1" applyAlignment="1" applyProtection="1">
      <alignment horizontal="center"/>
      <protection/>
    </xf>
    <xf numFmtId="7" fontId="10" fillId="0" borderId="69" xfId="0" applyNumberFormat="1" applyFont="1" applyBorder="1" applyAlignment="1" applyProtection="1">
      <alignment horizontal="centerContinuous"/>
      <protection/>
    </xf>
    <xf numFmtId="0" fontId="10" fillId="0" borderId="69" xfId="0" applyFont="1" applyBorder="1" applyAlignment="1" applyProtection="1">
      <alignment horizontal="centerContinuous"/>
      <protection/>
    </xf>
    <xf numFmtId="0" fontId="10" fillId="0" borderId="69" xfId="0" applyFont="1" applyBorder="1" applyAlignment="1" applyProtection="1">
      <alignment horizontal="right"/>
      <protection/>
    </xf>
    <xf numFmtId="7" fontId="10" fillId="0" borderId="70" xfId="0" applyNumberFormat="1" applyFont="1" applyBorder="1" applyAlignment="1" applyProtection="1">
      <alignment horizontal="center"/>
      <protection/>
    </xf>
    <xf numFmtId="0" fontId="10" fillId="0" borderId="71" xfId="0" applyFont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 horizontal="center"/>
      <protection/>
    </xf>
    <xf numFmtId="2" fontId="10" fillId="0" borderId="72" xfId="0" applyNumberFormat="1" applyFont="1" applyBorder="1" applyAlignment="1" applyProtection="1">
      <alignment horizontal="center"/>
      <protection/>
    </xf>
    <xf numFmtId="168" fontId="10" fillId="0" borderId="72" xfId="0" applyNumberFormat="1" applyFont="1" applyBorder="1" applyAlignment="1" applyProtection="1">
      <alignment horizontal="center"/>
      <protection/>
    </xf>
    <xf numFmtId="7" fontId="10" fillId="0" borderId="72" xfId="0" applyNumberFormat="1" applyFont="1" applyBorder="1" applyAlignment="1" applyProtection="1">
      <alignment horizontal="center"/>
      <protection/>
    </xf>
    <xf numFmtId="7" fontId="10" fillId="0" borderId="72" xfId="0" applyNumberFormat="1" applyFont="1" applyBorder="1" applyAlignment="1" applyProtection="1">
      <alignment horizontal="centerContinuous"/>
      <protection/>
    </xf>
    <xf numFmtId="0" fontId="10" fillId="0" borderId="72" xfId="0" applyFont="1" applyBorder="1" applyAlignment="1" applyProtection="1">
      <alignment horizontal="centerContinuous"/>
      <protection/>
    </xf>
    <xf numFmtId="0" fontId="10" fillId="0" borderId="72" xfId="0" applyFont="1" applyBorder="1" applyAlignment="1" applyProtection="1">
      <alignment horizontal="right"/>
      <protection/>
    </xf>
    <xf numFmtId="7" fontId="10" fillId="0" borderId="73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0" fontId="0" fillId="0" borderId="66" xfId="0" applyBorder="1" applyAlignment="1">
      <alignment horizontal="centerContinuous"/>
    </xf>
    <xf numFmtId="0" fontId="10" fillId="0" borderId="59" xfId="0" applyFont="1" applyBorder="1" applyAlignment="1" applyProtection="1">
      <alignment horizontal="centerContinuous"/>
      <protection/>
    </xf>
    <xf numFmtId="0" fontId="0" fillId="0" borderId="59" xfId="0" applyBorder="1" applyAlignment="1">
      <alignment horizontal="center"/>
    </xf>
    <xf numFmtId="168" fontId="10" fillId="0" borderId="66" xfId="0" applyNumberFormat="1" applyFont="1" applyBorder="1" applyAlignment="1" applyProtection="1">
      <alignment horizontal="centerContinuous"/>
      <protection/>
    </xf>
    <xf numFmtId="2" fontId="22" fillId="0" borderId="74" xfId="0" applyNumberFormat="1" applyFont="1" applyBorder="1" applyAlignment="1">
      <alignment horizontal="centerContinuous"/>
    </xf>
    <xf numFmtId="7" fontId="10" fillId="0" borderId="68" xfId="0" applyNumberFormat="1" applyFont="1" applyBorder="1" applyAlignment="1">
      <alignment horizontal="centerContinuous"/>
    </xf>
    <xf numFmtId="168" fontId="10" fillId="0" borderId="69" xfId="0" applyNumberFormat="1" applyFont="1" applyBorder="1" applyAlignment="1" applyProtection="1" quotePrefix="1">
      <alignment horizontal="center"/>
      <protection/>
    </xf>
    <xf numFmtId="7" fontId="10" fillId="0" borderId="68" xfId="0" applyNumberFormat="1" applyFont="1" applyBorder="1" applyAlignment="1" applyProtection="1">
      <alignment horizontal="centerContinuous"/>
      <protection/>
    </xf>
    <xf numFmtId="2" fontId="22" fillId="0" borderId="75" xfId="0" applyNumberFormat="1" applyFont="1" applyBorder="1" applyAlignment="1">
      <alignment horizontal="centerContinuous"/>
    </xf>
    <xf numFmtId="0" fontId="10" fillId="0" borderId="76" xfId="0" applyFont="1" applyBorder="1" applyAlignment="1" applyProtection="1">
      <alignment horizontal="center"/>
      <protection/>
    </xf>
    <xf numFmtId="7" fontId="10" fillId="0" borderId="77" xfId="0" applyNumberFormat="1" applyFont="1" applyBorder="1" applyAlignment="1" applyProtection="1">
      <alignment horizontal="center"/>
      <protection/>
    </xf>
    <xf numFmtId="7" fontId="10" fillId="0" borderId="7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6" xfId="0" applyNumberFormat="1" applyFont="1" applyBorder="1" applyAlignment="1" applyProtection="1">
      <alignment horizontal="centerContinuous"/>
      <protection/>
    </xf>
    <xf numFmtId="2" fontId="22" fillId="0" borderId="78" xfId="0" applyNumberFormat="1" applyFont="1" applyBorder="1" applyAlignment="1">
      <alignment horizontal="centerContinuous"/>
    </xf>
    <xf numFmtId="7" fontId="10" fillId="0" borderId="71" xfId="0" applyNumberFormat="1" applyFont="1" applyBorder="1" applyAlignment="1">
      <alignment horizontal="centerContinuous"/>
    </xf>
    <xf numFmtId="168" fontId="10" fillId="0" borderId="72" xfId="0" applyNumberFormat="1" applyFont="1" applyBorder="1" applyAlignment="1" applyProtection="1" quotePrefix="1">
      <alignment horizontal="center"/>
      <protection/>
    </xf>
    <xf numFmtId="7" fontId="10" fillId="0" borderId="71" xfId="0" applyNumberFormat="1" applyFont="1" applyBorder="1" applyAlignment="1" applyProtection="1">
      <alignment horizontal="centerContinuous"/>
      <protection/>
    </xf>
    <xf numFmtId="2" fontId="22" fillId="0" borderId="47" xfId="0" applyNumberFormat="1" applyFont="1" applyBorder="1" applyAlignment="1">
      <alignment horizontal="centerContinuous"/>
    </xf>
    <xf numFmtId="7" fontId="10" fillId="0" borderId="66" xfId="0" applyNumberFormat="1" applyFont="1" applyBorder="1" applyAlignment="1" applyProtection="1">
      <alignment horizontal="centerContinuous"/>
      <protection/>
    </xf>
    <xf numFmtId="5" fontId="8" fillId="0" borderId="34" xfId="0" applyNumberFormat="1" applyFont="1" applyBorder="1" applyAlignment="1" applyProtection="1">
      <alignment horizontal="center"/>
      <protection/>
    </xf>
    <xf numFmtId="7" fontId="8" fillId="0" borderId="3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6" fillId="0" borderId="3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74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2" fontId="10" fillId="0" borderId="7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8" xfId="0" applyNumberFormat="1" applyFont="1" applyBorder="1" applyAlignment="1" applyProtection="1">
      <alignment horizontal="centerContinuous"/>
      <protection/>
    </xf>
    <xf numFmtId="2" fontId="10" fillId="0" borderId="72" xfId="0" applyNumberFormat="1" applyFont="1" applyBorder="1" applyAlignment="1" applyProtection="1">
      <alignment horizontal="centerContinuous"/>
      <protection/>
    </xf>
    <xf numFmtId="2" fontId="10" fillId="0" borderId="47" xfId="0" applyNumberFormat="1" applyFont="1" applyBorder="1" applyAlignment="1" applyProtection="1">
      <alignment horizontal="centerContinuous"/>
      <protection/>
    </xf>
    <xf numFmtId="0" fontId="62" fillId="0" borderId="0" xfId="0" applyFont="1" applyFill="1" applyAlignment="1">
      <alignment horizontal="right" vertical="top"/>
    </xf>
    <xf numFmtId="0" fontId="0" fillId="0" borderId="34" xfId="0" applyFont="1" applyBorder="1" applyAlignment="1" applyProtection="1">
      <alignment horizontal="center" vertical="center"/>
      <protection/>
    </xf>
    <xf numFmtId="173" fontId="0" fillId="0" borderId="34" xfId="0" applyNumberFormat="1" applyFont="1" applyBorder="1" applyAlignment="1">
      <alignment horizontal="centerContinuous" vertical="center"/>
    </xf>
    <xf numFmtId="0" fontId="1" fillId="0" borderId="35" xfId="0" applyFont="1" applyBorder="1" applyAlignment="1" applyProtection="1">
      <alignment horizontal="centerContinuous" vertical="center"/>
      <protection/>
    </xf>
    <xf numFmtId="167" fontId="0" fillId="0" borderId="35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79" xfId="0" applyFont="1" applyBorder="1" applyAlignment="1" applyProtection="1">
      <alignment/>
      <protection locked="0"/>
    </xf>
    <xf numFmtId="0" fontId="7" fillId="0" borderId="80" xfId="0" applyFont="1" applyBorder="1" applyAlignment="1" applyProtection="1">
      <alignment horizontal="center"/>
      <protection locked="0"/>
    </xf>
    <xf numFmtId="2" fontId="7" fillId="0" borderId="80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3" fillId="34" borderId="13" xfId="0" applyNumberFormat="1" applyFont="1" applyFill="1" applyBorder="1" applyAlignment="1" applyProtection="1" quotePrefix="1">
      <alignment horizontal="center"/>
      <protection locked="0"/>
    </xf>
    <xf numFmtId="168" fontId="53" fillId="35" borderId="13" xfId="0" applyNumberFormat="1" applyFont="1" applyFill="1" applyBorder="1" applyAlignment="1" applyProtection="1" quotePrefix="1">
      <alignment horizontal="center"/>
      <protection locked="0"/>
    </xf>
    <xf numFmtId="168" fontId="58" fillId="36" borderId="48" xfId="0" applyNumberFormat="1" applyFont="1" applyFill="1" applyBorder="1" applyAlignment="1" applyProtection="1" quotePrefix="1">
      <alignment horizontal="center"/>
      <protection locked="0"/>
    </xf>
    <xf numFmtId="4" fontId="58" fillId="36" borderId="81" xfId="0" applyNumberFormat="1" applyFont="1" applyFill="1" applyBorder="1" applyAlignment="1" applyProtection="1">
      <alignment horizontal="center"/>
      <protection locked="0"/>
    </xf>
    <xf numFmtId="4" fontId="58" fillId="36" borderId="31" xfId="0" applyNumberFormat="1" applyFont="1" applyFill="1" applyBorder="1" applyAlignment="1" applyProtection="1">
      <alignment horizontal="center"/>
      <protection locked="0"/>
    </xf>
    <xf numFmtId="168" fontId="58" fillId="37" borderId="48" xfId="0" applyNumberFormat="1" applyFont="1" applyFill="1" applyBorder="1" applyAlignment="1" applyProtection="1" quotePrefix="1">
      <alignment horizontal="center"/>
      <protection locked="0"/>
    </xf>
    <xf numFmtId="4" fontId="58" fillId="37" borderId="81" xfId="0" applyNumberFormat="1" applyFont="1" applyFill="1" applyBorder="1" applyAlignment="1" applyProtection="1">
      <alignment horizontal="center"/>
      <protection locked="0"/>
    </xf>
    <xf numFmtId="4" fontId="58" fillId="37" borderId="31" xfId="0" applyNumberFormat="1" applyFont="1" applyFill="1" applyBorder="1" applyAlignment="1" applyProtection="1">
      <alignment horizontal="center"/>
      <protection locked="0"/>
    </xf>
    <xf numFmtId="4" fontId="58" fillId="38" borderId="13" xfId="0" applyNumberFormat="1" applyFont="1" applyFill="1" applyBorder="1" applyAlignment="1" applyProtection="1">
      <alignment horizontal="center"/>
      <protection locked="0"/>
    </xf>
    <xf numFmtId="4" fontId="53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5" fillId="34" borderId="12" xfId="0" applyFont="1" applyFill="1" applyBorder="1" applyAlignment="1" applyProtection="1">
      <alignment/>
      <protection locked="0"/>
    </xf>
    <xf numFmtId="0" fontId="55" fillId="35" borderId="12" xfId="0" applyFont="1" applyFill="1" applyBorder="1" applyAlignment="1" applyProtection="1">
      <alignment/>
      <protection locked="0"/>
    </xf>
    <xf numFmtId="0" fontId="57" fillId="36" borderId="46" xfId="0" applyFont="1" applyFill="1" applyBorder="1" applyAlignment="1" applyProtection="1">
      <alignment horizontal="center"/>
      <protection locked="0"/>
    </xf>
    <xf numFmtId="0" fontId="57" fillId="36" borderId="47" xfId="0" applyFont="1" applyFill="1" applyBorder="1" applyAlignment="1" applyProtection="1">
      <alignment/>
      <protection locked="0"/>
    </xf>
    <xf numFmtId="0" fontId="57" fillId="36" borderId="16" xfId="0" applyFont="1" applyFill="1" applyBorder="1" applyAlignment="1" applyProtection="1">
      <alignment/>
      <protection locked="0"/>
    </xf>
    <xf numFmtId="0" fontId="57" fillId="37" borderId="46" xfId="0" applyFont="1" applyFill="1" applyBorder="1" applyAlignment="1" applyProtection="1">
      <alignment horizontal="center"/>
      <protection locked="0"/>
    </xf>
    <xf numFmtId="0" fontId="57" fillId="37" borderId="47" xfId="0" applyFont="1" applyFill="1" applyBorder="1" applyAlignment="1" applyProtection="1">
      <alignment/>
      <protection locked="0"/>
    </xf>
    <xf numFmtId="0" fontId="57" fillId="37" borderId="16" xfId="0" applyFont="1" applyFill="1" applyBorder="1" applyAlignment="1" applyProtection="1">
      <alignment/>
      <protection locked="0"/>
    </xf>
    <xf numFmtId="0" fontId="57" fillId="38" borderId="12" xfId="0" applyFont="1" applyFill="1" applyBorder="1" applyAlignment="1" applyProtection="1">
      <alignment/>
      <protection locked="0"/>
    </xf>
    <xf numFmtId="0" fontId="55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38" borderId="32" xfId="0" applyFont="1" applyFill="1" applyBorder="1" applyAlignment="1" applyProtection="1">
      <alignment horizontal="center" vertical="center" wrapText="1"/>
      <protection/>
    </xf>
    <xf numFmtId="0" fontId="27" fillId="40" borderId="32" xfId="0" applyFont="1" applyFill="1" applyBorder="1" applyAlignment="1" applyProtection="1">
      <alignment horizontal="center" vertical="center" wrapText="1"/>
      <protection/>
    </xf>
    <xf numFmtId="0" fontId="54" fillId="41" borderId="35" xfId="0" applyFont="1" applyFill="1" applyBorder="1" applyAlignment="1" applyProtection="1">
      <alignment horizontal="centerContinuous" vertical="center"/>
      <protection/>
    </xf>
    <xf numFmtId="0" fontId="54" fillId="34" borderId="35" xfId="0" applyFont="1" applyFill="1" applyBorder="1" applyAlignment="1" applyProtection="1">
      <alignment horizontal="centerContinuous" vertical="center"/>
      <protection/>
    </xf>
    <xf numFmtId="0" fontId="50" fillId="36" borderId="32" xfId="0" applyFont="1" applyFill="1" applyBorder="1" applyAlignment="1" applyProtection="1">
      <alignment horizontal="center" vertical="center" wrapText="1"/>
      <protection/>
    </xf>
    <xf numFmtId="0" fontId="27" fillId="37" borderId="3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53" fillId="39" borderId="15" xfId="0" applyFont="1" applyFill="1" applyBorder="1" applyAlignment="1" applyProtection="1">
      <alignment/>
      <protection/>
    </xf>
    <xf numFmtId="0" fontId="58" fillId="38" borderId="15" xfId="0" applyFont="1" applyFill="1" applyBorder="1" applyAlignment="1" applyProtection="1">
      <alignment/>
      <protection/>
    </xf>
    <xf numFmtId="0" fontId="58" fillId="40" borderId="15" xfId="0" applyFont="1" applyFill="1" applyBorder="1" applyAlignment="1" applyProtection="1">
      <alignment/>
      <protection/>
    </xf>
    <xf numFmtId="0" fontId="53" fillId="41" borderId="43" xfId="0" applyFont="1" applyFill="1" applyBorder="1" applyAlignment="1" applyProtection="1">
      <alignment horizontal="center"/>
      <protection/>
    </xf>
    <xf numFmtId="0" fontId="53" fillId="41" borderId="45" xfId="0" applyFont="1" applyFill="1" applyBorder="1" applyAlignment="1" applyProtection="1">
      <alignment/>
      <protection/>
    </xf>
    <xf numFmtId="0" fontId="53" fillId="34" borderId="43" xfId="0" applyFont="1" applyFill="1" applyBorder="1" applyAlignment="1" applyProtection="1">
      <alignment horizontal="center"/>
      <protection/>
    </xf>
    <xf numFmtId="0" fontId="53" fillId="34" borderId="45" xfId="0" applyFont="1" applyFill="1" applyBorder="1" applyAlignment="1" applyProtection="1">
      <alignment/>
      <protection/>
    </xf>
    <xf numFmtId="0" fontId="51" fillId="36" borderId="15" xfId="0" applyFont="1" applyFill="1" applyBorder="1" applyAlignment="1" applyProtection="1">
      <alignment/>
      <protection/>
    </xf>
    <xf numFmtId="0" fontId="58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3" fillId="39" borderId="12" xfId="0" applyFont="1" applyFill="1" applyBorder="1" applyAlignment="1" applyProtection="1">
      <alignment/>
      <protection/>
    </xf>
    <xf numFmtId="0" fontId="58" fillId="38" borderId="12" xfId="0" applyFont="1" applyFill="1" applyBorder="1" applyAlignment="1" applyProtection="1">
      <alignment/>
      <protection/>
    </xf>
    <xf numFmtId="0" fontId="58" fillId="40" borderId="12" xfId="0" applyFont="1" applyFill="1" applyBorder="1" applyAlignment="1" applyProtection="1">
      <alignment/>
      <protection/>
    </xf>
    <xf numFmtId="0" fontId="53" fillId="41" borderId="46" xfId="0" applyFont="1" applyFill="1" applyBorder="1" applyAlignment="1" applyProtection="1">
      <alignment horizontal="center"/>
      <protection/>
    </xf>
    <xf numFmtId="0" fontId="53" fillId="41" borderId="16" xfId="0" applyFont="1" applyFill="1" applyBorder="1" applyAlignment="1" applyProtection="1">
      <alignment/>
      <protection/>
    </xf>
    <xf numFmtId="0" fontId="53" fillId="34" borderId="46" xfId="0" applyFont="1" applyFill="1" applyBorder="1" applyAlignment="1" applyProtection="1">
      <alignment horizontal="center"/>
      <protection/>
    </xf>
    <xf numFmtId="0" fontId="53" fillId="34" borderId="16" xfId="0" applyFont="1" applyFill="1" applyBorder="1" applyAlignment="1" applyProtection="1">
      <alignment/>
      <protection/>
    </xf>
    <xf numFmtId="0" fontId="51" fillId="36" borderId="12" xfId="0" applyFont="1" applyFill="1" applyBorder="1" applyAlignment="1" applyProtection="1">
      <alignment/>
      <protection/>
    </xf>
    <xf numFmtId="0" fontId="58" fillId="37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6" xfId="0" applyFont="1" applyBorder="1" applyAlignment="1" applyProtection="1">
      <alignment horizontal="center"/>
      <protection/>
    </xf>
    <xf numFmtId="7" fontId="58" fillId="38" borderId="32" xfId="0" applyNumberFormat="1" applyFont="1" applyFill="1" applyBorder="1" applyAlignment="1" applyProtection="1">
      <alignment horizontal="center"/>
      <protection/>
    </xf>
    <xf numFmtId="7" fontId="58" fillId="40" borderId="32" xfId="0" applyNumberFormat="1" applyFont="1" applyFill="1" applyBorder="1" applyAlignment="1" applyProtection="1">
      <alignment horizontal="center"/>
      <protection/>
    </xf>
    <xf numFmtId="7" fontId="53" fillId="41" borderId="32" xfId="0" applyNumberFormat="1" applyFont="1" applyFill="1" applyBorder="1" applyAlignment="1" applyProtection="1">
      <alignment horizontal="center"/>
      <protection/>
    </xf>
    <xf numFmtId="7" fontId="53" fillId="34" borderId="32" xfId="0" applyNumberFormat="1" applyFont="1" applyFill="1" applyBorder="1" applyAlignment="1" applyProtection="1">
      <alignment horizontal="center"/>
      <protection/>
    </xf>
    <xf numFmtId="7" fontId="51" fillId="36" borderId="32" xfId="0" applyNumberFormat="1" applyFont="1" applyFill="1" applyBorder="1" applyAlignment="1" applyProtection="1">
      <alignment horizontal="center"/>
      <protection/>
    </xf>
    <xf numFmtId="7" fontId="58" fillId="37" borderId="32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32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3" fillId="39" borderId="13" xfId="0" applyFont="1" applyFill="1" applyBorder="1" applyAlignment="1" applyProtection="1">
      <alignment/>
      <protection locked="0"/>
    </xf>
    <xf numFmtId="0" fontId="58" fillId="38" borderId="13" xfId="0" applyFont="1" applyFill="1" applyBorder="1" applyAlignment="1" applyProtection="1">
      <alignment/>
      <protection locked="0"/>
    </xf>
    <xf numFmtId="0" fontId="58" fillId="40" borderId="13" xfId="0" applyFont="1" applyFill="1" applyBorder="1" applyAlignment="1" applyProtection="1">
      <alignment/>
      <protection locked="0"/>
    </xf>
    <xf numFmtId="0" fontId="53" fillId="41" borderId="48" xfId="0" applyFont="1" applyFill="1" applyBorder="1" applyAlignment="1" applyProtection="1">
      <alignment/>
      <protection locked="0"/>
    </xf>
    <xf numFmtId="0" fontId="53" fillId="41" borderId="49" xfId="0" applyFont="1" applyFill="1" applyBorder="1" applyAlignment="1" applyProtection="1">
      <alignment/>
      <protection locked="0"/>
    </xf>
    <xf numFmtId="0" fontId="53" fillId="34" borderId="48" xfId="0" applyFont="1" applyFill="1" applyBorder="1" applyAlignment="1" applyProtection="1">
      <alignment/>
      <protection locked="0"/>
    </xf>
    <xf numFmtId="0" fontId="53" fillId="34" borderId="49" xfId="0" applyFont="1" applyFill="1" applyBorder="1" applyAlignment="1" applyProtection="1">
      <alignment/>
      <protection locked="0"/>
    </xf>
    <xf numFmtId="0" fontId="51" fillId="36" borderId="13" xfId="0" applyFont="1" applyFill="1" applyBorder="1" applyAlignment="1" applyProtection="1">
      <alignment/>
      <protection locked="0"/>
    </xf>
    <xf numFmtId="0" fontId="58" fillId="37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 applyProtection="1">
      <alignment/>
      <protection locked="0"/>
    </xf>
    <xf numFmtId="0" fontId="58" fillId="36" borderId="13" xfId="0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7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2" fontId="7" fillId="0" borderId="46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7" fillId="0" borderId="31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64" fontId="56" fillId="39" borderId="13" xfId="0" applyNumberFormat="1" applyFont="1" applyFill="1" applyBorder="1" applyAlignment="1" applyProtection="1">
      <alignment horizontal="center"/>
      <protection locked="0"/>
    </xf>
    <xf numFmtId="2" fontId="58" fillId="40" borderId="13" xfId="0" applyNumberFormat="1" applyFont="1" applyFill="1" applyBorder="1" applyAlignment="1" applyProtection="1">
      <alignment horizontal="center"/>
      <protection locked="0"/>
    </xf>
    <xf numFmtId="168" fontId="58" fillId="37" borderId="49" xfId="0" applyNumberFormat="1" applyFont="1" applyFill="1" applyBorder="1" applyAlignment="1" applyProtection="1" quotePrefix="1">
      <alignment horizontal="center"/>
      <protection locked="0"/>
    </xf>
    <xf numFmtId="168" fontId="58" fillId="36" borderId="13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left"/>
    </xf>
    <xf numFmtId="168" fontId="11" fillId="0" borderId="59" xfId="0" applyNumberFormat="1" applyFont="1" applyBorder="1" applyAlignment="1" applyProtection="1">
      <alignment horizontal="center"/>
      <protection/>
    </xf>
    <xf numFmtId="168" fontId="65" fillId="0" borderId="0" xfId="0" applyNumberFormat="1" applyFont="1" applyBorder="1" applyAlignment="1" applyProtection="1" quotePrefix="1">
      <alignment horizontal="left"/>
      <protection/>
    </xf>
    <xf numFmtId="168" fontId="65" fillId="0" borderId="69" xfId="0" applyNumberFormat="1" applyFont="1" applyBorder="1" applyAlignment="1" applyProtection="1" quotePrefix="1">
      <alignment horizontal="left"/>
      <protection/>
    </xf>
    <xf numFmtId="168" fontId="65" fillId="0" borderId="72" xfId="0" applyNumberFormat="1" applyFont="1" applyBorder="1" applyAlignment="1" applyProtection="1" quotePrefix="1">
      <alignment horizontal="left"/>
      <protection/>
    </xf>
    <xf numFmtId="168" fontId="11" fillId="0" borderId="59" xfId="0" applyNumberFormat="1" applyFont="1" applyBorder="1" applyAlignment="1" applyProtection="1">
      <alignment horizontal="lef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177" fontId="11" fillId="0" borderId="67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82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2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3" fillId="34" borderId="12" xfId="0" applyNumberFormat="1" applyFont="1" applyFill="1" applyBorder="1" applyAlignment="1" applyProtection="1">
      <alignment horizontal="center"/>
      <protection/>
    </xf>
    <xf numFmtId="2" fontId="53" fillId="35" borderId="12" xfId="0" applyNumberFormat="1" applyFont="1" applyFill="1" applyBorder="1" applyAlignment="1" applyProtection="1">
      <alignment horizontal="center"/>
      <protection/>
    </xf>
    <xf numFmtId="168" fontId="58" fillId="36" borderId="46" xfId="0" applyNumberFormat="1" applyFont="1" applyFill="1" applyBorder="1" applyAlignment="1" applyProtection="1" quotePrefix="1">
      <alignment horizontal="center"/>
      <protection/>
    </xf>
    <xf numFmtId="168" fontId="58" fillId="36" borderId="47" xfId="0" applyNumberFormat="1" applyFont="1" applyFill="1" applyBorder="1" applyAlignment="1" applyProtection="1" quotePrefix="1">
      <alignment horizontal="center"/>
      <protection/>
    </xf>
    <xf numFmtId="4" fontId="58" fillId="36" borderId="16" xfId="0" applyNumberFormat="1" applyFont="1" applyFill="1" applyBorder="1" applyAlignment="1" applyProtection="1">
      <alignment horizontal="center"/>
      <protection/>
    </xf>
    <xf numFmtId="168" fontId="58" fillId="37" borderId="46" xfId="0" applyNumberFormat="1" applyFont="1" applyFill="1" applyBorder="1" applyAlignment="1" applyProtection="1" quotePrefix="1">
      <alignment horizontal="center"/>
      <protection/>
    </xf>
    <xf numFmtId="168" fontId="58" fillId="37" borderId="47" xfId="0" applyNumberFormat="1" applyFont="1" applyFill="1" applyBorder="1" applyAlignment="1" applyProtection="1" quotePrefix="1">
      <alignment horizontal="center"/>
      <protection/>
    </xf>
    <xf numFmtId="4" fontId="58" fillId="37" borderId="16" xfId="0" applyNumberFormat="1" applyFont="1" applyFill="1" applyBorder="1" applyAlignment="1" applyProtection="1">
      <alignment horizontal="center"/>
      <protection/>
    </xf>
    <xf numFmtId="4" fontId="58" fillId="38" borderId="12" xfId="0" applyNumberFormat="1" applyFont="1" applyFill="1" applyBorder="1" applyAlignment="1" applyProtection="1">
      <alignment horizontal="center"/>
      <protection/>
    </xf>
    <xf numFmtId="4" fontId="53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8" fillId="38" borderId="12" xfId="0" applyNumberFormat="1" applyFont="1" applyFill="1" applyBorder="1" applyAlignment="1" applyProtection="1">
      <alignment horizontal="center"/>
      <protection/>
    </xf>
    <xf numFmtId="2" fontId="58" fillId="40" borderId="12" xfId="0" applyNumberFormat="1" applyFont="1" applyFill="1" applyBorder="1" applyAlignment="1" applyProtection="1">
      <alignment horizontal="center"/>
      <protection/>
    </xf>
    <xf numFmtId="2" fontId="58" fillId="36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164" fontId="56" fillId="39" borderId="12" xfId="0" applyNumberFormat="1" applyFont="1" applyFill="1" applyBorder="1" applyAlignment="1" applyProtection="1">
      <alignment horizontal="center"/>
      <protection/>
    </xf>
    <xf numFmtId="2" fontId="58" fillId="40" borderId="12" xfId="0" applyNumberFormat="1" applyFont="1" applyFill="1" applyBorder="1" applyAlignment="1" applyProtection="1">
      <alignment horizontal="center"/>
      <protection/>
    </xf>
    <xf numFmtId="168" fontId="58" fillId="37" borderId="19" xfId="0" applyNumberFormat="1" applyFont="1" applyFill="1" applyBorder="1" applyAlignment="1" applyProtection="1" quotePrefix="1">
      <alignment horizontal="center"/>
      <protection/>
    </xf>
    <xf numFmtId="168" fontId="58" fillId="36" borderId="12" xfId="0" applyNumberFormat="1" applyFont="1" applyFill="1" applyBorder="1" applyAlignment="1" applyProtection="1" quotePrefix="1">
      <alignment horizontal="center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83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 applyProtection="1">
      <alignment/>
      <protection/>
    </xf>
    <xf numFmtId="0" fontId="56" fillId="0" borderId="10" xfId="0" applyFont="1" applyFill="1" applyBorder="1" applyAlignment="1" applyProtection="1">
      <alignment/>
      <protection/>
    </xf>
    <xf numFmtId="0" fontId="56" fillId="0" borderId="83" xfId="0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6" fillId="0" borderId="83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171" fontId="0" fillId="0" borderId="37" xfId="0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0" zoomScaleNormal="70" zoomScalePageLayoutView="0" workbookViewId="0" topLeftCell="A13">
      <selection activeCell="Q25" sqref="Q25"/>
    </sheetView>
  </sheetViews>
  <sheetFormatPr defaultColWidth="11.421875" defaultRowHeight="12.75"/>
  <cols>
    <col min="1" max="1" width="25.7109375" style="12" customWidth="1"/>
    <col min="2" max="2" width="7.7109375" style="12" customWidth="1"/>
    <col min="3" max="3" width="9.8515625" style="12" customWidth="1"/>
    <col min="4" max="4" width="10.7109375" style="12" customWidth="1"/>
    <col min="5" max="5" width="10.57421875" style="12" customWidth="1"/>
    <col min="6" max="6" width="15.7109375" style="12" customWidth="1"/>
    <col min="7" max="7" width="24.28125" style="12" customWidth="1"/>
    <col min="8" max="8" width="11.00390625" style="12" customWidth="1"/>
    <col min="9" max="9" width="15.7109375" style="12" customWidth="1"/>
    <col min="10" max="10" width="15.00390625" style="12" customWidth="1"/>
    <col min="11" max="11" width="15.7109375" style="12" customWidth="1"/>
    <col min="12" max="13" width="11.421875" style="12" customWidth="1"/>
    <col min="14" max="14" width="14.140625" style="12" customWidth="1"/>
    <col min="15" max="15" width="11.421875" style="12" customWidth="1"/>
    <col min="16" max="16" width="14.7109375" style="12" customWidth="1"/>
    <col min="17" max="17" width="11.421875" style="12" customWidth="1"/>
    <col min="18" max="18" width="12.00390625" style="12" customWidth="1"/>
    <col min="19" max="16384" width="11.421875" style="12" customWidth="1"/>
  </cols>
  <sheetData>
    <row r="1" spans="2:11" s="124" customFormat="1" ht="26.25">
      <c r="B1" s="125"/>
      <c r="K1" s="469"/>
    </row>
    <row r="2" spans="2:10" s="124" customFormat="1" ht="26.25">
      <c r="B2" s="125" t="s">
        <v>170</v>
      </c>
      <c r="C2" s="142"/>
      <c r="D2" s="126"/>
      <c r="E2" s="126"/>
      <c r="F2" s="126"/>
      <c r="G2" s="126"/>
      <c r="H2" s="126"/>
      <c r="I2" s="126"/>
      <c r="J2" s="126"/>
    </row>
    <row r="3" spans="3:19" ht="12.75">
      <c r="C3"/>
      <c r="D3" s="40"/>
      <c r="E3" s="40"/>
      <c r="F3" s="40"/>
      <c r="G3" s="40"/>
      <c r="H3" s="40"/>
      <c r="I3" s="40"/>
      <c r="J3" s="40"/>
      <c r="P3" s="10"/>
      <c r="Q3" s="10"/>
      <c r="R3" s="10"/>
      <c r="S3" s="10"/>
    </row>
    <row r="4" spans="1:19" s="127" customFormat="1" ht="11.25">
      <c r="A4" s="143" t="s">
        <v>16</v>
      </c>
      <c r="B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s="127" customFormat="1" ht="11.25">
      <c r="A5" s="143" t="s">
        <v>17</v>
      </c>
      <c r="B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2:19" s="124" customFormat="1" ht="26.25">
      <c r="B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2:19" s="129" customFormat="1" ht="21">
      <c r="B7" s="185" t="s">
        <v>0</v>
      </c>
      <c r="C7" s="148"/>
      <c r="D7" s="149"/>
      <c r="E7" s="149"/>
      <c r="F7" s="150"/>
      <c r="G7" s="150"/>
      <c r="H7" s="150"/>
      <c r="I7" s="150"/>
      <c r="J7" s="150"/>
      <c r="K7" s="46"/>
      <c r="L7" s="46"/>
      <c r="M7" s="46"/>
      <c r="N7" s="46"/>
      <c r="O7" s="46"/>
      <c r="P7" s="46"/>
      <c r="Q7" s="46"/>
      <c r="R7" s="46"/>
      <c r="S7" s="46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29" customFormat="1" ht="21">
      <c r="B9" s="185" t="s">
        <v>1</v>
      </c>
      <c r="C9" s="148"/>
      <c r="D9" s="149"/>
      <c r="E9" s="149"/>
      <c r="F9" s="149"/>
      <c r="G9" s="149"/>
      <c r="H9" s="149"/>
      <c r="I9" s="150"/>
      <c r="J9" s="150"/>
      <c r="K9" s="46"/>
      <c r="L9" s="46"/>
      <c r="M9" s="46"/>
      <c r="N9" s="46"/>
      <c r="O9" s="46"/>
      <c r="P9" s="46"/>
      <c r="Q9" s="46"/>
      <c r="R9" s="46"/>
      <c r="S9" s="46"/>
    </row>
    <row r="10" spans="4:19" ht="12.75">
      <c r="D10" s="151"/>
      <c r="E10" s="15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29" customFormat="1" ht="20.25">
      <c r="B11" s="185" t="s">
        <v>165</v>
      </c>
      <c r="C11" s="88"/>
      <c r="D11" s="41"/>
      <c r="E11" s="41"/>
      <c r="F11" s="149"/>
      <c r="G11" s="149"/>
      <c r="H11" s="149"/>
      <c r="I11" s="150"/>
      <c r="J11" s="150"/>
      <c r="K11" s="46"/>
      <c r="L11" s="46"/>
      <c r="M11" s="46"/>
      <c r="N11" s="46"/>
      <c r="O11" s="46"/>
      <c r="P11" s="46"/>
      <c r="Q11" s="46"/>
      <c r="R11" s="46"/>
      <c r="S11" s="46"/>
    </row>
    <row r="12" spans="4:19" s="152" customFormat="1" ht="16.5" thickBot="1">
      <c r="D12" s="9"/>
      <c r="E12" s="9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spans="2:19" s="152" customFormat="1" ht="16.5" thickTop="1">
      <c r="B13" s="421">
        <v>1</v>
      </c>
      <c r="C13" s="465"/>
      <c r="D13" s="154"/>
      <c r="E13" s="154"/>
      <c r="F13" s="154"/>
      <c r="G13" s="154"/>
      <c r="H13" s="154"/>
      <c r="I13" s="154"/>
      <c r="J13" s="155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2:19" s="136" customFormat="1" ht="19.5">
      <c r="B14" s="269" t="s">
        <v>140</v>
      </c>
      <c r="C14" s="156"/>
      <c r="D14" s="157"/>
      <c r="E14" s="158"/>
      <c r="F14" s="158"/>
      <c r="G14" s="158"/>
      <c r="H14" s="158"/>
      <c r="I14" s="132"/>
      <c r="J14" s="135"/>
      <c r="K14" s="48"/>
      <c r="L14" s="48"/>
      <c r="M14" s="48"/>
      <c r="N14" s="48"/>
      <c r="O14" s="48"/>
      <c r="P14" s="48"/>
      <c r="Q14" s="48"/>
      <c r="R14" s="48"/>
      <c r="S14" s="48"/>
    </row>
    <row r="15" spans="2:19" s="136" customFormat="1" ht="9" customHeight="1">
      <c r="B15" s="159"/>
      <c r="C15" s="160"/>
      <c r="D15" s="160"/>
      <c r="E15" s="48"/>
      <c r="F15" s="161"/>
      <c r="G15" s="161"/>
      <c r="H15" s="161"/>
      <c r="I15" s="48"/>
      <c r="J15" s="162"/>
      <c r="K15" s="48"/>
      <c r="L15" s="48"/>
      <c r="M15" s="48"/>
      <c r="N15" s="48"/>
      <c r="O15" s="48"/>
      <c r="P15" s="48"/>
      <c r="Q15" s="48"/>
      <c r="R15" s="48"/>
      <c r="S15" s="48"/>
    </row>
    <row r="16" spans="2:18" s="136" customFormat="1" ht="9" customHeight="1">
      <c r="B16" s="269">
        <f>IF(B13=2,"Sanciones duplicadas por tasa de falla &gt; 4 Sal. x año/100km.","")</f>
      </c>
      <c r="C16" s="272"/>
      <c r="D16" s="272"/>
      <c r="E16" s="132"/>
      <c r="F16" s="158"/>
      <c r="G16" s="158"/>
      <c r="H16" s="132"/>
      <c r="I16" s="88"/>
      <c r="J16" s="135"/>
      <c r="K16" s="48"/>
      <c r="L16" s="48"/>
      <c r="M16" s="48"/>
      <c r="N16" s="48"/>
      <c r="O16" s="48"/>
      <c r="P16" s="48"/>
      <c r="Q16" s="48"/>
      <c r="R16" s="48"/>
    </row>
    <row r="17" spans="2:18" s="136" customFormat="1" ht="9" customHeight="1">
      <c r="B17" s="159"/>
      <c r="C17" s="160"/>
      <c r="D17" s="160"/>
      <c r="E17" s="48"/>
      <c r="F17" s="161"/>
      <c r="G17" s="161"/>
      <c r="H17" s="48"/>
      <c r="I17"/>
      <c r="J17" s="162"/>
      <c r="K17" s="48"/>
      <c r="L17" s="48"/>
      <c r="M17" s="48"/>
      <c r="N17" s="48"/>
      <c r="O17" s="48"/>
      <c r="P17" s="48"/>
      <c r="Q17" s="48"/>
      <c r="R17" s="48"/>
    </row>
    <row r="18" spans="2:19" s="136" customFormat="1" ht="19.5">
      <c r="B18" s="159"/>
      <c r="C18" s="163" t="s">
        <v>18</v>
      </c>
      <c r="D18" s="164" t="s">
        <v>19</v>
      </c>
      <c r="E18" s="48"/>
      <c r="F18" s="161"/>
      <c r="G18" s="161"/>
      <c r="H18" s="161"/>
      <c r="I18" s="47"/>
      <c r="J18" s="162"/>
      <c r="K18" s="48"/>
      <c r="L18" s="48"/>
      <c r="M18" s="48"/>
      <c r="N18" s="48"/>
      <c r="O18" s="48"/>
      <c r="P18" s="48"/>
      <c r="Q18" s="48"/>
      <c r="R18" s="48"/>
      <c r="S18" s="48"/>
    </row>
    <row r="19" spans="2:19" s="136" customFormat="1" ht="19.5">
      <c r="B19" s="159"/>
      <c r="C19"/>
      <c r="D19" s="163" t="s">
        <v>20</v>
      </c>
      <c r="E19" s="164" t="s">
        <v>21</v>
      </c>
      <c r="F19" s="161"/>
      <c r="G19" s="161"/>
      <c r="H19" s="161"/>
      <c r="I19" s="47">
        <f>'LI-01 (1)'!AA40</f>
        <v>175360.24</v>
      </c>
      <c r="J19" s="162"/>
      <c r="K19" s="48"/>
      <c r="L19" s="48"/>
      <c r="M19" s="48"/>
      <c r="N19" s="48"/>
      <c r="O19" s="48"/>
      <c r="P19" s="48"/>
      <c r="Q19" s="48"/>
      <c r="R19" s="48"/>
      <c r="S19" s="48"/>
    </row>
    <row r="20" spans="2:19" s="136" customFormat="1" ht="19.5">
      <c r="B20" s="159"/>
      <c r="C20" s="163"/>
      <c r="D20" s="163" t="s">
        <v>22</v>
      </c>
      <c r="E20" s="164" t="s">
        <v>23</v>
      </c>
      <c r="F20" s="161"/>
      <c r="G20" s="161"/>
      <c r="H20" s="161"/>
      <c r="I20" s="47">
        <f>'LI-EDERSA-01 (1)'!AA43</f>
        <v>14314.97</v>
      </c>
      <c r="J20" s="162"/>
      <c r="K20" s="48"/>
      <c r="L20" s="48"/>
      <c r="M20" s="48"/>
      <c r="N20" s="48"/>
      <c r="O20" s="48"/>
      <c r="P20" s="48"/>
      <c r="Q20" s="48"/>
      <c r="R20" s="48"/>
      <c r="S20" s="48"/>
    </row>
    <row r="21" spans="2:19" ht="13.5">
      <c r="B21" s="45"/>
      <c r="C21" s="165"/>
      <c r="D21" s="166"/>
      <c r="E21" s="10"/>
      <c r="F21" s="167"/>
      <c r="G21" s="167"/>
      <c r="H21" s="167"/>
      <c r="I21" s="168"/>
      <c r="J21" s="13"/>
      <c r="K21" s="10"/>
      <c r="L21" s="10"/>
      <c r="M21" s="10"/>
      <c r="N21" s="10"/>
      <c r="O21" s="10"/>
      <c r="P21" s="10"/>
      <c r="Q21" s="10"/>
      <c r="R21" s="10"/>
      <c r="S21" s="10"/>
    </row>
    <row r="22" spans="2:19" s="136" customFormat="1" ht="19.5">
      <c r="B22" s="159"/>
      <c r="C22" s="163" t="s">
        <v>24</v>
      </c>
      <c r="D22" s="164" t="s">
        <v>25</v>
      </c>
      <c r="E22" s="48"/>
      <c r="F22" s="161"/>
      <c r="G22" s="161"/>
      <c r="H22" s="161"/>
      <c r="I22" s="47"/>
      <c r="J22" s="162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8.25" customHeight="1">
      <c r="B23" s="45"/>
      <c r="C23" s="165"/>
      <c r="D23" s="165"/>
      <c r="E23" s="10"/>
      <c r="F23" s="167"/>
      <c r="G23" s="167"/>
      <c r="H23" s="167"/>
      <c r="I23" s="169"/>
      <c r="J23" s="13"/>
      <c r="K23" s="10"/>
      <c r="L23" s="10"/>
      <c r="M23" s="10"/>
      <c r="N23" s="10"/>
      <c r="O23" s="10"/>
      <c r="P23" s="10"/>
      <c r="Q23" s="10"/>
      <c r="R23" s="10"/>
      <c r="S23" s="10"/>
    </row>
    <row r="24" spans="2:19" s="136" customFormat="1" ht="19.5">
      <c r="B24" s="159"/>
      <c r="C24" s="163"/>
      <c r="D24" s="163" t="s">
        <v>26</v>
      </c>
      <c r="E24" s="11" t="s">
        <v>27</v>
      </c>
      <c r="F24" s="161"/>
      <c r="G24" s="161"/>
      <c r="H24" s="161"/>
      <c r="I24" s="47"/>
      <c r="J24" s="162"/>
      <c r="K24" s="48"/>
      <c r="L24" s="48"/>
      <c r="M24" s="48"/>
      <c r="N24" s="48"/>
      <c r="O24" s="48"/>
      <c r="P24" s="48"/>
      <c r="Q24" s="48"/>
      <c r="R24" s="48"/>
      <c r="S24" s="48"/>
    </row>
    <row r="25" spans="2:19" s="136" customFormat="1" ht="19.5">
      <c r="B25" s="159"/>
      <c r="C25" s="163"/>
      <c r="D25" s="163"/>
      <c r="E25" s="163" t="s">
        <v>28</v>
      </c>
      <c r="F25" s="164" t="s">
        <v>21</v>
      </c>
      <c r="G25" s="161"/>
      <c r="H25" s="161"/>
      <c r="I25" s="47">
        <f>'TR-01 (1)'!AC36</f>
        <v>7323.49</v>
      </c>
      <c r="J25" s="162"/>
      <c r="K25" s="48"/>
      <c r="L25" s="48"/>
      <c r="M25" s="48"/>
      <c r="N25" s="48"/>
      <c r="O25" s="48"/>
      <c r="P25" s="48"/>
      <c r="Q25" s="48"/>
      <c r="R25" s="48"/>
      <c r="S25" s="48"/>
    </row>
    <row r="26" spans="2:19" s="136" customFormat="1" ht="19.5">
      <c r="B26" s="159"/>
      <c r="C26" s="163"/>
      <c r="D26" s="163"/>
      <c r="E26" s="163" t="s">
        <v>29</v>
      </c>
      <c r="F26" s="164" t="s">
        <v>23</v>
      </c>
      <c r="G26" s="161"/>
      <c r="H26" s="161"/>
      <c r="I26" s="47">
        <f>'T EDERSA'!AC45</f>
        <v>431.93</v>
      </c>
      <c r="J26" s="162"/>
      <c r="K26" s="48"/>
      <c r="L26" s="48"/>
      <c r="M26" s="48"/>
      <c r="N26" s="48"/>
      <c r="O26" s="48"/>
      <c r="P26" s="48"/>
      <c r="Q26" s="48"/>
      <c r="R26" s="48"/>
      <c r="S26" s="48"/>
    </row>
    <row r="27" spans="2:19" ht="13.5">
      <c r="B27" s="45"/>
      <c r="C27" s="165"/>
      <c r="D27" s="165"/>
      <c r="E27" s="10"/>
      <c r="F27" s="167"/>
      <c r="G27" s="167"/>
      <c r="H27" s="167"/>
      <c r="I27" s="169"/>
      <c r="J27" s="13"/>
      <c r="K27" s="10"/>
      <c r="L27" s="10"/>
      <c r="M27" s="10"/>
      <c r="N27" s="10"/>
      <c r="O27" s="10"/>
      <c r="P27" s="10"/>
      <c r="Q27" s="10"/>
      <c r="R27" s="10"/>
      <c r="S27" s="10"/>
    </row>
    <row r="28" spans="2:19" s="136" customFormat="1" ht="19.5">
      <c r="B28" s="159"/>
      <c r="C28" s="163"/>
      <c r="D28" s="163" t="s">
        <v>30</v>
      </c>
      <c r="E28" s="11" t="s">
        <v>31</v>
      </c>
      <c r="F28" s="161"/>
      <c r="G28" s="161"/>
      <c r="H28" s="161"/>
      <c r="I28" s="47"/>
      <c r="J28" s="162"/>
      <c r="K28" s="48"/>
      <c r="L28" s="48"/>
      <c r="M28" s="48"/>
      <c r="N28" s="48"/>
      <c r="O28" s="48"/>
      <c r="P28" s="48"/>
      <c r="Q28" s="48"/>
      <c r="R28" s="48"/>
      <c r="S28" s="48"/>
    </row>
    <row r="29" spans="2:19" s="136" customFormat="1" ht="19.5">
      <c r="B29" s="159"/>
      <c r="C29" s="163"/>
      <c r="D29" s="163"/>
      <c r="E29" s="163" t="s">
        <v>32</v>
      </c>
      <c r="F29" s="164" t="s">
        <v>21</v>
      </c>
      <c r="G29" s="161"/>
      <c r="H29" s="161"/>
      <c r="I29" s="47">
        <f>'S-01'!V45</f>
        <v>1737.62</v>
      </c>
      <c r="J29" s="162"/>
      <c r="K29" s="48"/>
      <c r="L29" s="48"/>
      <c r="M29" s="48"/>
      <c r="N29" s="48"/>
      <c r="O29" s="48"/>
      <c r="P29" s="48"/>
      <c r="Q29" s="48"/>
      <c r="R29" s="48"/>
      <c r="S29" s="48"/>
    </row>
    <row r="30" spans="2:19" ht="13.5">
      <c r="B30" s="45"/>
      <c r="C30" s="165"/>
      <c r="D30" s="166"/>
      <c r="E30" s="10"/>
      <c r="F30" s="167"/>
      <c r="G30" s="167"/>
      <c r="H30" s="167"/>
      <c r="I30" s="168"/>
      <c r="J30" s="13"/>
      <c r="K30" s="10"/>
      <c r="L30" s="10"/>
      <c r="M30" s="10"/>
      <c r="N30" s="10"/>
      <c r="O30" s="10"/>
      <c r="P30" s="10"/>
      <c r="Q30" s="10"/>
      <c r="R30" s="10"/>
      <c r="S30" s="10"/>
    </row>
    <row r="31" spans="2:19" s="136" customFormat="1" ht="19.5">
      <c r="B31" s="159"/>
      <c r="C31" s="163" t="s">
        <v>33</v>
      </c>
      <c r="D31" s="164" t="s">
        <v>34</v>
      </c>
      <c r="E31" s="48"/>
      <c r="F31" s="161"/>
      <c r="G31" s="161"/>
      <c r="H31" s="161"/>
      <c r="I31" s="47">
        <f>' R-01'!V43</f>
        <v>170.96</v>
      </c>
      <c r="J31" s="162"/>
      <c r="K31" s="48"/>
      <c r="L31" s="48"/>
      <c r="M31" s="48"/>
      <c r="N31" s="48"/>
      <c r="O31" s="48"/>
      <c r="P31" s="48"/>
      <c r="Q31" s="48"/>
      <c r="R31" s="48"/>
      <c r="S31" s="48"/>
    </row>
    <row r="32" spans="2:19" s="136" customFormat="1" ht="19.5">
      <c r="B32" s="159"/>
      <c r="C32" s="163"/>
      <c r="D32" s="164"/>
      <c r="E32" s="48"/>
      <c r="F32" s="161"/>
      <c r="G32" s="161"/>
      <c r="H32" s="161"/>
      <c r="I32" s="47"/>
      <c r="J32" s="162"/>
      <c r="K32" s="48"/>
      <c r="L32" s="48"/>
      <c r="M32" s="48"/>
      <c r="N32" s="48"/>
      <c r="O32" s="48"/>
      <c r="P32" s="48"/>
      <c r="Q32" s="48"/>
      <c r="R32" s="48"/>
      <c r="S32" s="48"/>
    </row>
    <row r="33" spans="2:19" s="136" customFormat="1" ht="19.5">
      <c r="B33" s="159"/>
      <c r="C33" s="163" t="s">
        <v>35</v>
      </c>
      <c r="D33" s="11" t="s">
        <v>36</v>
      </c>
      <c r="E33" s="161"/>
      <c r="F33"/>
      <c r="G33" s="161"/>
      <c r="H33" s="161"/>
      <c r="I33" s="47"/>
      <c r="J33" s="162"/>
      <c r="K33" s="48"/>
      <c r="L33" s="48"/>
      <c r="M33" s="48"/>
      <c r="N33" s="48"/>
      <c r="O33" s="48"/>
      <c r="P33" s="48"/>
      <c r="Q33" s="48"/>
      <c r="R33" s="48"/>
      <c r="S33" s="48"/>
    </row>
    <row r="34" spans="2:19" s="136" customFormat="1" ht="19.5">
      <c r="B34" s="159"/>
      <c r="C34" s="163"/>
      <c r="D34" s="163" t="s">
        <v>37</v>
      </c>
      <c r="E34" s="164" t="s">
        <v>23</v>
      </c>
      <c r="F34"/>
      <c r="G34" s="161"/>
      <c r="H34" s="161"/>
      <c r="I34" s="47">
        <f>'SUP-EDERSA'!I56</f>
        <v>3921.5817526673604</v>
      </c>
      <c r="J34" s="162"/>
      <c r="K34" s="48"/>
      <c r="L34" s="48"/>
      <c r="M34" s="48"/>
      <c r="N34" s="48"/>
      <c r="O34" s="48"/>
      <c r="P34" s="48"/>
      <c r="Q34" s="48"/>
      <c r="R34" s="48"/>
      <c r="S34" s="48"/>
    </row>
    <row r="35" spans="2:19" s="136" customFormat="1" ht="20.25" thickBot="1">
      <c r="B35" s="159"/>
      <c r="C35" s="160"/>
      <c r="D35" s="160"/>
      <c r="E35" s="48"/>
      <c r="F35" s="161"/>
      <c r="G35" s="161"/>
      <c r="H35" s="161"/>
      <c r="I35" s="48"/>
      <c r="J35" s="162"/>
      <c r="K35" s="48"/>
      <c r="L35" s="48"/>
      <c r="M35" s="48"/>
      <c r="N35" s="48"/>
      <c r="O35" s="48"/>
      <c r="P35" s="48"/>
      <c r="Q35" s="48"/>
      <c r="R35" s="48"/>
      <c r="S35" s="48"/>
    </row>
    <row r="36" spans="2:19" s="136" customFormat="1" ht="20.25" thickBot="1" thickTop="1">
      <c r="B36" s="159"/>
      <c r="C36" s="163"/>
      <c r="D36" s="163"/>
      <c r="F36" s="170" t="s">
        <v>38</v>
      </c>
      <c r="G36" s="171">
        <f>SUM(I18:I34)</f>
        <v>203260.7917526673</v>
      </c>
      <c r="H36" s="271"/>
      <c r="J36" s="162"/>
      <c r="K36" s="48"/>
      <c r="L36" s="48"/>
      <c r="M36" s="48"/>
      <c r="N36" s="48"/>
      <c r="O36" s="48"/>
      <c r="P36" s="48"/>
      <c r="Q36" s="48"/>
      <c r="R36" s="48"/>
      <c r="S36" s="48"/>
    </row>
    <row r="37" spans="2:19" s="136" customFormat="1" ht="8.25" customHeight="1" thickTop="1">
      <c r="B37" s="159"/>
      <c r="C37" s="163"/>
      <c r="D37" s="163"/>
      <c r="F37" s="735"/>
      <c r="G37" s="271"/>
      <c r="H37" s="271"/>
      <c r="J37" s="162"/>
      <c r="K37" s="48"/>
      <c r="L37" s="48"/>
      <c r="M37" s="48"/>
      <c r="N37" s="48"/>
      <c r="O37" s="48"/>
      <c r="P37" s="48"/>
      <c r="Q37" s="48"/>
      <c r="R37" s="48"/>
      <c r="S37" s="48"/>
    </row>
    <row r="38" spans="2:19" s="136" customFormat="1" ht="18.75">
      <c r="B38" s="159"/>
      <c r="C38" s="736"/>
      <c r="D38" s="163"/>
      <c r="F38" s="735"/>
      <c r="G38" s="271"/>
      <c r="H38" s="271"/>
      <c r="J38" s="162"/>
      <c r="K38" s="48"/>
      <c r="L38" s="48"/>
      <c r="M38" s="48"/>
      <c r="N38" s="48"/>
      <c r="O38" s="48"/>
      <c r="P38" s="48"/>
      <c r="Q38" s="48"/>
      <c r="R38" s="48"/>
      <c r="S38" s="48"/>
    </row>
    <row r="39" spans="2:19" s="152" customFormat="1" ht="6.75" customHeight="1" thickBot="1">
      <c r="B39" s="172"/>
      <c r="C39" s="173"/>
      <c r="D39" s="173"/>
      <c r="E39" s="174"/>
      <c r="F39" s="174"/>
      <c r="G39" s="174"/>
      <c r="H39" s="174"/>
      <c r="I39" s="174"/>
      <c r="J39" s="175"/>
      <c r="K39" s="153"/>
      <c r="L39" s="153"/>
      <c r="M39" s="86"/>
      <c r="N39" s="176"/>
      <c r="O39" s="176"/>
      <c r="P39" s="177"/>
      <c r="Q39" s="178"/>
      <c r="R39" s="153"/>
      <c r="S39" s="153"/>
    </row>
    <row r="40" spans="4:19" ht="13.5" thickTop="1">
      <c r="D40" s="10"/>
      <c r="F40" s="10"/>
      <c r="G40" s="10"/>
      <c r="H40" s="10"/>
      <c r="I40" s="10"/>
      <c r="J40" s="10"/>
      <c r="K40" s="10"/>
      <c r="L40" s="10"/>
      <c r="M40" s="31"/>
      <c r="N40" s="179"/>
      <c r="O40" s="179"/>
      <c r="P40" s="10"/>
      <c r="Q40" s="37"/>
      <c r="R40" s="10"/>
      <c r="S40" s="10"/>
    </row>
    <row r="41" spans="4:19" ht="12.75">
      <c r="D41" s="10"/>
      <c r="F41" s="10"/>
      <c r="G41" s="10"/>
      <c r="H41" s="10"/>
      <c r="I41" s="10"/>
      <c r="J41" s="10"/>
      <c r="K41" s="10"/>
      <c r="L41" s="10"/>
      <c r="M41" s="10"/>
      <c r="N41" s="180"/>
      <c r="O41" s="180"/>
      <c r="P41" s="181"/>
      <c r="Q41" s="37"/>
      <c r="R41" s="10"/>
      <c r="S41" s="10"/>
    </row>
    <row r="42" spans="4:19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80"/>
      <c r="O42" s="180"/>
      <c r="P42" s="181"/>
      <c r="Q42" s="37"/>
      <c r="R42" s="10"/>
      <c r="S42" s="10"/>
    </row>
    <row r="43" spans="4:19" ht="12.75">
      <c r="D43" s="10"/>
      <c r="E43" s="10"/>
      <c r="L43" s="10"/>
      <c r="M43" s="10"/>
      <c r="N43" s="10"/>
      <c r="O43" s="10"/>
      <c r="P43" s="10"/>
      <c r="Q43" s="10"/>
      <c r="R43" s="10"/>
      <c r="S43" s="10"/>
    </row>
    <row r="44" spans="4:19" ht="12.75">
      <c r="D44" s="10"/>
      <c r="E44" s="10"/>
      <c r="P44" s="10"/>
      <c r="Q44" s="10"/>
      <c r="R44" s="10"/>
      <c r="S44" s="10"/>
    </row>
    <row r="45" spans="4:19" ht="12.75">
      <c r="D45" s="10"/>
      <c r="E45" s="10"/>
      <c r="P45" s="10"/>
      <c r="Q45" s="10"/>
      <c r="R45" s="10"/>
      <c r="S45" s="10"/>
    </row>
    <row r="46" spans="4:19" ht="12.75">
      <c r="D46" s="10"/>
      <c r="E46" s="10"/>
      <c r="P46" s="10"/>
      <c r="Q46" s="10"/>
      <c r="R46" s="10"/>
      <c r="S46" s="10"/>
    </row>
    <row r="47" spans="4:19" ht="12.75">
      <c r="D47" s="10"/>
      <c r="E47" s="10"/>
      <c r="P47" s="10"/>
      <c r="Q47" s="10"/>
      <c r="R47" s="10"/>
      <c r="S47" s="10"/>
    </row>
    <row r="48" spans="4:19" ht="12.75">
      <c r="D48" s="10"/>
      <c r="E48" s="10"/>
      <c r="P48" s="10"/>
      <c r="Q48" s="10"/>
      <c r="R48" s="10"/>
      <c r="S48" s="10"/>
    </row>
    <row r="49" spans="16:19" ht="12.75">
      <c r="P49" s="10"/>
      <c r="Q49" s="10"/>
      <c r="R49" s="10"/>
      <c r="S49" s="10"/>
    </row>
    <row r="50" spans="16:19" ht="12.75">
      <c r="P50" s="10"/>
      <c r="Q50" s="10"/>
      <c r="R50" s="10"/>
      <c r="S50" s="10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="70" zoomScaleNormal="70" zoomScalePageLayoutView="0" workbookViewId="0" topLeftCell="A1">
      <selection activeCell="G17" sqref="G1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51.574218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24" customFormat="1" ht="26.25">
      <c r="AB1" s="469"/>
    </row>
    <row r="2" spans="2:28" s="124" customFormat="1" ht="26.25">
      <c r="B2" s="125" t="str">
        <f>+'TOT-0115'!B2</f>
        <v>ANEXO I al Memorándum  D.T.E.E.  N°   326  / 2016              .-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="12" customFormat="1" ht="12.75"/>
    <row r="4" spans="1:3" s="127" customFormat="1" ht="11.25">
      <c r="A4" s="754" t="s">
        <v>16</v>
      </c>
      <c r="C4" s="753"/>
    </row>
    <row r="5" spans="1:3" s="127" customFormat="1" ht="11.25">
      <c r="A5" s="754" t="s">
        <v>137</v>
      </c>
      <c r="C5" s="753"/>
    </row>
    <row r="6" s="12" customFormat="1" ht="13.5" thickBot="1"/>
    <row r="7" spans="1:28" s="12" customFormat="1" ht="13.5" thickTop="1">
      <c r="A7" s="1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</row>
    <row r="8" spans="1:28" s="129" customFormat="1" ht="20.25">
      <c r="A8" s="46"/>
      <c r="B8" s="128"/>
      <c r="C8" s="46"/>
      <c r="D8" s="46"/>
      <c r="E8" s="46"/>
      <c r="F8" s="22" t="s">
        <v>39</v>
      </c>
      <c r="G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130"/>
    </row>
    <row r="9" spans="1:28" s="12" customFormat="1" ht="12.75">
      <c r="A9" s="10"/>
      <c r="B9" s="45"/>
      <c r="C9" s="10"/>
      <c r="D9" s="10"/>
      <c r="E9" s="10"/>
      <c r="F9" s="141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29" customFormat="1" ht="20.25">
      <c r="A10" s="46"/>
      <c r="B10" s="128"/>
      <c r="C10" s="46"/>
      <c r="D10" s="46"/>
      <c r="E10" s="46"/>
      <c r="F10" s="22" t="s">
        <v>40</v>
      </c>
      <c r="G10" s="22"/>
      <c r="H10" s="46"/>
      <c r="I10" s="131"/>
      <c r="J10" s="131"/>
      <c r="K10" s="131"/>
      <c r="L10" s="131"/>
      <c r="M10" s="131"/>
      <c r="N10" s="131"/>
      <c r="O10" s="131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30"/>
    </row>
    <row r="11" spans="1:28" s="12" customFormat="1" ht="12.75">
      <c r="A11" s="10"/>
      <c r="B11" s="45"/>
      <c r="C11" s="10"/>
      <c r="D11" s="10"/>
      <c r="E11" s="10"/>
      <c r="F11" s="140"/>
      <c r="G11" s="138"/>
      <c r="H11" s="10"/>
      <c r="I11" s="137"/>
      <c r="J11" s="137"/>
      <c r="K11" s="137"/>
      <c r="L11" s="137"/>
      <c r="M11" s="137"/>
      <c r="N11" s="137"/>
      <c r="O11" s="13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29" customFormat="1" ht="20.25">
      <c r="A12" s="46"/>
      <c r="B12" s="128"/>
      <c r="C12" s="46"/>
      <c r="D12" s="46"/>
      <c r="E12" s="46"/>
      <c r="F12" s="22" t="s">
        <v>41</v>
      </c>
      <c r="G12" s="22"/>
      <c r="H12" s="46"/>
      <c r="I12" s="131"/>
      <c r="J12" s="131"/>
      <c r="K12" s="131"/>
      <c r="L12" s="131"/>
      <c r="M12" s="131"/>
      <c r="N12" s="131"/>
      <c r="O12" s="131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30"/>
    </row>
    <row r="13" spans="1:28" s="12" customFormat="1" ht="12.75">
      <c r="A13" s="10"/>
      <c r="B13" s="45"/>
      <c r="C13" s="10"/>
      <c r="D13" s="10"/>
      <c r="E13" s="10"/>
      <c r="F13" s="140"/>
      <c r="G13" s="138"/>
      <c r="H13" s="10"/>
      <c r="I13" s="137"/>
      <c r="J13" s="137"/>
      <c r="K13" s="137"/>
      <c r="L13" s="137"/>
      <c r="M13" s="137"/>
      <c r="N13" s="137"/>
      <c r="O13" s="13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"/>
    </row>
    <row r="14" spans="1:28" s="136" customFormat="1" ht="19.5">
      <c r="A14" s="48"/>
      <c r="B14" s="102" t="str">
        <f>+'TOT-0115'!B14</f>
        <v>Desde el 01 al 31 de enero de 2015</v>
      </c>
      <c r="C14" s="132"/>
      <c r="D14" s="132"/>
      <c r="E14" s="132"/>
      <c r="F14" s="132"/>
      <c r="G14" s="133"/>
      <c r="H14" s="133"/>
      <c r="I14" s="134"/>
      <c r="J14" s="134"/>
      <c r="K14" s="134"/>
      <c r="L14" s="134"/>
      <c r="M14" s="134"/>
      <c r="N14" s="134"/>
      <c r="O14" s="134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5"/>
    </row>
    <row r="15" spans="1:28" s="12" customFormat="1" ht="13.5" thickBot="1">
      <c r="A15" s="10"/>
      <c r="B15" s="45"/>
      <c r="C15" s="10"/>
      <c r="D15" s="10"/>
      <c r="E15" s="10"/>
      <c r="F15" s="10"/>
      <c r="G15" s="138"/>
      <c r="H15" s="139"/>
      <c r="I15" s="137"/>
      <c r="J15" s="137"/>
      <c r="K15" s="137"/>
      <c r="L15" s="137"/>
      <c r="M15" s="137"/>
      <c r="N15" s="137"/>
      <c r="O15" s="13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3"/>
    </row>
    <row r="16" spans="1:28" s="110" customFormat="1" ht="16.5" customHeight="1" thickBot="1" thickTop="1">
      <c r="A16" s="106"/>
      <c r="B16" s="107"/>
      <c r="C16" s="106"/>
      <c r="D16" s="106"/>
      <c r="E16" s="106"/>
      <c r="F16" s="560" t="s">
        <v>42</v>
      </c>
      <c r="G16" s="561">
        <v>254.839</v>
      </c>
      <c r="H16" s="562"/>
      <c r="I16" s="111"/>
      <c r="J16" s="111"/>
      <c r="K16" s="111"/>
      <c r="L16" s="111"/>
      <c r="M16" s="111"/>
      <c r="N16" s="111"/>
      <c r="O16" s="111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9"/>
    </row>
    <row r="17" spans="1:28" s="110" customFormat="1" ht="16.5" customHeight="1" thickBot="1" thickTop="1">
      <c r="A17" s="106"/>
      <c r="B17" s="107"/>
      <c r="C17" s="106"/>
      <c r="D17" s="106"/>
      <c r="E17" s="106"/>
      <c r="F17" s="560" t="s">
        <v>43</v>
      </c>
      <c r="G17" s="561">
        <v>243.513</v>
      </c>
      <c r="H17" s="563"/>
      <c r="I17" s="106"/>
      <c r="K17" s="112" t="s">
        <v>44</v>
      </c>
      <c r="L17" s="113">
        <f>30*'TOT-0115'!B13</f>
        <v>30</v>
      </c>
      <c r="M17" s="270" t="str">
        <f>IF(L17=30," ",IF(L17=60,"Coeficiente duplicado por tasa de falla &gt;4 Sal. x año/100 km.","REVISAR COEFICIENTE"))</f>
        <v> 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9"/>
    </row>
    <row r="18" spans="1:28" s="783" customFormat="1" ht="14.25" thickBot="1" thickTop="1">
      <c r="A18" s="779"/>
      <c r="B18" s="780"/>
      <c r="C18" s="781">
        <v>3</v>
      </c>
      <c r="D18" s="781">
        <v>4</v>
      </c>
      <c r="E18" s="781">
        <v>5</v>
      </c>
      <c r="F18" s="781">
        <v>6</v>
      </c>
      <c r="G18" s="781">
        <v>7</v>
      </c>
      <c r="H18" s="781">
        <v>8</v>
      </c>
      <c r="I18" s="781">
        <v>9</v>
      </c>
      <c r="J18" s="781">
        <v>10</v>
      </c>
      <c r="K18" s="781">
        <v>11</v>
      </c>
      <c r="L18" s="781">
        <v>12</v>
      </c>
      <c r="M18" s="781">
        <v>13</v>
      </c>
      <c r="N18" s="781">
        <v>14</v>
      </c>
      <c r="O18" s="781">
        <v>15</v>
      </c>
      <c r="P18" s="781">
        <v>16</v>
      </c>
      <c r="Q18" s="781">
        <v>17</v>
      </c>
      <c r="R18" s="781">
        <v>18</v>
      </c>
      <c r="S18" s="781">
        <v>19</v>
      </c>
      <c r="T18" s="781">
        <v>20</v>
      </c>
      <c r="U18" s="781">
        <v>21</v>
      </c>
      <c r="V18" s="781">
        <v>22</v>
      </c>
      <c r="W18" s="781">
        <v>23</v>
      </c>
      <c r="X18" s="781">
        <v>24</v>
      </c>
      <c r="Y18" s="781">
        <v>25</v>
      </c>
      <c r="Z18" s="781">
        <v>26</v>
      </c>
      <c r="AA18" s="781">
        <v>27</v>
      </c>
      <c r="AB18" s="782"/>
    </row>
    <row r="19" spans="1:28" s="123" customFormat="1" ht="33.75" customHeight="1" thickBot="1" thickTop="1">
      <c r="A19" s="114"/>
      <c r="B19" s="115"/>
      <c r="C19" s="116" t="s">
        <v>45</v>
      </c>
      <c r="D19" s="116" t="s">
        <v>136</v>
      </c>
      <c r="E19" s="116" t="s">
        <v>135</v>
      </c>
      <c r="F19" s="117" t="s">
        <v>19</v>
      </c>
      <c r="G19" s="118" t="s">
        <v>46</v>
      </c>
      <c r="H19" s="119" t="s">
        <v>47</v>
      </c>
      <c r="I19" s="300" t="s">
        <v>48</v>
      </c>
      <c r="J19" s="117" t="s">
        <v>49</v>
      </c>
      <c r="K19" s="117" t="s">
        <v>50</v>
      </c>
      <c r="L19" s="118" t="s">
        <v>51</v>
      </c>
      <c r="M19" s="118" t="s">
        <v>52</v>
      </c>
      <c r="N19" s="120" t="s">
        <v>53</v>
      </c>
      <c r="O19" s="118" t="s">
        <v>54</v>
      </c>
      <c r="P19" s="330" t="s">
        <v>55</v>
      </c>
      <c r="Q19" s="333" t="s">
        <v>56</v>
      </c>
      <c r="R19" s="336" t="s">
        <v>57</v>
      </c>
      <c r="S19" s="337"/>
      <c r="T19" s="338"/>
      <c r="U19" s="347" t="s">
        <v>58</v>
      </c>
      <c r="V19" s="348"/>
      <c r="W19" s="349"/>
      <c r="X19" s="357" t="s">
        <v>59</v>
      </c>
      <c r="Y19" s="360" t="s">
        <v>60</v>
      </c>
      <c r="Z19" s="121" t="s">
        <v>61</v>
      </c>
      <c r="AA19" s="121" t="s">
        <v>62</v>
      </c>
      <c r="AB19" s="122"/>
    </row>
    <row r="20" spans="1:28" ht="16.5" customHeight="1" thickTop="1">
      <c r="A20" s="1"/>
      <c r="B20" s="2"/>
      <c r="C20" s="52"/>
      <c r="D20" s="752"/>
      <c r="E20" s="752"/>
      <c r="F20" s="466"/>
      <c r="G20" s="54"/>
      <c r="H20" s="54"/>
      <c r="I20" s="454"/>
      <c r="J20" s="54"/>
      <c r="K20" s="55"/>
      <c r="L20" s="55"/>
      <c r="M20" s="55"/>
      <c r="N20" s="53"/>
      <c r="O20" s="54"/>
      <c r="P20" s="331"/>
      <c r="Q20" s="334"/>
      <c r="R20" s="339"/>
      <c r="S20" s="340"/>
      <c r="T20" s="341"/>
      <c r="U20" s="350"/>
      <c r="V20" s="351"/>
      <c r="W20" s="352"/>
      <c r="X20" s="358"/>
      <c r="Y20" s="361"/>
      <c r="Z20" s="345"/>
      <c r="AA20" s="467"/>
      <c r="AB20" s="3"/>
    </row>
    <row r="21" spans="1:28" ht="16.5" customHeight="1">
      <c r="A21" s="1"/>
      <c r="B21" s="2"/>
      <c r="C21" s="586"/>
      <c r="D21" s="750"/>
      <c r="E21" s="750"/>
      <c r="F21" s="586"/>
      <c r="G21" s="587"/>
      <c r="H21" s="587"/>
      <c r="I21" s="455"/>
      <c r="J21" s="586"/>
      <c r="K21" s="588"/>
      <c r="L21" s="105"/>
      <c r="M21" s="105"/>
      <c r="N21" s="589"/>
      <c r="O21" s="586"/>
      <c r="P21" s="590"/>
      <c r="Q21" s="591"/>
      <c r="R21" s="592"/>
      <c r="S21" s="593"/>
      <c r="T21" s="594"/>
      <c r="U21" s="595"/>
      <c r="V21" s="596"/>
      <c r="W21" s="597"/>
      <c r="X21" s="598"/>
      <c r="Y21" s="599"/>
      <c r="Z21" s="600"/>
      <c r="AA21" s="105"/>
      <c r="AB21" s="3"/>
    </row>
    <row r="22" spans="1:28" ht="16.5" customHeight="1">
      <c r="A22" s="1"/>
      <c r="B22" s="2"/>
      <c r="C22" s="564">
        <v>1</v>
      </c>
      <c r="D22" s="564">
        <v>283794</v>
      </c>
      <c r="E22" s="564">
        <v>2034</v>
      </c>
      <c r="F22" s="565" t="s">
        <v>144</v>
      </c>
      <c r="G22" s="566">
        <v>132</v>
      </c>
      <c r="H22" s="567">
        <v>299.6000061035156</v>
      </c>
      <c r="I22" s="456">
        <f aca="true" t="shared" si="0" ref="I22:I35">IF(H22&gt;25,H22,25)*IF(G22=330,$G$16,$G$17)/100</f>
        <v>729.564962862854</v>
      </c>
      <c r="J22" s="572">
        <v>42017.67847222222</v>
      </c>
      <c r="K22" s="572">
        <v>42017.895833333336</v>
      </c>
      <c r="L22" s="14">
        <f aca="true" t="shared" si="1" ref="L22:L35">IF(F22="","",(K22-J22)*24)</f>
        <v>5.216666666732635</v>
      </c>
      <c r="M22" s="15">
        <f aca="true" t="shared" si="2" ref="M22:M35">IF(F22="","",ROUND((K22-J22)*24*60,0))</f>
        <v>313</v>
      </c>
      <c r="N22" s="573" t="s">
        <v>145</v>
      </c>
      <c r="O22" s="772" t="s">
        <v>143</v>
      </c>
      <c r="P22" s="757" t="str">
        <f aca="true" t="shared" si="3" ref="P22:P35">IF(N22="P",ROUND(M22/60,2)*I22*$L$17*0.01,"--")</f>
        <v>--</v>
      </c>
      <c r="Q22" s="758" t="str">
        <f aca="true" t="shared" si="4" ref="Q22:Q35">IF(N22="RP",ROUND(M22/60,2)*I22*$L$17*0.01*O22/100,"--")</f>
        <v>--</v>
      </c>
      <c r="R22" s="759">
        <f aca="true" t="shared" si="5" ref="R22:R35">IF(N22="F",I22*$L$17,"--")</f>
        <v>21886.94888588562</v>
      </c>
      <c r="S22" s="760">
        <f aca="true" t="shared" si="6" ref="S22:S35">IF(AND(M22&gt;10,N22="F"),I22*$L$17*IF(M22&gt;180,3,ROUND(M22/60,2)),"--")</f>
        <v>65660.84665765686</v>
      </c>
      <c r="T22" s="761">
        <f aca="true" t="shared" si="7" ref="T22:T35">IF(AND(M22&gt;180,N22="F"),(ROUND(M22/60,2)-3)*I22*$L$17*0.1,"--")</f>
        <v>4858.9026526666075</v>
      </c>
      <c r="U22" s="762" t="str">
        <f aca="true" t="shared" si="8" ref="U22:U35">IF(N22="R",I22*$L$17*O22/100,"--")</f>
        <v>--</v>
      </c>
      <c r="V22" s="763" t="str">
        <f aca="true" t="shared" si="9" ref="V22:V35">IF(AND(M22&gt;10,N22="R"),I22*$L$17*O22/100*IF(M22&gt;180,3,ROUND(M22/60,2)),"--")</f>
        <v>--</v>
      </c>
      <c r="W22" s="764" t="str">
        <f aca="true" t="shared" si="10" ref="W22:W35">IF(AND(M22&gt;180,N22="R"),(ROUND(M22/60,2)-3)*O22/100*I22*$L$17*0.1,"--")</f>
        <v>--</v>
      </c>
      <c r="X22" s="765" t="str">
        <f aca="true" t="shared" si="11" ref="X22:X35">IF(N22="RF",ROUND(M22/60,2)*I22*$L$17*0.1,"--")</f>
        <v>--</v>
      </c>
      <c r="Y22" s="766" t="str">
        <f aca="true" t="shared" si="12" ref="Y22:Y35">IF(N22="RR",ROUND(M22/60,2)*O22/100*I22*$L$17*0.1,"--")</f>
        <v>--</v>
      </c>
      <c r="Z22" s="767" t="s">
        <v>142</v>
      </c>
      <c r="AA22" s="56">
        <f aca="true" t="shared" si="13" ref="AA22:AA35">IF(F22="","",SUM(P22:Y22)*IF(Z22="SI",1,2))</f>
        <v>92406.6981962091</v>
      </c>
      <c r="AB22" s="3"/>
    </row>
    <row r="23" spans="1:28" ht="16.5" customHeight="1">
      <c r="A23" s="1"/>
      <c r="B23" s="2"/>
      <c r="C23" s="564">
        <v>2</v>
      </c>
      <c r="D23" s="564">
        <v>283795</v>
      </c>
      <c r="E23" s="564">
        <v>1637</v>
      </c>
      <c r="F23" s="565" t="s">
        <v>146</v>
      </c>
      <c r="G23" s="566">
        <v>330</v>
      </c>
      <c r="H23" s="567">
        <v>550</v>
      </c>
      <c r="I23" s="456">
        <f t="shared" si="0"/>
        <v>1401.6145000000001</v>
      </c>
      <c r="J23" s="572">
        <v>42019.22430555556</v>
      </c>
      <c r="K23" s="572">
        <v>42019.24513888889</v>
      </c>
      <c r="L23" s="14">
        <f t="shared" si="1"/>
        <v>0.4999999998835847</v>
      </c>
      <c r="M23" s="15">
        <f t="shared" si="2"/>
        <v>30</v>
      </c>
      <c r="N23" s="573" t="s">
        <v>145</v>
      </c>
      <c r="O23" s="772" t="s">
        <v>143</v>
      </c>
      <c r="P23" s="757" t="str">
        <f t="shared" si="3"/>
        <v>--</v>
      </c>
      <c r="Q23" s="758" t="str">
        <f t="shared" si="4"/>
        <v>--</v>
      </c>
      <c r="R23" s="759">
        <f t="shared" si="5"/>
        <v>42048.435000000005</v>
      </c>
      <c r="S23" s="760">
        <f t="shared" si="6"/>
        <v>21024.217500000002</v>
      </c>
      <c r="T23" s="761" t="str">
        <f t="shared" si="7"/>
        <v>--</v>
      </c>
      <c r="U23" s="762" t="str">
        <f t="shared" si="8"/>
        <v>--</v>
      </c>
      <c r="V23" s="763" t="str">
        <f t="shared" si="9"/>
        <v>--</v>
      </c>
      <c r="W23" s="764" t="str">
        <f t="shared" si="10"/>
        <v>--</v>
      </c>
      <c r="X23" s="765" t="str">
        <f t="shared" si="11"/>
        <v>--</v>
      </c>
      <c r="Y23" s="766" t="str">
        <f t="shared" si="12"/>
        <v>--</v>
      </c>
      <c r="Z23" s="767" t="s">
        <v>142</v>
      </c>
      <c r="AA23" s="56">
        <f t="shared" si="13"/>
        <v>63072.65250000001</v>
      </c>
      <c r="AB23" s="3"/>
    </row>
    <row r="24" spans="1:28" ht="16.5" customHeight="1">
      <c r="A24" s="1"/>
      <c r="B24" s="2"/>
      <c r="C24" s="564">
        <v>3</v>
      </c>
      <c r="D24" s="564">
        <v>284430</v>
      </c>
      <c r="E24" s="564">
        <v>1630</v>
      </c>
      <c r="F24" s="565" t="s">
        <v>147</v>
      </c>
      <c r="G24" s="566">
        <v>132</v>
      </c>
      <c r="H24" s="567">
        <v>5.699999809265137</v>
      </c>
      <c r="I24" s="456">
        <f t="shared" si="0"/>
        <v>60.87825</v>
      </c>
      <c r="J24" s="572">
        <v>42035.175</v>
      </c>
      <c r="K24" s="572">
        <v>42035.26597222222</v>
      </c>
      <c r="L24" s="14">
        <f t="shared" si="1"/>
        <v>2.1833333332906477</v>
      </c>
      <c r="M24" s="15">
        <f t="shared" si="2"/>
        <v>131</v>
      </c>
      <c r="N24" s="573" t="s">
        <v>145</v>
      </c>
      <c r="O24" s="772" t="s">
        <v>143</v>
      </c>
      <c r="P24" s="757" t="str">
        <f t="shared" si="3"/>
        <v>--</v>
      </c>
      <c r="Q24" s="758" t="str">
        <f t="shared" si="4"/>
        <v>--</v>
      </c>
      <c r="R24" s="759">
        <f t="shared" si="5"/>
        <v>1826.3475</v>
      </c>
      <c r="S24" s="760">
        <f t="shared" si="6"/>
        <v>3981.4375500000006</v>
      </c>
      <c r="T24" s="761" t="str">
        <f t="shared" si="7"/>
        <v>--</v>
      </c>
      <c r="U24" s="762" t="str">
        <f t="shared" si="8"/>
        <v>--</v>
      </c>
      <c r="V24" s="763" t="str">
        <f t="shared" si="9"/>
        <v>--</v>
      </c>
      <c r="W24" s="764" t="str">
        <f t="shared" si="10"/>
        <v>--</v>
      </c>
      <c r="X24" s="765" t="str">
        <f t="shared" si="11"/>
        <v>--</v>
      </c>
      <c r="Y24" s="766" t="str">
        <f t="shared" si="12"/>
        <v>--</v>
      </c>
      <c r="Z24" s="767" t="s">
        <v>142</v>
      </c>
      <c r="AA24" s="56">
        <f t="shared" si="13"/>
        <v>5807.78505</v>
      </c>
      <c r="AB24" s="3"/>
    </row>
    <row r="25" spans="1:28" ht="16.5" customHeight="1">
      <c r="A25" s="1"/>
      <c r="B25" s="2"/>
      <c r="C25" s="564">
        <v>4</v>
      </c>
      <c r="D25" s="564">
        <v>284431</v>
      </c>
      <c r="E25" s="564">
        <v>1628</v>
      </c>
      <c r="F25" s="565" t="s">
        <v>148</v>
      </c>
      <c r="G25" s="566">
        <v>132</v>
      </c>
      <c r="H25" s="567">
        <v>112</v>
      </c>
      <c r="I25" s="456">
        <f t="shared" si="0"/>
        <v>272.73456000000004</v>
      </c>
      <c r="J25" s="572">
        <v>42035.175</v>
      </c>
      <c r="K25" s="572">
        <v>42035.20486111111</v>
      </c>
      <c r="L25" s="14">
        <f t="shared" si="1"/>
        <v>0.7166666665580124</v>
      </c>
      <c r="M25" s="15">
        <f t="shared" si="2"/>
        <v>43</v>
      </c>
      <c r="N25" s="573" t="s">
        <v>145</v>
      </c>
      <c r="O25" s="772" t="s">
        <v>143</v>
      </c>
      <c r="P25" s="757" t="str">
        <f t="shared" si="3"/>
        <v>--</v>
      </c>
      <c r="Q25" s="758" t="str">
        <f t="shared" si="4"/>
        <v>--</v>
      </c>
      <c r="R25" s="759">
        <f t="shared" si="5"/>
        <v>8182.036800000002</v>
      </c>
      <c r="S25" s="760">
        <f t="shared" si="6"/>
        <v>5891.066496000001</v>
      </c>
      <c r="T25" s="761" t="str">
        <f t="shared" si="7"/>
        <v>--</v>
      </c>
      <c r="U25" s="762" t="str">
        <f t="shared" si="8"/>
        <v>--</v>
      </c>
      <c r="V25" s="763" t="str">
        <f t="shared" si="9"/>
        <v>--</v>
      </c>
      <c r="W25" s="764" t="str">
        <f t="shared" si="10"/>
        <v>--</v>
      </c>
      <c r="X25" s="765" t="str">
        <f t="shared" si="11"/>
        <v>--</v>
      </c>
      <c r="Y25" s="766" t="str">
        <f t="shared" si="12"/>
        <v>--</v>
      </c>
      <c r="Z25" s="767" t="s">
        <v>142</v>
      </c>
      <c r="AA25" s="56">
        <f t="shared" si="13"/>
        <v>14073.103296000003</v>
      </c>
      <c r="AB25" s="3"/>
    </row>
    <row r="26" spans="1:28" ht="16.5" customHeight="1">
      <c r="A26" s="1"/>
      <c r="B26" s="2"/>
      <c r="C26" s="564"/>
      <c r="D26" s="564"/>
      <c r="E26" s="564"/>
      <c r="F26" s="565"/>
      <c r="G26" s="566"/>
      <c r="H26" s="567"/>
      <c r="I26" s="456">
        <f t="shared" si="0"/>
        <v>60.87825</v>
      </c>
      <c r="J26" s="572"/>
      <c r="K26" s="572"/>
      <c r="L26" s="14">
        <f t="shared" si="1"/>
      </c>
      <c r="M26" s="15">
        <f t="shared" si="2"/>
      </c>
      <c r="N26" s="573"/>
      <c r="O26" s="756">
        <f aca="true" t="shared" si="14" ref="O26:O35">IF(F26="","","--")</f>
      </c>
      <c r="P26" s="757" t="str">
        <f t="shared" si="3"/>
        <v>--</v>
      </c>
      <c r="Q26" s="758" t="str">
        <f t="shared" si="4"/>
        <v>--</v>
      </c>
      <c r="R26" s="759" t="str">
        <f t="shared" si="5"/>
        <v>--</v>
      </c>
      <c r="S26" s="760" t="str">
        <f t="shared" si="6"/>
        <v>--</v>
      </c>
      <c r="T26" s="761" t="str">
        <f t="shared" si="7"/>
        <v>--</v>
      </c>
      <c r="U26" s="762" t="str">
        <f t="shared" si="8"/>
        <v>--</v>
      </c>
      <c r="V26" s="763" t="str">
        <f t="shared" si="9"/>
        <v>--</v>
      </c>
      <c r="W26" s="764" t="str">
        <f t="shared" si="10"/>
        <v>--</v>
      </c>
      <c r="X26" s="765" t="str">
        <f t="shared" si="11"/>
        <v>--</v>
      </c>
      <c r="Y26" s="766" t="str">
        <f t="shared" si="12"/>
        <v>--</v>
      </c>
      <c r="Z26" s="767">
        <f aca="true" t="shared" si="15" ref="Z26:Z35">IF(F26="","","SI")</f>
      </c>
      <c r="AA26" s="56">
        <f t="shared" si="13"/>
      </c>
      <c r="AB26" s="3"/>
    </row>
    <row r="27" spans="1:28" ht="16.5" customHeight="1">
      <c r="A27" s="1"/>
      <c r="B27" s="2"/>
      <c r="C27" s="564"/>
      <c r="D27" s="564"/>
      <c r="E27" s="564"/>
      <c r="F27" s="565"/>
      <c r="G27" s="566"/>
      <c r="H27" s="567"/>
      <c r="I27" s="456">
        <f t="shared" si="0"/>
        <v>60.87825</v>
      </c>
      <c r="J27" s="572"/>
      <c r="K27" s="572"/>
      <c r="L27" s="14">
        <f t="shared" si="1"/>
      </c>
      <c r="M27" s="15">
        <f t="shared" si="2"/>
      </c>
      <c r="N27" s="573"/>
      <c r="O27" s="756">
        <f t="shared" si="14"/>
      </c>
      <c r="P27" s="757" t="str">
        <f t="shared" si="3"/>
        <v>--</v>
      </c>
      <c r="Q27" s="758" t="str">
        <f t="shared" si="4"/>
        <v>--</v>
      </c>
      <c r="R27" s="759" t="str">
        <f t="shared" si="5"/>
        <v>--</v>
      </c>
      <c r="S27" s="760" t="str">
        <f t="shared" si="6"/>
        <v>--</v>
      </c>
      <c r="T27" s="761" t="str">
        <f t="shared" si="7"/>
        <v>--</v>
      </c>
      <c r="U27" s="762" t="str">
        <f t="shared" si="8"/>
        <v>--</v>
      </c>
      <c r="V27" s="763" t="str">
        <f t="shared" si="9"/>
        <v>--</v>
      </c>
      <c r="W27" s="764" t="str">
        <f t="shared" si="10"/>
        <v>--</v>
      </c>
      <c r="X27" s="765" t="str">
        <f t="shared" si="11"/>
        <v>--</v>
      </c>
      <c r="Y27" s="766" t="str">
        <f t="shared" si="12"/>
        <v>--</v>
      </c>
      <c r="Z27" s="767">
        <f t="shared" si="15"/>
      </c>
      <c r="AA27" s="56">
        <f t="shared" si="13"/>
      </c>
      <c r="AB27" s="3"/>
    </row>
    <row r="28" spans="1:28" ht="16.5" customHeight="1">
      <c r="A28" s="1"/>
      <c r="B28" s="2"/>
      <c r="C28" s="564"/>
      <c r="D28" s="564"/>
      <c r="E28" s="564"/>
      <c r="F28" s="565"/>
      <c r="G28" s="566"/>
      <c r="H28" s="567"/>
      <c r="I28" s="456">
        <f t="shared" si="0"/>
        <v>60.87825</v>
      </c>
      <c r="J28" s="572"/>
      <c r="K28" s="572"/>
      <c r="L28" s="14">
        <f t="shared" si="1"/>
      </c>
      <c r="M28" s="15">
        <f t="shared" si="2"/>
      </c>
      <c r="N28" s="573"/>
      <c r="O28" s="756">
        <f t="shared" si="14"/>
      </c>
      <c r="P28" s="757" t="str">
        <f t="shared" si="3"/>
        <v>--</v>
      </c>
      <c r="Q28" s="758" t="str">
        <f t="shared" si="4"/>
        <v>--</v>
      </c>
      <c r="R28" s="759" t="str">
        <f t="shared" si="5"/>
        <v>--</v>
      </c>
      <c r="S28" s="760" t="str">
        <f t="shared" si="6"/>
        <v>--</v>
      </c>
      <c r="T28" s="761" t="str">
        <f t="shared" si="7"/>
        <v>--</v>
      </c>
      <c r="U28" s="762" t="str">
        <f t="shared" si="8"/>
        <v>--</v>
      </c>
      <c r="V28" s="763" t="str">
        <f t="shared" si="9"/>
        <v>--</v>
      </c>
      <c r="W28" s="764" t="str">
        <f t="shared" si="10"/>
        <v>--</v>
      </c>
      <c r="X28" s="765" t="str">
        <f t="shared" si="11"/>
        <v>--</v>
      </c>
      <c r="Y28" s="766" t="str">
        <f t="shared" si="12"/>
        <v>--</v>
      </c>
      <c r="Z28" s="767">
        <f t="shared" si="15"/>
      </c>
      <c r="AA28" s="56">
        <f t="shared" si="13"/>
      </c>
      <c r="AB28" s="3"/>
    </row>
    <row r="29" spans="1:28" ht="16.5" customHeight="1">
      <c r="A29" s="1"/>
      <c r="B29" s="2"/>
      <c r="C29" s="564"/>
      <c r="D29" s="564"/>
      <c r="E29" s="564"/>
      <c r="F29" s="565"/>
      <c r="G29" s="566"/>
      <c r="H29" s="567"/>
      <c r="I29" s="456">
        <f t="shared" si="0"/>
        <v>60.87825</v>
      </c>
      <c r="J29" s="572"/>
      <c r="K29" s="572"/>
      <c r="L29" s="14">
        <f t="shared" si="1"/>
      </c>
      <c r="M29" s="15">
        <f t="shared" si="2"/>
      </c>
      <c r="N29" s="573"/>
      <c r="O29" s="756">
        <f t="shared" si="14"/>
      </c>
      <c r="P29" s="757" t="str">
        <f t="shared" si="3"/>
        <v>--</v>
      </c>
      <c r="Q29" s="758" t="str">
        <f t="shared" si="4"/>
        <v>--</v>
      </c>
      <c r="R29" s="759" t="str">
        <f t="shared" si="5"/>
        <v>--</v>
      </c>
      <c r="S29" s="760" t="str">
        <f t="shared" si="6"/>
        <v>--</v>
      </c>
      <c r="T29" s="761" t="str">
        <f t="shared" si="7"/>
        <v>--</v>
      </c>
      <c r="U29" s="762" t="str">
        <f t="shared" si="8"/>
        <v>--</v>
      </c>
      <c r="V29" s="763" t="str">
        <f t="shared" si="9"/>
        <v>--</v>
      </c>
      <c r="W29" s="764" t="str">
        <f t="shared" si="10"/>
        <v>--</v>
      </c>
      <c r="X29" s="765" t="str">
        <f t="shared" si="11"/>
        <v>--</v>
      </c>
      <c r="Y29" s="766" t="str">
        <f t="shared" si="12"/>
        <v>--</v>
      </c>
      <c r="Z29" s="767">
        <f t="shared" si="15"/>
      </c>
      <c r="AA29" s="56">
        <f t="shared" si="13"/>
      </c>
      <c r="AB29" s="3"/>
    </row>
    <row r="30" spans="1:28" ht="16.5" customHeight="1">
      <c r="A30" s="1"/>
      <c r="B30" s="2"/>
      <c r="C30" s="564"/>
      <c r="D30" s="564"/>
      <c r="E30" s="564"/>
      <c r="F30" s="565"/>
      <c r="G30" s="566"/>
      <c r="H30" s="567"/>
      <c r="I30" s="456">
        <f t="shared" si="0"/>
        <v>60.87825</v>
      </c>
      <c r="J30" s="572"/>
      <c r="K30" s="572"/>
      <c r="L30" s="14">
        <f t="shared" si="1"/>
      </c>
      <c r="M30" s="15">
        <f t="shared" si="2"/>
      </c>
      <c r="N30" s="573"/>
      <c r="O30" s="756">
        <f t="shared" si="14"/>
      </c>
      <c r="P30" s="757" t="str">
        <f t="shared" si="3"/>
        <v>--</v>
      </c>
      <c r="Q30" s="758" t="str">
        <f t="shared" si="4"/>
        <v>--</v>
      </c>
      <c r="R30" s="759" t="str">
        <f t="shared" si="5"/>
        <v>--</v>
      </c>
      <c r="S30" s="760" t="str">
        <f t="shared" si="6"/>
        <v>--</v>
      </c>
      <c r="T30" s="761" t="str">
        <f t="shared" si="7"/>
        <v>--</v>
      </c>
      <c r="U30" s="762" t="str">
        <f t="shared" si="8"/>
        <v>--</v>
      </c>
      <c r="V30" s="763" t="str">
        <f t="shared" si="9"/>
        <v>--</v>
      </c>
      <c r="W30" s="764" t="str">
        <f t="shared" si="10"/>
        <v>--</v>
      </c>
      <c r="X30" s="765" t="str">
        <f t="shared" si="11"/>
        <v>--</v>
      </c>
      <c r="Y30" s="766" t="str">
        <f t="shared" si="12"/>
        <v>--</v>
      </c>
      <c r="Z30" s="767">
        <f t="shared" si="15"/>
      </c>
      <c r="AA30" s="56">
        <f t="shared" si="13"/>
      </c>
      <c r="AB30" s="3"/>
    </row>
    <row r="31" spans="1:28" ht="16.5" customHeight="1">
      <c r="A31" s="1"/>
      <c r="B31" s="2"/>
      <c r="C31" s="564"/>
      <c r="D31" s="564"/>
      <c r="E31" s="564"/>
      <c r="F31" s="565"/>
      <c r="G31" s="566"/>
      <c r="H31" s="567"/>
      <c r="I31" s="456">
        <f t="shared" si="0"/>
        <v>60.87825</v>
      </c>
      <c r="J31" s="572"/>
      <c r="K31" s="572"/>
      <c r="L31" s="14">
        <f t="shared" si="1"/>
      </c>
      <c r="M31" s="15">
        <f t="shared" si="2"/>
      </c>
      <c r="N31" s="573"/>
      <c r="O31" s="756">
        <f t="shared" si="14"/>
      </c>
      <c r="P31" s="757" t="str">
        <f t="shared" si="3"/>
        <v>--</v>
      </c>
      <c r="Q31" s="758" t="str">
        <f t="shared" si="4"/>
        <v>--</v>
      </c>
      <c r="R31" s="759" t="str">
        <f t="shared" si="5"/>
        <v>--</v>
      </c>
      <c r="S31" s="760" t="str">
        <f t="shared" si="6"/>
        <v>--</v>
      </c>
      <c r="T31" s="761" t="str">
        <f t="shared" si="7"/>
        <v>--</v>
      </c>
      <c r="U31" s="762" t="str">
        <f t="shared" si="8"/>
        <v>--</v>
      </c>
      <c r="V31" s="763" t="str">
        <f t="shared" si="9"/>
        <v>--</v>
      </c>
      <c r="W31" s="764" t="str">
        <f t="shared" si="10"/>
        <v>--</v>
      </c>
      <c r="X31" s="765" t="str">
        <f t="shared" si="11"/>
        <v>--</v>
      </c>
      <c r="Y31" s="766" t="str">
        <f t="shared" si="12"/>
        <v>--</v>
      </c>
      <c r="Z31" s="767">
        <f t="shared" si="15"/>
      </c>
      <c r="AA31" s="56">
        <f t="shared" si="13"/>
      </c>
      <c r="AB31" s="3"/>
    </row>
    <row r="32" spans="1:28" ht="16.5" customHeight="1">
      <c r="A32" s="1"/>
      <c r="B32" s="2"/>
      <c r="C32" s="564"/>
      <c r="D32" s="564"/>
      <c r="E32" s="564"/>
      <c r="F32" s="565"/>
      <c r="G32" s="566"/>
      <c r="H32" s="567"/>
      <c r="I32" s="456">
        <f t="shared" si="0"/>
        <v>60.87825</v>
      </c>
      <c r="J32" s="572"/>
      <c r="K32" s="572"/>
      <c r="L32" s="14">
        <f t="shared" si="1"/>
      </c>
      <c r="M32" s="15">
        <f t="shared" si="2"/>
      </c>
      <c r="N32" s="573"/>
      <c r="O32" s="756">
        <f t="shared" si="14"/>
      </c>
      <c r="P32" s="757" t="str">
        <f t="shared" si="3"/>
        <v>--</v>
      </c>
      <c r="Q32" s="758" t="str">
        <f t="shared" si="4"/>
        <v>--</v>
      </c>
      <c r="R32" s="759" t="str">
        <f t="shared" si="5"/>
        <v>--</v>
      </c>
      <c r="S32" s="760" t="str">
        <f t="shared" si="6"/>
        <v>--</v>
      </c>
      <c r="T32" s="761" t="str">
        <f t="shared" si="7"/>
        <v>--</v>
      </c>
      <c r="U32" s="762" t="str">
        <f t="shared" si="8"/>
        <v>--</v>
      </c>
      <c r="V32" s="763" t="str">
        <f t="shared" si="9"/>
        <v>--</v>
      </c>
      <c r="W32" s="764" t="str">
        <f t="shared" si="10"/>
        <v>--</v>
      </c>
      <c r="X32" s="765" t="str">
        <f t="shared" si="11"/>
        <v>--</v>
      </c>
      <c r="Y32" s="766" t="str">
        <f t="shared" si="12"/>
        <v>--</v>
      </c>
      <c r="Z32" s="767">
        <f t="shared" si="15"/>
      </c>
      <c r="AA32" s="56">
        <f t="shared" si="13"/>
      </c>
      <c r="AB32" s="3"/>
    </row>
    <row r="33" spans="1:28" ht="16.5" customHeight="1">
      <c r="A33" s="1"/>
      <c r="B33" s="2"/>
      <c r="C33" s="564"/>
      <c r="D33" s="564"/>
      <c r="E33" s="564"/>
      <c r="F33" s="565"/>
      <c r="G33" s="566"/>
      <c r="H33" s="567"/>
      <c r="I33" s="456">
        <f t="shared" si="0"/>
        <v>60.87825</v>
      </c>
      <c r="J33" s="572"/>
      <c r="K33" s="572"/>
      <c r="L33" s="14">
        <f t="shared" si="1"/>
      </c>
      <c r="M33" s="15">
        <f t="shared" si="2"/>
      </c>
      <c r="N33" s="573"/>
      <c r="O33" s="756">
        <f t="shared" si="14"/>
      </c>
      <c r="P33" s="757" t="str">
        <f t="shared" si="3"/>
        <v>--</v>
      </c>
      <c r="Q33" s="758" t="str">
        <f t="shared" si="4"/>
        <v>--</v>
      </c>
      <c r="R33" s="759" t="str">
        <f t="shared" si="5"/>
        <v>--</v>
      </c>
      <c r="S33" s="760" t="str">
        <f t="shared" si="6"/>
        <v>--</v>
      </c>
      <c r="T33" s="761" t="str">
        <f t="shared" si="7"/>
        <v>--</v>
      </c>
      <c r="U33" s="762" t="str">
        <f t="shared" si="8"/>
        <v>--</v>
      </c>
      <c r="V33" s="763" t="str">
        <f t="shared" si="9"/>
        <v>--</v>
      </c>
      <c r="W33" s="764" t="str">
        <f t="shared" si="10"/>
        <v>--</v>
      </c>
      <c r="X33" s="765" t="str">
        <f t="shared" si="11"/>
        <v>--</v>
      </c>
      <c r="Y33" s="766" t="str">
        <f t="shared" si="12"/>
        <v>--</v>
      </c>
      <c r="Z33" s="767">
        <f t="shared" si="15"/>
      </c>
      <c r="AA33" s="56">
        <f t="shared" si="13"/>
      </c>
      <c r="AB33" s="3"/>
    </row>
    <row r="34" spans="1:28" ht="16.5" customHeight="1">
      <c r="A34" s="1"/>
      <c r="B34" s="2"/>
      <c r="C34" s="564"/>
      <c r="D34" s="564"/>
      <c r="E34" s="564"/>
      <c r="F34" s="565"/>
      <c r="G34" s="566"/>
      <c r="H34" s="567"/>
      <c r="I34" s="456">
        <f t="shared" si="0"/>
        <v>60.87825</v>
      </c>
      <c r="J34" s="572"/>
      <c r="K34" s="572"/>
      <c r="L34" s="14">
        <f t="shared" si="1"/>
      </c>
      <c r="M34" s="15">
        <f t="shared" si="2"/>
      </c>
      <c r="N34" s="573"/>
      <c r="O34" s="756">
        <f t="shared" si="14"/>
      </c>
      <c r="P34" s="757" t="str">
        <f t="shared" si="3"/>
        <v>--</v>
      </c>
      <c r="Q34" s="758" t="str">
        <f t="shared" si="4"/>
        <v>--</v>
      </c>
      <c r="R34" s="759" t="str">
        <f t="shared" si="5"/>
        <v>--</v>
      </c>
      <c r="S34" s="760" t="str">
        <f t="shared" si="6"/>
        <v>--</v>
      </c>
      <c r="T34" s="761" t="str">
        <f t="shared" si="7"/>
        <v>--</v>
      </c>
      <c r="U34" s="762" t="str">
        <f t="shared" si="8"/>
        <v>--</v>
      </c>
      <c r="V34" s="763" t="str">
        <f t="shared" si="9"/>
        <v>--</v>
      </c>
      <c r="W34" s="764" t="str">
        <f t="shared" si="10"/>
        <v>--</v>
      </c>
      <c r="X34" s="765" t="str">
        <f t="shared" si="11"/>
        <v>--</v>
      </c>
      <c r="Y34" s="766" t="str">
        <f t="shared" si="12"/>
        <v>--</v>
      </c>
      <c r="Z34" s="767">
        <f t="shared" si="15"/>
      </c>
      <c r="AA34" s="56">
        <f t="shared" si="13"/>
      </c>
      <c r="AB34" s="3"/>
    </row>
    <row r="35" spans="2:28" ht="16.5" customHeight="1">
      <c r="B35" s="57"/>
      <c r="C35" s="564"/>
      <c r="D35" s="564"/>
      <c r="E35" s="564"/>
      <c r="F35" s="565"/>
      <c r="G35" s="566"/>
      <c r="H35" s="567"/>
      <c r="I35" s="456">
        <f t="shared" si="0"/>
        <v>60.87825</v>
      </c>
      <c r="J35" s="572"/>
      <c r="K35" s="572"/>
      <c r="L35" s="14">
        <f t="shared" si="1"/>
      </c>
      <c r="M35" s="15">
        <f t="shared" si="2"/>
      </c>
      <c r="N35" s="573"/>
      <c r="O35" s="756">
        <f t="shared" si="14"/>
      </c>
      <c r="P35" s="757" t="str">
        <f t="shared" si="3"/>
        <v>--</v>
      </c>
      <c r="Q35" s="758" t="str">
        <f t="shared" si="4"/>
        <v>--</v>
      </c>
      <c r="R35" s="759" t="str">
        <f t="shared" si="5"/>
        <v>--</v>
      </c>
      <c r="S35" s="760" t="str">
        <f t="shared" si="6"/>
        <v>--</v>
      </c>
      <c r="T35" s="761" t="str">
        <f t="shared" si="7"/>
        <v>--</v>
      </c>
      <c r="U35" s="762" t="str">
        <f t="shared" si="8"/>
        <v>--</v>
      </c>
      <c r="V35" s="763" t="str">
        <f t="shared" si="9"/>
        <v>--</v>
      </c>
      <c r="W35" s="764" t="str">
        <f t="shared" si="10"/>
        <v>--</v>
      </c>
      <c r="X35" s="765" t="str">
        <f t="shared" si="11"/>
        <v>--</v>
      </c>
      <c r="Y35" s="766" t="str">
        <f t="shared" si="12"/>
        <v>--</v>
      </c>
      <c r="Z35" s="767">
        <f t="shared" si="15"/>
      </c>
      <c r="AA35" s="56">
        <f t="shared" si="13"/>
      </c>
      <c r="AB35" s="3"/>
    </row>
    <row r="36" spans="2:28" ht="16.5" customHeight="1">
      <c r="B36" s="57"/>
      <c r="C36" s="564"/>
      <c r="D36" s="564"/>
      <c r="E36" s="564"/>
      <c r="F36" s="565"/>
      <c r="G36" s="566"/>
      <c r="H36" s="567"/>
      <c r="I36" s="456">
        <f>IF(H36&gt;25,H36,25)*IF(G36=330,$G$16,$G$17)/100</f>
        <v>60.87825</v>
      </c>
      <c r="J36" s="572"/>
      <c r="K36" s="572"/>
      <c r="L36" s="14">
        <f>IF(F36="","",(K36-J36)*24)</f>
      </c>
      <c r="M36" s="15">
        <f>IF(F36="","",ROUND((K36-J36)*24*60,0))</f>
      </c>
      <c r="N36" s="573"/>
      <c r="O36" s="756">
        <f>IF(F36="","","--")</f>
      </c>
      <c r="P36" s="757" t="str">
        <f>IF(N36="P",ROUND(M36/60,2)*I36*$L$17*0.01,"--")</f>
        <v>--</v>
      </c>
      <c r="Q36" s="758" t="str">
        <f>IF(N36="RP",ROUND(M36/60,2)*I36*$L$17*0.01*O36/100,"--")</f>
        <v>--</v>
      </c>
      <c r="R36" s="759" t="str">
        <f>IF(N36="F",I36*$L$17,"--")</f>
        <v>--</v>
      </c>
      <c r="S36" s="760" t="str">
        <f>IF(AND(M36&gt;10,N36="F"),I36*$L$17*IF(M36&gt;180,3,ROUND(M36/60,2)),"--")</f>
        <v>--</v>
      </c>
      <c r="T36" s="761" t="str">
        <f>IF(AND(M36&gt;180,N36="F"),(ROUND(M36/60,2)-3)*I36*$L$17*0.1,"--")</f>
        <v>--</v>
      </c>
      <c r="U36" s="762" t="str">
        <f>IF(N36="R",I36*$L$17*O36/100,"--")</f>
        <v>--</v>
      </c>
      <c r="V36" s="763" t="str">
        <f>IF(AND(M36&gt;10,N36="R"),I36*$L$17*O36/100*IF(M36&gt;180,3,ROUND(M36/60,2)),"--")</f>
        <v>--</v>
      </c>
      <c r="W36" s="764" t="str">
        <f>IF(AND(M36&gt;180,N36="R"),(ROUND(M36/60,2)-3)*O36/100*I36*$L$17*0.1,"--")</f>
        <v>--</v>
      </c>
      <c r="X36" s="765" t="str">
        <f>IF(N36="RF",ROUND(M36/60,2)*I36*$L$17*0.1,"--")</f>
        <v>--</v>
      </c>
      <c r="Y36" s="766" t="str">
        <f>IF(N36="RR",ROUND(M36/60,2)*O36/100*I36*$L$17*0.1,"--")</f>
        <v>--</v>
      </c>
      <c r="Z36" s="767">
        <f>IF(F36="","","SI")</f>
      </c>
      <c r="AA36" s="56">
        <f>IF(F36="","",SUM(P36:Y36)*IF(Z36="SI",1,2))</f>
      </c>
      <c r="AB36" s="3"/>
    </row>
    <row r="37" spans="2:28" ht="16.5" customHeight="1">
      <c r="B37" s="57"/>
      <c r="C37" s="564"/>
      <c r="D37" s="564"/>
      <c r="E37" s="564"/>
      <c r="F37" s="565"/>
      <c r="G37" s="566"/>
      <c r="H37" s="567"/>
      <c r="I37" s="456">
        <f>IF(H37&gt;25,H37,25)*IF(G37=330,$G$16,$G$17)/100</f>
        <v>60.87825</v>
      </c>
      <c r="J37" s="572"/>
      <c r="K37" s="572"/>
      <c r="L37" s="14">
        <f>IF(F37="","",(K37-J37)*24)</f>
      </c>
      <c r="M37" s="15">
        <f>IF(F37="","",ROUND((K37-J37)*24*60,0))</f>
      </c>
      <c r="N37" s="573"/>
      <c r="O37" s="756">
        <f>IF(F37="","","--")</f>
      </c>
      <c r="P37" s="757" t="str">
        <f>IF(N37="P",ROUND(M37/60,2)*I37*$L$17*0.01,"--")</f>
        <v>--</v>
      </c>
      <c r="Q37" s="758" t="str">
        <f>IF(N37="RP",ROUND(M37/60,2)*I37*$L$17*0.01*O37/100,"--")</f>
        <v>--</v>
      </c>
      <c r="R37" s="759" t="str">
        <f>IF(N37="F",I37*$L$17,"--")</f>
        <v>--</v>
      </c>
      <c r="S37" s="760" t="str">
        <f>IF(AND(M37&gt;10,N37="F"),I37*$L$17*IF(M37&gt;180,3,ROUND(M37/60,2)),"--")</f>
        <v>--</v>
      </c>
      <c r="T37" s="761" t="str">
        <f>IF(AND(M37&gt;180,N37="F"),(ROUND(M37/60,2)-3)*I37*$L$17*0.1,"--")</f>
        <v>--</v>
      </c>
      <c r="U37" s="762" t="str">
        <f>IF(N37="R",I37*$L$17*O37/100,"--")</f>
        <v>--</v>
      </c>
      <c r="V37" s="763" t="str">
        <f>IF(AND(M37&gt;10,N37="R"),I37*$L$17*O37/100*IF(M37&gt;180,3,ROUND(M37/60,2)),"--")</f>
        <v>--</v>
      </c>
      <c r="W37" s="764" t="str">
        <f>IF(AND(M37&gt;180,N37="R"),(ROUND(M37/60,2)-3)*O37/100*I37*$L$17*0.1,"--")</f>
        <v>--</v>
      </c>
      <c r="X37" s="765" t="str">
        <f>IF(N37="RF",ROUND(M37/60,2)*I37*$L$17*0.1,"--")</f>
        <v>--</v>
      </c>
      <c r="Y37" s="766" t="str">
        <f>IF(N37="RR",ROUND(M37/60,2)*O37/100*I37*$L$17*0.1,"--")</f>
        <v>--</v>
      </c>
      <c r="Z37" s="767">
        <f>IF(F37="","","SI")</f>
      </c>
      <c r="AA37" s="56">
        <f>IF(F37="","",SUM(P37:Y37)*IF(Z37="SI",1,2))</f>
      </c>
      <c r="AB37" s="3"/>
    </row>
    <row r="38" spans="2:28" ht="16.5" customHeight="1">
      <c r="B38" s="57"/>
      <c r="C38" s="564"/>
      <c r="D38" s="564"/>
      <c r="E38" s="564"/>
      <c r="F38" s="565"/>
      <c r="G38" s="566"/>
      <c r="H38" s="567"/>
      <c r="I38" s="456">
        <f>IF(H38&gt;25,H38,25)*IF(G38=330,$G$16,$G$17)/100</f>
        <v>60.87825</v>
      </c>
      <c r="J38" s="572"/>
      <c r="K38" s="572"/>
      <c r="L38" s="14">
        <f>IF(F38="","",(K38-J38)*24)</f>
      </c>
      <c r="M38" s="15">
        <f>IF(F38="","",ROUND((K38-J38)*24*60,0))</f>
      </c>
      <c r="N38" s="573"/>
      <c r="O38" s="756">
        <f>IF(F38="","","--")</f>
      </c>
      <c r="P38" s="757" t="str">
        <f>IF(N38="P",ROUND(M38/60,2)*I38*$L$17*0.01,"--")</f>
        <v>--</v>
      </c>
      <c r="Q38" s="758" t="str">
        <f>IF(N38="RP",ROUND(M38/60,2)*I38*$L$17*0.01*O38/100,"--")</f>
        <v>--</v>
      </c>
      <c r="R38" s="759" t="str">
        <f>IF(N38="F",I38*$L$17,"--")</f>
        <v>--</v>
      </c>
      <c r="S38" s="760" t="str">
        <f>IF(AND(M38&gt;10,N38="F"),I38*$L$17*IF(M38&gt;180,3,ROUND(M38/60,2)),"--")</f>
        <v>--</v>
      </c>
      <c r="T38" s="761" t="str">
        <f>IF(AND(M38&gt;180,N38="F"),(ROUND(M38/60,2)-3)*I38*$L$17*0.1,"--")</f>
        <v>--</v>
      </c>
      <c r="U38" s="762" t="str">
        <f>IF(N38="R",I38*$L$17*O38/100,"--")</f>
        <v>--</v>
      </c>
      <c r="V38" s="763" t="str">
        <f>IF(AND(M38&gt;10,N38="R"),I38*$L$17*O38/100*IF(M38&gt;180,3,ROUND(M38/60,2)),"--")</f>
        <v>--</v>
      </c>
      <c r="W38" s="764" t="str">
        <f>IF(AND(M38&gt;180,N38="R"),(ROUND(M38/60,2)-3)*O38/100*I38*$L$17*0.1,"--")</f>
        <v>--</v>
      </c>
      <c r="X38" s="765" t="str">
        <f>IF(N38="RF",ROUND(M38/60,2)*I38*$L$17*0.1,"--")</f>
        <v>--</v>
      </c>
      <c r="Y38" s="766" t="str">
        <f>IF(N38="RR",ROUND(M38/60,2)*O38/100*I38*$L$17*0.1,"--")</f>
        <v>--</v>
      </c>
      <c r="Z38" s="767">
        <f>IF(F38="","","SI")</f>
      </c>
      <c r="AA38" s="56">
        <f>IF(F38="","",SUM(P38:Y38)*IF(Z38="SI",1,2))</f>
      </c>
      <c r="AB38" s="3"/>
    </row>
    <row r="39" spans="1:28" ht="16.5" customHeight="1" thickBot="1">
      <c r="A39" s="1"/>
      <c r="B39" s="2"/>
      <c r="C39" s="568"/>
      <c r="D39" s="568"/>
      <c r="E39" s="568"/>
      <c r="F39" s="569"/>
      <c r="G39" s="570"/>
      <c r="H39" s="571"/>
      <c r="I39" s="457"/>
      <c r="J39" s="571"/>
      <c r="K39" s="571"/>
      <c r="L39" s="16"/>
      <c r="M39" s="16"/>
      <c r="N39" s="571"/>
      <c r="O39" s="574"/>
      <c r="P39" s="575"/>
      <c r="Q39" s="576"/>
      <c r="R39" s="577"/>
      <c r="S39" s="578"/>
      <c r="T39" s="579"/>
      <c r="U39" s="580"/>
      <c r="V39" s="581"/>
      <c r="W39" s="582"/>
      <c r="X39" s="583"/>
      <c r="Y39" s="584"/>
      <c r="Z39" s="585"/>
      <c r="AA39" s="58"/>
      <c r="AB39" s="3"/>
    </row>
    <row r="40" spans="1:28" ht="16.5" customHeight="1" thickBot="1" thickTop="1">
      <c r="A40" s="1"/>
      <c r="B40" s="2"/>
      <c r="C40" s="273" t="s">
        <v>63</v>
      </c>
      <c r="D40" s="777"/>
      <c r="E40" s="751"/>
      <c r="F40" s="274"/>
      <c r="G40" s="17"/>
      <c r="H40" s="18"/>
      <c r="I40" s="59"/>
      <c r="J40" s="59"/>
      <c r="K40" s="59"/>
      <c r="L40" s="59"/>
      <c r="M40" s="59"/>
      <c r="N40" s="59"/>
      <c r="O40" s="60"/>
      <c r="P40" s="363">
        <f aca="true" t="shared" si="16" ref="P40:Y40">ROUND(SUM(P20:P39),2)</f>
        <v>0</v>
      </c>
      <c r="Q40" s="364">
        <f t="shared" si="16"/>
        <v>0</v>
      </c>
      <c r="R40" s="365">
        <f t="shared" si="16"/>
        <v>73943.77</v>
      </c>
      <c r="S40" s="365">
        <f t="shared" si="16"/>
        <v>96557.57</v>
      </c>
      <c r="T40" s="366">
        <f t="shared" si="16"/>
        <v>4858.9</v>
      </c>
      <c r="U40" s="367">
        <f t="shared" si="16"/>
        <v>0</v>
      </c>
      <c r="V40" s="367">
        <f t="shared" si="16"/>
        <v>0</v>
      </c>
      <c r="W40" s="368">
        <f t="shared" si="16"/>
        <v>0</v>
      </c>
      <c r="X40" s="369">
        <f t="shared" si="16"/>
        <v>0</v>
      </c>
      <c r="Y40" s="370">
        <f t="shared" si="16"/>
        <v>0</v>
      </c>
      <c r="Z40" s="61"/>
      <c r="AA40" s="755">
        <f>ROUND(SUM(AA20:AA39),2)</f>
        <v>175360.24</v>
      </c>
      <c r="AB40" s="62"/>
    </row>
    <row r="41" spans="1:28" s="288" customFormat="1" ht="9.75" thickTop="1">
      <c r="A41" s="277"/>
      <c r="B41" s="278"/>
      <c r="C41" s="275"/>
      <c r="D41" s="275"/>
      <c r="E41" s="275"/>
      <c r="F41" s="276"/>
      <c r="G41" s="279"/>
      <c r="H41" s="280"/>
      <c r="I41" s="281"/>
      <c r="J41" s="281"/>
      <c r="K41" s="281"/>
      <c r="L41" s="281"/>
      <c r="M41" s="281"/>
      <c r="N41" s="281"/>
      <c r="O41" s="282"/>
      <c r="P41" s="283"/>
      <c r="Q41" s="283"/>
      <c r="R41" s="284"/>
      <c r="S41" s="284"/>
      <c r="T41" s="285"/>
      <c r="U41" s="285"/>
      <c r="V41" s="285"/>
      <c r="W41" s="285"/>
      <c r="X41" s="285"/>
      <c r="Y41" s="285"/>
      <c r="Z41" s="285"/>
      <c r="AA41" s="286"/>
      <c r="AB41" s="287"/>
    </row>
    <row r="42" spans="1:28" s="12" customFormat="1" ht="16.5" customHeight="1" thickBot="1">
      <c r="A42" s="10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24" customFormat="1" ht="26.25">
      <c r="AB1" s="469"/>
    </row>
    <row r="2" spans="2:28" s="124" customFormat="1" ht="26.25">
      <c r="B2" s="125" t="str">
        <f>+'TOT-0115'!B2</f>
        <v>ANEXO I al Memorándum  D.T.E.E.  N°   326  / 2016              .-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="12" customFormat="1" ht="12.75"/>
    <row r="4" spans="1:4" s="127" customFormat="1" ht="11.25">
      <c r="A4" s="754" t="s">
        <v>16</v>
      </c>
      <c r="C4" s="753"/>
      <c r="D4" s="753"/>
    </row>
    <row r="5" spans="1:4" s="127" customFormat="1" ht="11.25">
      <c r="A5" s="754" t="s">
        <v>137</v>
      </c>
      <c r="C5" s="753"/>
      <c r="D5" s="753"/>
    </row>
    <row r="6" s="12" customFormat="1" ht="13.5" thickBot="1"/>
    <row r="7" spans="1:28" s="12" customFormat="1" ht="13.5" thickTop="1">
      <c r="A7" s="1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</row>
    <row r="8" spans="1:28" s="129" customFormat="1" ht="20.25">
      <c r="A8" s="46"/>
      <c r="B8" s="128"/>
      <c r="C8" s="46"/>
      <c r="D8" s="46"/>
      <c r="E8" s="46"/>
      <c r="F8" s="22" t="s">
        <v>39</v>
      </c>
      <c r="G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130"/>
    </row>
    <row r="9" spans="1:28" s="12" customFormat="1" ht="12.75">
      <c r="A9" s="10"/>
      <c r="B9" s="45"/>
      <c r="C9" s="10"/>
      <c r="D9" s="10"/>
      <c r="E9" s="10"/>
      <c r="F9" s="141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</row>
    <row r="10" spans="1:28" s="129" customFormat="1" ht="20.25">
      <c r="A10" s="46"/>
      <c r="B10" s="128"/>
      <c r="C10" s="46"/>
      <c r="D10" s="46"/>
      <c r="E10" s="46"/>
      <c r="F10" s="22" t="s">
        <v>134</v>
      </c>
      <c r="G10" s="22"/>
      <c r="H10" s="46"/>
      <c r="I10" s="131"/>
      <c r="J10" s="131"/>
      <c r="K10" s="131"/>
      <c r="L10" s="131"/>
      <c r="M10" s="131"/>
      <c r="N10" s="131"/>
      <c r="O10" s="131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130"/>
    </row>
    <row r="11" spans="1:28" s="12" customFormat="1" ht="12.75">
      <c r="A11" s="10"/>
      <c r="B11" s="45"/>
      <c r="C11" s="10"/>
      <c r="D11" s="10"/>
      <c r="E11" s="10"/>
      <c r="F11" s="140"/>
      <c r="G11" s="138"/>
      <c r="H11" s="10"/>
      <c r="I11" s="137"/>
      <c r="J11" s="137"/>
      <c r="K11" s="137"/>
      <c r="L11" s="137"/>
      <c r="M11" s="137"/>
      <c r="N11" s="137"/>
      <c r="O11" s="13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3"/>
    </row>
    <row r="12" spans="1:28" s="136" customFormat="1" ht="19.5">
      <c r="A12" s="48"/>
      <c r="B12" s="102" t="str">
        <f>+'TOT-0115'!B14</f>
        <v>Desde el 01 al 31 de enero de 2015</v>
      </c>
      <c r="C12" s="132"/>
      <c r="D12" s="132"/>
      <c r="E12" s="132"/>
      <c r="F12" s="132"/>
      <c r="G12" s="133"/>
      <c r="H12" s="133"/>
      <c r="I12" s="134"/>
      <c r="J12" s="134"/>
      <c r="K12" s="134"/>
      <c r="L12" s="134"/>
      <c r="M12" s="134"/>
      <c r="N12" s="134"/>
      <c r="O12" s="134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5"/>
    </row>
    <row r="13" spans="1:28" s="136" customFormat="1" ht="7.5" customHeight="1">
      <c r="A13" s="48"/>
      <c r="B13" s="102"/>
      <c r="C13" s="132"/>
      <c r="D13" s="132"/>
      <c r="E13" s="132"/>
      <c r="F13" s="132"/>
      <c r="G13" s="133"/>
      <c r="H13" s="133"/>
      <c r="I13" s="134"/>
      <c r="J13" s="134"/>
      <c r="K13" s="134"/>
      <c r="L13" s="134"/>
      <c r="M13" s="134"/>
      <c r="N13" s="134"/>
      <c r="O13" s="134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5"/>
    </row>
    <row r="14" spans="1:28" s="12" customFormat="1" ht="7.5" customHeight="1" thickBot="1">
      <c r="A14" s="10"/>
      <c r="B14" s="45"/>
      <c r="C14" s="10"/>
      <c r="D14" s="10"/>
      <c r="E14" s="10"/>
      <c r="F14" s="10"/>
      <c r="G14" s="138"/>
      <c r="H14" s="139"/>
      <c r="I14" s="137"/>
      <c r="J14" s="137"/>
      <c r="K14" s="137"/>
      <c r="L14" s="137"/>
      <c r="M14" s="137"/>
      <c r="N14" s="137"/>
      <c r="O14" s="13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</row>
    <row r="15" spans="1:28" s="110" customFormat="1" ht="16.5" customHeight="1" thickBot="1" thickTop="1">
      <c r="A15" s="106"/>
      <c r="B15" s="107"/>
      <c r="C15" s="106"/>
      <c r="D15" s="106"/>
      <c r="E15" s="106"/>
      <c r="F15" s="560" t="s">
        <v>42</v>
      </c>
      <c r="G15" s="561"/>
      <c r="H15" s="562"/>
      <c r="I15" s="111"/>
      <c r="J15" s="111"/>
      <c r="K15" s="111"/>
      <c r="L15" s="111"/>
      <c r="M15" s="111"/>
      <c r="N15" s="111"/>
      <c r="O15" s="111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9"/>
    </row>
    <row r="16" spans="1:28" s="110" customFormat="1" ht="16.5" customHeight="1" thickBot="1" thickTop="1">
      <c r="A16" s="106"/>
      <c r="B16" s="107"/>
      <c r="C16" s="106"/>
      <c r="D16" s="106"/>
      <c r="E16" s="106"/>
      <c r="F16" s="560" t="s">
        <v>43</v>
      </c>
      <c r="G16" s="561">
        <v>69.722</v>
      </c>
      <c r="H16" s="563"/>
      <c r="I16" s="106"/>
      <c r="K16" s="112" t="s">
        <v>44</v>
      </c>
      <c r="L16" s="113">
        <f>30*'TOT-0115'!B13</f>
        <v>30</v>
      </c>
      <c r="M16" s="270" t="str">
        <f>IF(L16=30," ",IF(L16=60,"Coeficiente duplicado por tasa de falla &gt;4 Sal. x año/100 km.","REVISAR COEFICIENTE"))</f>
        <v> 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9"/>
    </row>
    <row r="17" spans="1:28" s="110" customFormat="1" ht="7.5" customHeight="1" thickTop="1">
      <c r="A17" s="106"/>
      <c r="B17" s="107"/>
      <c r="C17" s="106"/>
      <c r="D17" s="106"/>
      <c r="E17" s="106"/>
      <c r="F17" s="744"/>
      <c r="G17" s="745"/>
      <c r="H17" s="746"/>
      <c r="I17" s="106"/>
      <c r="K17" s="112"/>
      <c r="L17" s="113"/>
      <c r="M17" s="270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9"/>
    </row>
    <row r="18" spans="1:28" s="783" customFormat="1" ht="15" customHeight="1" thickBot="1">
      <c r="A18" s="779"/>
      <c r="B18" s="780"/>
      <c r="C18" s="781">
        <v>3</v>
      </c>
      <c r="D18" s="781">
        <v>4</v>
      </c>
      <c r="E18" s="781">
        <v>5</v>
      </c>
      <c r="F18" s="781">
        <v>6</v>
      </c>
      <c r="G18" s="781">
        <v>7</v>
      </c>
      <c r="H18" s="781">
        <v>8</v>
      </c>
      <c r="I18" s="781">
        <v>9</v>
      </c>
      <c r="J18" s="781">
        <v>10</v>
      </c>
      <c r="K18" s="781">
        <v>11</v>
      </c>
      <c r="L18" s="781">
        <v>12</v>
      </c>
      <c r="M18" s="781">
        <v>13</v>
      </c>
      <c r="N18" s="781">
        <v>14</v>
      </c>
      <c r="O18" s="781">
        <v>15</v>
      </c>
      <c r="P18" s="781">
        <v>16</v>
      </c>
      <c r="Q18" s="781">
        <v>17</v>
      </c>
      <c r="R18" s="781">
        <v>18</v>
      </c>
      <c r="S18" s="781">
        <v>19</v>
      </c>
      <c r="T18" s="781">
        <v>20</v>
      </c>
      <c r="U18" s="781">
        <v>21</v>
      </c>
      <c r="V18" s="781">
        <v>22</v>
      </c>
      <c r="W18" s="781">
        <v>23</v>
      </c>
      <c r="X18" s="781">
        <v>24</v>
      </c>
      <c r="Y18" s="781">
        <v>25</v>
      </c>
      <c r="Z18" s="781">
        <v>26</v>
      </c>
      <c r="AA18" s="781">
        <v>27</v>
      </c>
      <c r="AB18" s="782"/>
    </row>
    <row r="19" spans="1:28" s="123" customFormat="1" ht="33.75" customHeight="1" thickBot="1" thickTop="1">
      <c r="A19" s="114"/>
      <c r="B19" s="115"/>
      <c r="C19" s="116" t="s">
        <v>45</v>
      </c>
      <c r="D19" s="116" t="s">
        <v>136</v>
      </c>
      <c r="E19" s="116" t="s">
        <v>135</v>
      </c>
      <c r="F19" s="117" t="s">
        <v>19</v>
      </c>
      <c r="G19" s="118" t="s">
        <v>46</v>
      </c>
      <c r="H19" s="119" t="s">
        <v>47</v>
      </c>
      <c r="I19" s="300" t="s">
        <v>48</v>
      </c>
      <c r="J19" s="117" t="s">
        <v>49</v>
      </c>
      <c r="K19" s="117" t="s">
        <v>50</v>
      </c>
      <c r="L19" s="118" t="s">
        <v>51</v>
      </c>
      <c r="M19" s="118" t="s">
        <v>52</v>
      </c>
      <c r="N19" s="120" t="s">
        <v>53</v>
      </c>
      <c r="O19" s="118" t="s">
        <v>54</v>
      </c>
      <c r="P19" s="330" t="s">
        <v>55</v>
      </c>
      <c r="Q19" s="333" t="s">
        <v>56</v>
      </c>
      <c r="R19" s="336" t="s">
        <v>57</v>
      </c>
      <c r="S19" s="337"/>
      <c r="T19" s="338"/>
      <c r="U19" s="347" t="s">
        <v>58</v>
      </c>
      <c r="V19" s="348"/>
      <c r="W19" s="349"/>
      <c r="X19" s="357" t="s">
        <v>59</v>
      </c>
      <c r="Y19" s="360" t="s">
        <v>60</v>
      </c>
      <c r="Z19" s="121" t="s">
        <v>61</v>
      </c>
      <c r="AA19" s="121" t="s">
        <v>62</v>
      </c>
      <c r="AB19" s="122"/>
    </row>
    <row r="20" spans="1:28" ht="16.5" customHeight="1" thickTop="1">
      <c r="A20" s="1"/>
      <c r="B20" s="2"/>
      <c r="C20" s="52"/>
      <c r="D20" s="103"/>
      <c r="E20" s="103"/>
      <c r="F20" s="53"/>
      <c r="G20" s="54"/>
      <c r="H20" s="54"/>
      <c r="I20" s="301"/>
      <c r="J20" s="54"/>
      <c r="K20" s="55"/>
      <c r="L20" s="55"/>
      <c r="M20" s="55"/>
      <c r="N20" s="53"/>
      <c r="O20" s="54"/>
      <c r="P20" s="331"/>
      <c r="Q20" s="334"/>
      <c r="R20" s="339"/>
      <c r="S20" s="340"/>
      <c r="T20" s="341"/>
      <c r="U20" s="350"/>
      <c r="V20" s="351"/>
      <c r="W20" s="352"/>
      <c r="X20" s="358"/>
      <c r="Y20" s="361"/>
      <c r="Z20" s="345"/>
      <c r="AA20" s="55"/>
      <c r="AB20" s="3"/>
    </row>
    <row r="21" spans="1:28" ht="16.5" customHeight="1">
      <c r="A21" s="1"/>
      <c r="B21" s="2"/>
      <c r="C21" s="52"/>
      <c r="D21" s="52"/>
      <c r="E21" s="52"/>
      <c r="F21" s="52"/>
      <c r="G21" s="104"/>
      <c r="H21" s="104"/>
      <c r="I21" s="302"/>
      <c r="J21" s="52"/>
      <c r="K21" s="105"/>
      <c r="L21" s="105"/>
      <c r="M21" s="105"/>
      <c r="N21" s="103"/>
      <c r="O21" s="52"/>
      <c r="P21" s="332"/>
      <c r="Q21" s="335"/>
      <c r="R21" s="342"/>
      <c r="S21" s="343"/>
      <c r="T21" s="344"/>
      <c r="U21" s="353"/>
      <c r="V21" s="354"/>
      <c r="W21" s="355"/>
      <c r="X21" s="359"/>
      <c r="Y21" s="362"/>
      <c r="Z21" s="346"/>
      <c r="AA21" s="105"/>
      <c r="AB21" s="3"/>
    </row>
    <row r="22" spans="1:28" ht="16.5" customHeight="1">
      <c r="A22" s="1"/>
      <c r="B22" s="2"/>
      <c r="C22" s="564">
        <v>5</v>
      </c>
      <c r="D22" s="564">
        <v>283796</v>
      </c>
      <c r="E22" s="564">
        <v>1632</v>
      </c>
      <c r="F22" s="565" t="s">
        <v>3</v>
      </c>
      <c r="G22" s="566">
        <v>132</v>
      </c>
      <c r="H22" s="567">
        <v>31</v>
      </c>
      <c r="I22" s="303">
        <f>IF(H22&gt;25,H22,25)*IF(G22=330,$G$15,$G$16)/100</f>
        <v>21.613819999999997</v>
      </c>
      <c r="J22" s="572">
        <v>42018.745833333334</v>
      </c>
      <c r="K22" s="572">
        <v>42018.74722222222</v>
      </c>
      <c r="L22" s="14">
        <f aca="true" t="shared" si="0" ref="L22:L41">IF(F22="","",(K22-J22)*24)</f>
        <v>0.03333333326736465</v>
      </c>
      <c r="M22" s="15">
        <f aca="true" t="shared" si="1" ref="M22:M41">IF(F22="","",ROUND((K22-J22)*24*60,0))</f>
        <v>2</v>
      </c>
      <c r="N22" s="573" t="s">
        <v>145</v>
      </c>
      <c r="O22" s="772" t="s">
        <v>143</v>
      </c>
      <c r="P22" s="757" t="str">
        <f aca="true" t="shared" si="2" ref="P22:P41">IF(N22="P",ROUND(M22/60,2)*I22*$L$16*0.01,"--")</f>
        <v>--</v>
      </c>
      <c r="Q22" s="758" t="str">
        <f>IF(N22="RP",ROUND(M22/60,2)*I22*$L$16*0.01*O22/100,"--")</f>
        <v>--</v>
      </c>
      <c r="R22" s="759">
        <f aca="true" t="shared" si="3" ref="R22:R41">IF(N22="F",I22*$L$16,"--")</f>
        <v>648.4146</v>
      </c>
      <c r="S22" s="760" t="str">
        <f aca="true" t="shared" si="4" ref="S22:S41">IF(AND(M22&gt;10,N22="F"),I22*$L$16*IF(M22&gt;180,3,ROUND(M22/60,2)),"--")</f>
        <v>--</v>
      </c>
      <c r="T22" s="761" t="str">
        <f aca="true" t="shared" si="5" ref="T22:T41">IF(AND(M22&gt;180,N22="F"),(ROUND(M22/60,2)-3)*I22*$L$16*0.1,"--")</f>
        <v>--</v>
      </c>
      <c r="U22" s="762" t="str">
        <f aca="true" t="shared" si="6" ref="U22:U41">IF(N22="R",I22*$L$16*O22/100,"--")</f>
        <v>--</v>
      </c>
      <c r="V22" s="763" t="str">
        <f aca="true" t="shared" si="7" ref="V22:V41">IF(AND(M22&gt;10,N22="R"),I22*$L$16*O22/100*IF(M22&gt;180,3,ROUND(M22/60,2)),"--")</f>
        <v>--</v>
      </c>
      <c r="W22" s="764" t="str">
        <f aca="true" t="shared" si="8" ref="W22:W41">IF(AND(M22&gt;180,N22="R"),(ROUND(M22/60,2)-3)*O22/100*I22*$L$16*0.1,"--")</f>
        <v>--</v>
      </c>
      <c r="X22" s="765" t="str">
        <f aca="true" t="shared" si="9" ref="X22:X41">IF(N22="RF",ROUND(M22/60,2)*I22*$L$16*0.1,"--")</f>
        <v>--</v>
      </c>
      <c r="Y22" s="766" t="str">
        <f aca="true" t="shared" si="10" ref="Y22:Y41">IF(N22="RR",ROUND(M22/60,2)*O22/100*I22*$L$16*0.1,"--")</f>
        <v>--</v>
      </c>
      <c r="Z22" s="767" t="s">
        <v>142</v>
      </c>
      <c r="AA22" s="56">
        <f aca="true" t="shared" si="11" ref="AA22:AA41">IF(F22="","",SUM(P22:Y22)*IF(Z22="SI",1,2))</f>
        <v>648.4146</v>
      </c>
      <c r="AB22" s="3"/>
    </row>
    <row r="23" spans="1:28" ht="16.5" customHeight="1">
      <c r="A23" s="1"/>
      <c r="B23" s="2"/>
      <c r="C23" s="564">
        <v>6</v>
      </c>
      <c r="D23" s="564">
        <v>283799</v>
      </c>
      <c r="E23" s="564">
        <v>1632</v>
      </c>
      <c r="F23" s="565" t="s">
        <v>3</v>
      </c>
      <c r="G23" s="566">
        <v>132</v>
      </c>
      <c r="H23" s="567">
        <v>31</v>
      </c>
      <c r="I23" s="303">
        <f aca="true" t="shared" si="12" ref="I23:I38">IF(H23&gt;25,H23,25)*IF(G23=330,$G$15,$G$16)/100</f>
        <v>21.613819999999997</v>
      </c>
      <c r="J23" s="572">
        <v>42019.60902777778</v>
      </c>
      <c r="K23" s="572">
        <v>42019.61666666667</v>
      </c>
      <c r="L23" s="14">
        <f t="shared" si="0"/>
        <v>0.18333333340706304</v>
      </c>
      <c r="M23" s="15">
        <f t="shared" si="1"/>
        <v>11</v>
      </c>
      <c r="N23" s="573" t="s">
        <v>145</v>
      </c>
      <c r="O23" s="772" t="s">
        <v>143</v>
      </c>
      <c r="P23" s="757" t="str">
        <f t="shared" si="2"/>
        <v>--</v>
      </c>
      <c r="Q23" s="758" t="str">
        <f aca="true" t="shared" si="13" ref="Q23:Q38">IF(N23="RP",ROUND(M23/60,2)*I23*$L$16*0.01*O23/100,"--")</f>
        <v>--</v>
      </c>
      <c r="R23" s="759">
        <f t="shared" si="3"/>
        <v>648.4146</v>
      </c>
      <c r="S23" s="760">
        <f t="shared" si="4"/>
        <v>116.71462799999999</v>
      </c>
      <c r="T23" s="761" t="str">
        <f t="shared" si="5"/>
        <v>--</v>
      </c>
      <c r="U23" s="762" t="str">
        <f t="shared" si="6"/>
        <v>--</v>
      </c>
      <c r="V23" s="763" t="str">
        <f t="shared" si="7"/>
        <v>--</v>
      </c>
      <c r="W23" s="764" t="str">
        <f t="shared" si="8"/>
        <v>--</v>
      </c>
      <c r="X23" s="765" t="str">
        <f t="shared" si="9"/>
        <v>--</v>
      </c>
      <c r="Y23" s="766" t="str">
        <f t="shared" si="10"/>
        <v>--</v>
      </c>
      <c r="Z23" s="767" t="s">
        <v>142</v>
      </c>
      <c r="AA23" s="56">
        <f t="shared" si="11"/>
        <v>765.1292279999999</v>
      </c>
      <c r="AB23" s="3"/>
    </row>
    <row r="24" spans="1:28" ht="16.5" customHeight="1">
      <c r="A24" s="1"/>
      <c r="B24" s="2"/>
      <c r="C24" s="564">
        <v>7</v>
      </c>
      <c r="D24" s="564">
        <v>283802</v>
      </c>
      <c r="E24" s="564">
        <v>1632</v>
      </c>
      <c r="F24" s="565" t="s">
        <v>3</v>
      </c>
      <c r="G24" s="566">
        <v>132</v>
      </c>
      <c r="H24" s="567">
        <v>31</v>
      </c>
      <c r="I24" s="303">
        <f t="shared" si="12"/>
        <v>21.613819999999997</v>
      </c>
      <c r="J24" s="572">
        <v>42019.65069444444</v>
      </c>
      <c r="K24" s="572">
        <v>42019.76527777778</v>
      </c>
      <c r="L24" s="14">
        <f t="shared" si="0"/>
        <v>2.7500000000582077</v>
      </c>
      <c r="M24" s="15">
        <f t="shared" si="1"/>
        <v>165</v>
      </c>
      <c r="N24" s="573" t="s">
        <v>145</v>
      </c>
      <c r="O24" s="772" t="s">
        <v>143</v>
      </c>
      <c r="P24" s="757" t="str">
        <f t="shared" si="2"/>
        <v>--</v>
      </c>
      <c r="Q24" s="758" t="str">
        <f t="shared" si="13"/>
        <v>--</v>
      </c>
      <c r="R24" s="759">
        <f t="shared" si="3"/>
        <v>648.4146</v>
      </c>
      <c r="S24" s="760">
        <f t="shared" si="4"/>
        <v>1783.14015</v>
      </c>
      <c r="T24" s="761" t="str">
        <f t="shared" si="5"/>
        <v>--</v>
      </c>
      <c r="U24" s="762" t="str">
        <f t="shared" si="6"/>
        <v>--</v>
      </c>
      <c r="V24" s="763" t="str">
        <f t="shared" si="7"/>
        <v>--</v>
      </c>
      <c r="W24" s="764" t="str">
        <f t="shared" si="8"/>
        <v>--</v>
      </c>
      <c r="X24" s="765" t="str">
        <f t="shared" si="9"/>
        <v>--</v>
      </c>
      <c r="Y24" s="766" t="str">
        <f t="shared" si="10"/>
        <v>--</v>
      </c>
      <c r="Z24" s="767" t="s">
        <v>142</v>
      </c>
      <c r="AA24" s="56">
        <f t="shared" si="11"/>
        <v>2431.55475</v>
      </c>
      <c r="AB24" s="3"/>
    </row>
    <row r="25" spans="1:28" ht="16.5" customHeight="1">
      <c r="A25" s="1"/>
      <c r="B25" s="2"/>
      <c r="C25" s="564">
        <v>8</v>
      </c>
      <c r="D25" s="564">
        <v>283805</v>
      </c>
      <c r="E25" s="564">
        <v>1632</v>
      </c>
      <c r="F25" s="565" t="s">
        <v>3</v>
      </c>
      <c r="G25" s="566">
        <v>132</v>
      </c>
      <c r="H25" s="567">
        <v>31</v>
      </c>
      <c r="I25" s="303">
        <f t="shared" si="12"/>
        <v>21.613819999999997</v>
      </c>
      <c r="J25" s="572">
        <v>42019.82361111111</v>
      </c>
      <c r="K25" s="572">
        <v>42020.521527777775</v>
      </c>
      <c r="L25" s="14">
        <f t="shared" si="0"/>
        <v>16.749999999941792</v>
      </c>
      <c r="M25" s="15">
        <f t="shared" si="1"/>
        <v>1005</v>
      </c>
      <c r="N25" s="573" t="s">
        <v>145</v>
      </c>
      <c r="O25" s="772" t="s">
        <v>143</v>
      </c>
      <c r="P25" s="757" t="str">
        <f t="shared" si="2"/>
        <v>--</v>
      </c>
      <c r="Q25" s="758" t="str">
        <f t="shared" si="13"/>
        <v>--</v>
      </c>
      <c r="R25" s="759">
        <f t="shared" si="3"/>
        <v>648.4146</v>
      </c>
      <c r="S25" s="760">
        <f t="shared" si="4"/>
        <v>1945.2437999999997</v>
      </c>
      <c r="T25" s="761">
        <f t="shared" si="5"/>
        <v>891.5700749999999</v>
      </c>
      <c r="U25" s="762" t="str">
        <f t="shared" si="6"/>
        <v>--</v>
      </c>
      <c r="V25" s="763" t="str">
        <f t="shared" si="7"/>
        <v>--</v>
      </c>
      <c r="W25" s="764" t="str">
        <f t="shared" si="8"/>
        <v>--</v>
      </c>
      <c r="X25" s="765" t="str">
        <f t="shared" si="9"/>
        <v>--</v>
      </c>
      <c r="Y25" s="766" t="str">
        <f t="shared" si="10"/>
        <v>--</v>
      </c>
      <c r="Z25" s="767" t="s">
        <v>142</v>
      </c>
      <c r="AA25" s="56">
        <f t="shared" si="11"/>
        <v>3485.228475</v>
      </c>
      <c r="AB25" s="3"/>
    </row>
    <row r="26" spans="1:28" ht="16.5" customHeight="1">
      <c r="A26" s="1"/>
      <c r="B26" s="2"/>
      <c r="C26" s="564">
        <v>9</v>
      </c>
      <c r="D26" s="564">
        <v>284143</v>
      </c>
      <c r="E26" s="564">
        <v>1634</v>
      </c>
      <c r="F26" s="565" t="s">
        <v>149</v>
      </c>
      <c r="G26" s="566">
        <v>132</v>
      </c>
      <c r="H26" s="567">
        <v>23</v>
      </c>
      <c r="I26" s="303">
        <f t="shared" si="12"/>
        <v>17.4305</v>
      </c>
      <c r="J26" s="572">
        <v>42026.697222222225</v>
      </c>
      <c r="K26" s="572">
        <v>42026.72986111111</v>
      </c>
      <c r="L26" s="14">
        <f t="shared" si="0"/>
        <v>0.7833333332673647</v>
      </c>
      <c r="M26" s="15">
        <f t="shared" si="1"/>
        <v>47</v>
      </c>
      <c r="N26" s="573" t="s">
        <v>145</v>
      </c>
      <c r="O26" s="772" t="s">
        <v>143</v>
      </c>
      <c r="P26" s="757" t="str">
        <f t="shared" si="2"/>
        <v>--</v>
      </c>
      <c r="Q26" s="758" t="str">
        <f t="shared" si="13"/>
        <v>--</v>
      </c>
      <c r="R26" s="759">
        <f t="shared" si="3"/>
        <v>522.915</v>
      </c>
      <c r="S26" s="760">
        <f t="shared" si="4"/>
        <v>407.8737</v>
      </c>
      <c r="T26" s="761" t="str">
        <f t="shared" si="5"/>
        <v>--</v>
      </c>
      <c r="U26" s="762" t="str">
        <f t="shared" si="6"/>
        <v>--</v>
      </c>
      <c r="V26" s="763" t="str">
        <f t="shared" si="7"/>
        <v>--</v>
      </c>
      <c r="W26" s="764" t="str">
        <f t="shared" si="8"/>
        <v>--</v>
      </c>
      <c r="X26" s="765" t="str">
        <f t="shared" si="9"/>
        <v>--</v>
      </c>
      <c r="Y26" s="766" t="str">
        <f t="shared" si="10"/>
        <v>--</v>
      </c>
      <c r="Z26" s="767" t="s">
        <v>142</v>
      </c>
      <c r="AA26" s="56">
        <f t="shared" si="11"/>
        <v>930.7887</v>
      </c>
      <c r="AB26" s="3"/>
    </row>
    <row r="27" spans="1:28" ht="16.5" customHeight="1">
      <c r="A27" s="1"/>
      <c r="B27" s="2"/>
      <c r="C27" s="564">
        <v>10</v>
      </c>
      <c r="D27" s="564">
        <v>284144</v>
      </c>
      <c r="E27" s="564">
        <v>1635</v>
      </c>
      <c r="F27" s="565" t="s">
        <v>150</v>
      </c>
      <c r="G27" s="566">
        <v>132</v>
      </c>
      <c r="H27" s="567">
        <v>162.60000610351562</v>
      </c>
      <c r="I27" s="303">
        <f t="shared" si="12"/>
        <v>113.36797625549316</v>
      </c>
      <c r="J27" s="572">
        <v>42026.697222222225</v>
      </c>
      <c r="K27" s="572">
        <v>42026.72986111111</v>
      </c>
      <c r="L27" s="14">
        <f t="shared" si="0"/>
        <v>0.7833333332673647</v>
      </c>
      <c r="M27" s="15">
        <f t="shared" si="1"/>
        <v>47</v>
      </c>
      <c r="N27" s="573" t="s">
        <v>145</v>
      </c>
      <c r="O27" s="772" t="s">
        <v>143</v>
      </c>
      <c r="P27" s="757" t="str">
        <f t="shared" si="2"/>
        <v>--</v>
      </c>
      <c r="Q27" s="758" t="str">
        <f t="shared" si="13"/>
        <v>--</v>
      </c>
      <c r="R27" s="759">
        <f t="shared" si="3"/>
        <v>3401.0392876647948</v>
      </c>
      <c r="S27" s="760">
        <f t="shared" si="4"/>
        <v>2652.81064437854</v>
      </c>
      <c r="T27" s="761" t="str">
        <f t="shared" si="5"/>
        <v>--</v>
      </c>
      <c r="U27" s="762" t="str">
        <f t="shared" si="6"/>
        <v>--</v>
      </c>
      <c r="V27" s="763" t="str">
        <f t="shared" si="7"/>
        <v>--</v>
      </c>
      <c r="W27" s="764" t="str">
        <f t="shared" si="8"/>
        <v>--</v>
      </c>
      <c r="X27" s="765" t="str">
        <f t="shared" si="9"/>
        <v>--</v>
      </c>
      <c r="Y27" s="766" t="str">
        <f t="shared" si="10"/>
        <v>--</v>
      </c>
      <c r="Z27" s="767" t="s">
        <v>142</v>
      </c>
      <c r="AA27" s="56">
        <f t="shared" si="11"/>
        <v>6053.849932043335</v>
      </c>
      <c r="AB27" s="3"/>
    </row>
    <row r="28" spans="1:28" ht="16.5" customHeight="1">
      <c r="A28" s="1"/>
      <c r="B28" s="2"/>
      <c r="C28" s="564"/>
      <c r="D28" s="564"/>
      <c r="E28" s="564"/>
      <c r="F28" s="565"/>
      <c r="G28" s="566"/>
      <c r="H28" s="567"/>
      <c r="I28" s="303">
        <f t="shared" si="12"/>
        <v>17.4305</v>
      </c>
      <c r="J28" s="572"/>
      <c r="K28" s="572"/>
      <c r="L28" s="14">
        <f t="shared" si="0"/>
      </c>
      <c r="M28" s="15">
        <f t="shared" si="1"/>
      </c>
      <c r="N28" s="573"/>
      <c r="O28" s="756">
        <f aca="true" t="shared" si="14" ref="O28:O41">IF(F28="","","--")</f>
      </c>
      <c r="P28" s="757" t="str">
        <f t="shared" si="2"/>
        <v>--</v>
      </c>
      <c r="Q28" s="758" t="str">
        <f t="shared" si="13"/>
        <v>--</v>
      </c>
      <c r="R28" s="759" t="str">
        <f t="shared" si="3"/>
        <v>--</v>
      </c>
      <c r="S28" s="760" t="str">
        <f t="shared" si="4"/>
        <v>--</v>
      </c>
      <c r="T28" s="761" t="str">
        <f t="shared" si="5"/>
        <v>--</v>
      </c>
      <c r="U28" s="762" t="str">
        <f t="shared" si="6"/>
        <v>--</v>
      </c>
      <c r="V28" s="763" t="str">
        <f t="shared" si="7"/>
        <v>--</v>
      </c>
      <c r="W28" s="764" t="str">
        <f t="shared" si="8"/>
        <v>--</v>
      </c>
      <c r="X28" s="765" t="str">
        <f t="shared" si="9"/>
        <v>--</v>
      </c>
      <c r="Y28" s="766" t="str">
        <f t="shared" si="10"/>
        <v>--</v>
      </c>
      <c r="Z28" s="767">
        <f aca="true" t="shared" si="15" ref="Z28:Z41">IF(F28="","","SI")</f>
      </c>
      <c r="AA28" s="56">
        <f t="shared" si="11"/>
      </c>
      <c r="AB28" s="3"/>
    </row>
    <row r="29" spans="1:28" ht="16.5" customHeight="1">
      <c r="A29" s="1"/>
      <c r="B29" s="2"/>
      <c r="C29" s="564"/>
      <c r="D29" s="564"/>
      <c r="E29" s="564"/>
      <c r="F29" s="565"/>
      <c r="G29" s="566"/>
      <c r="H29" s="567"/>
      <c r="I29" s="303">
        <f t="shared" si="12"/>
        <v>17.4305</v>
      </c>
      <c r="J29" s="572"/>
      <c r="K29" s="572"/>
      <c r="L29" s="14">
        <f t="shared" si="0"/>
      </c>
      <c r="M29" s="15">
        <f t="shared" si="1"/>
      </c>
      <c r="N29" s="573"/>
      <c r="O29" s="756">
        <f t="shared" si="14"/>
      </c>
      <c r="P29" s="757" t="str">
        <f t="shared" si="2"/>
        <v>--</v>
      </c>
      <c r="Q29" s="758" t="str">
        <f t="shared" si="13"/>
        <v>--</v>
      </c>
      <c r="R29" s="759" t="str">
        <f t="shared" si="3"/>
        <v>--</v>
      </c>
      <c r="S29" s="760" t="str">
        <f t="shared" si="4"/>
        <v>--</v>
      </c>
      <c r="T29" s="761" t="str">
        <f t="shared" si="5"/>
        <v>--</v>
      </c>
      <c r="U29" s="762" t="str">
        <f t="shared" si="6"/>
        <v>--</v>
      </c>
      <c r="V29" s="763" t="str">
        <f t="shared" si="7"/>
        <v>--</v>
      </c>
      <c r="W29" s="764" t="str">
        <f t="shared" si="8"/>
        <v>--</v>
      </c>
      <c r="X29" s="765" t="str">
        <f t="shared" si="9"/>
        <v>--</v>
      </c>
      <c r="Y29" s="766" t="str">
        <f t="shared" si="10"/>
        <v>--</v>
      </c>
      <c r="Z29" s="767">
        <f t="shared" si="15"/>
      </c>
      <c r="AA29" s="56">
        <f t="shared" si="11"/>
      </c>
      <c r="AB29" s="3"/>
    </row>
    <row r="30" spans="1:28" ht="16.5" customHeight="1">
      <c r="A30" s="1"/>
      <c r="B30" s="2"/>
      <c r="C30" s="564"/>
      <c r="D30" s="564"/>
      <c r="E30" s="564"/>
      <c r="F30" s="565"/>
      <c r="G30" s="566"/>
      <c r="H30" s="567"/>
      <c r="I30" s="303">
        <f t="shared" si="12"/>
        <v>17.4305</v>
      </c>
      <c r="J30" s="572"/>
      <c r="K30" s="572"/>
      <c r="L30" s="14">
        <f t="shared" si="0"/>
      </c>
      <c r="M30" s="15">
        <f t="shared" si="1"/>
      </c>
      <c r="N30" s="573"/>
      <c r="O30" s="756">
        <f t="shared" si="14"/>
      </c>
      <c r="P30" s="757" t="str">
        <f t="shared" si="2"/>
        <v>--</v>
      </c>
      <c r="Q30" s="758" t="str">
        <f t="shared" si="13"/>
        <v>--</v>
      </c>
      <c r="R30" s="759" t="str">
        <f t="shared" si="3"/>
        <v>--</v>
      </c>
      <c r="S30" s="760" t="str">
        <f t="shared" si="4"/>
        <v>--</v>
      </c>
      <c r="T30" s="761" t="str">
        <f t="shared" si="5"/>
        <v>--</v>
      </c>
      <c r="U30" s="762" t="str">
        <f t="shared" si="6"/>
        <v>--</v>
      </c>
      <c r="V30" s="763" t="str">
        <f t="shared" si="7"/>
        <v>--</v>
      </c>
      <c r="W30" s="764" t="str">
        <f t="shared" si="8"/>
        <v>--</v>
      </c>
      <c r="X30" s="765" t="str">
        <f t="shared" si="9"/>
        <v>--</v>
      </c>
      <c r="Y30" s="766" t="str">
        <f t="shared" si="10"/>
        <v>--</v>
      </c>
      <c r="Z30" s="767">
        <f t="shared" si="15"/>
      </c>
      <c r="AA30" s="56">
        <f t="shared" si="11"/>
      </c>
      <c r="AB30" s="3"/>
    </row>
    <row r="31" spans="1:28" ht="16.5" customHeight="1">
      <c r="A31" s="1"/>
      <c r="B31" s="2"/>
      <c r="C31" s="564"/>
      <c r="D31" s="564"/>
      <c r="E31" s="564"/>
      <c r="F31" s="565"/>
      <c r="G31" s="566"/>
      <c r="H31" s="567"/>
      <c r="I31" s="303">
        <f t="shared" si="12"/>
        <v>17.4305</v>
      </c>
      <c r="J31" s="572"/>
      <c r="K31" s="572"/>
      <c r="L31" s="14">
        <f t="shared" si="0"/>
      </c>
      <c r="M31" s="15">
        <f t="shared" si="1"/>
      </c>
      <c r="N31" s="573"/>
      <c r="O31" s="756">
        <f t="shared" si="14"/>
      </c>
      <c r="P31" s="757" t="str">
        <f t="shared" si="2"/>
        <v>--</v>
      </c>
      <c r="Q31" s="758" t="str">
        <f t="shared" si="13"/>
        <v>--</v>
      </c>
      <c r="R31" s="759" t="str">
        <f t="shared" si="3"/>
        <v>--</v>
      </c>
      <c r="S31" s="760" t="str">
        <f t="shared" si="4"/>
        <v>--</v>
      </c>
      <c r="T31" s="761" t="str">
        <f t="shared" si="5"/>
        <v>--</v>
      </c>
      <c r="U31" s="762" t="str">
        <f t="shared" si="6"/>
        <v>--</v>
      </c>
      <c r="V31" s="763" t="str">
        <f t="shared" si="7"/>
        <v>--</v>
      </c>
      <c r="W31" s="764" t="str">
        <f t="shared" si="8"/>
        <v>--</v>
      </c>
      <c r="X31" s="765" t="str">
        <f t="shared" si="9"/>
        <v>--</v>
      </c>
      <c r="Y31" s="766" t="str">
        <f t="shared" si="10"/>
        <v>--</v>
      </c>
      <c r="Z31" s="767">
        <f t="shared" si="15"/>
      </c>
      <c r="AA31" s="56">
        <f t="shared" si="11"/>
      </c>
      <c r="AB31" s="3"/>
    </row>
    <row r="32" spans="1:28" ht="16.5" customHeight="1">
      <c r="A32" s="1"/>
      <c r="B32" s="2"/>
      <c r="C32" s="564"/>
      <c r="D32" s="564"/>
      <c r="E32" s="564"/>
      <c r="F32" s="565"/>
      <c r="G32" s="566"/>
      <c r="H32" s="567"/>
      <c r="I32" s="303">
        <f t="shared" si="12"/>
        <v>17.4305</v>
      </c>
      <c r="J32" s="572"/>
      <c r="K32" s="572"/>
      <c r="L32" s="14">
        <f t="shared" si="0"/>
      </c>
      <c r="M32" s="15">
        <f t="shared" si="1"/>
      </c>
      <c r="N32" s="573"/>
      <c r="O32" s="756">
        <f t="shared" si="14"/>
      </c>
      <c r="P32" s="757" t="str">
        <f t="shared" si="2"/>
        <v>--</v>
      </c>
      <c r="Q32" s="758" t="str">
        <f t="shared" si="13"/>
        <v>--</v>
      </c>
      <c r="R32" s="759" t="str">
        <f t="shared" si="3"/>
        <v>--</v>
      </c>
      <c r="S32" s="760" t="str">
        <f t="shared" si="4"/>
        <v>--</v>
      </c>
      <c r="T32" s="761" t="str">
        <f t="shared" si="5"/>
        <v>--</v>
      </c>
      <c r="U32" s="762" t="str">
        <f t="shared" si="6"/>
        <v>--</v>
      </c>
      <c r="V32" s="763" t="str">
        <f t="shared" si="7"/>
        <v>--</v>
      </c>
      <c r="W32" s="764" t="str">
        <f t="shared" si="8"/>
        <v>--</v>
      </c>
      <c r="X32" s="765" t="str">
        <f t="shared" si="9"/>
        <v>--</v>
      </c>
      <c r="Y32" s="766" t="str">
        <f t="shared" si="10"/>
        <v>--</v>
      </c>
      <c r="Z32" s="767">
        <f t="shared" si="15"/>
      </c>
      <c r="AA32" s="56">
        <f t="shared" si="11"/>
      </c>
      <c r="AB32" s="3"/>
    </row>
    <row r="33" spans="1:28" ht="16.5" customHeight="1">
      <c r="A33" s="1"/>
      <c r="B33" s="2"/>
      <c r="C33" s="564"/>
      <c r="D33" s="564"/>
      <c r="E33" s="564"/>
      <c r="F33" s="565"/>
      <c r="G33" s="566"/>
      <c r="H33" s="567"/>
      <c r="I33" s="303">
        <f t="shared" si="12"/>
        <v>17.4305</v>
      </c>
      <c r="J33" s="572"/>
      <c r="K33" s="572"/>
      <c r="L33" s="14">
        <f t="shared" si="0"/>
      </c>
      <c r="M33" s="15">
        <f t="shared" si="1"/>
      </c>
      <c r="N33" s="573"/>
      <c r="O33" s="756">
        <f t="shared" si="14"/>
      </c>
      <c r="P33" s="757" t="str">
        <f t="shared" si="2"/>
        <v>--</v>
      </c>
      <c r="Q33" s="758" t="str">
        <f t="shared" si="13"/>
        <v>--</v>
      </c>
      <c r="R33" s="759" t="str">
        <f t="shared" si="3"/>
        <v>--</v>
      </c>
      <c r="S33" s="760" t="str">
        <f t="shared" si="4"/>
        <v>--</v>
      </c>
      <c r="T33" s="761" t="str">
        <f t="shared" si="5"/>
        <v>--</v>
      </c>
      <c r="U33" s="762" t="str">
        <f t="shared" si="6"/>
        <v>--</v>
      </c>
      <c r="V33" s="763" t="str">
        <f t="shared" si="7"/>
        <v>--</v>
      </c>
      <c r="W33" s="764" t="str">
        <f t="shared" si="8"/>
        <v>--</v>
      </c>
      <c r="X33" s="765" t="str">
        <f t="shared" si="9"/>
        <v>--</v>
      </c>
      <c r="Y33" s="766" t="str">
        <f t="shared" si="10"/>
        <v>--</v>
      </c>
      <c r="Z33" s="767">
        <f t="shared" si="15"/>
      </c>
      <c r="AA33" s="56">
        <f t="shared" si="11"/>
      </c>
      <c r="AB33" s="3"/>
    </row>
    <row r="34" spans="1:28" ht="16.5" customHeight="1">
      <c r="A34" s="1"/>
      <c r="B34" s="2"/>
      <c r="C34" s="564"/>
      <c r="D34" s="564"/>
      <c r="E34" s="564"/>
      <c r="F34" s="565"/>
      <c r="G34" s="566"/>
      <c r="H34" s="567"/>
      <c r="I34" s="303">
        <f t="shared" si="12"/>
        <v>17.4305</v>
      </c>
      <c r="J34" s="572"/>
      <c r="K34" s="572"/>
      <c r="L34" s="14">
        <f t="shared" si="0"/>
      </c>
      <c r="M34" s="15">
        <f t="shared" si="1"/>
      </c>
      <c r="N34" s="573"/>
      <c r="O34" s="756">
        <f t="shared" si="14"/>
      </c>
      <c r="P34" s="757" t="str">
        <f t="shared" si="2"/>
        <v>--</v>
      </c>
      <c r="Q34" s="758" t="str">
        <f t="shared" si="13"/>
        <v>--</v>
      </c>
      <c r="R34" s="759" t="str">
        <f t="shared" si="3"/>
        <v>--</v>
      </c>
      <c r="S34" s="760" t="str">
        <f t="shared" si="4"/>
        <v>--</v>
      </c>
      <c r="T34" s="761" t="str">
        <f t="shared" si="5"/>
        <v>--</v>
      </c>
      <c r="U34" s="762" t="str">
        <f t="shared" si="6"/>
        <v>--</v>
      </c>
      <c r="V34" s="763" t="str">
        <f t="shared" si="7"/>
        <v>--</v>
      </c>
      <c r="W34" s="764" t="str">
        <f t="shared" si="8"/>
        <v>--</v>
      </c>
      <c r="X34" s="765" t="str">
        <f t="shared" si="9"/>
        <v>--</v>
      </c>
      <c r="Y34" s="766" t="str">
        <f t="shared" si="10"/>
        <v>--</v>
      </c>
      <c r="Z34" s="767">
        <f t="shared" si="15"/>
      </c>
      <c r="AA34" s="56">
        <f t="shared" si="11"/>
      </c>
      <c r="AB34" s="3"/>
    </row>
    <row r="35" spans="1:28" ht="16.5" customHeight="1">
      <c r="A35" s="1"/>
      <c r="B35" s="2"/>
      <c r="C35" s="564"/>
      <c r="D35" s="564"/>
      <c r="E35" s="564"/>
      <c r="F35" s="565"/>
      <c r="G35" s="566"/>
      <c r="H35" s="567"/>
      <c r="I35" s="303">
        <f t="shared" si="12"/>
        <v>17.4305</v>
      </c>
      <c r="J35" s="572"/>
      <c r="K35" s="572"/>
      <c r="L35" s="14">
        <f t="shared" si="0"/>
      </c>
      <c r="M35" s="15">
        <f t="shared" si="1"/>
      </c>
      <c r="N35" s="573"/>
      <c r="O35" s="756">
        <f t="shared" si="14"/>
      </c>
      <c r="P35" s="757" t="str">
        <f t="shared" si="2"/>
        <v>--</v>
      </c>
      <c r="Q35" s="758" t="str">
        <f t="shared" si="13"/>
        <v>--</v>
      </c>
      <c r="R35" s="759" t="str">
        <f t="shared" si="3"/>
        <v>--</v>
      </c>
      <c r="S35" s="760" t="str">
        <f t="shared" si="4"/>
        <v>--</v>
      </c>
      <c r="T35" s="761" t="str">
        <f t="shared" si="5"/>
        <v>--</v>
      </c>
      <c r="U35" s="762" t="str">
        <f t="shared" si="6"/>
        <v>--</v>
      </c>
      <c r="V35" s="763" t="str">
        <f t="shared" si="7"/>
        <v>--</v>
      </c>
      <c r="W35" s="764" t="str">
        <f t="shared" si="8"/>
        <v>--</v>
      </c>
      <c r="X35" s="765" t="str">
        <f t="shared" si="9"/>
        <v>--</v>
      </c>
      <c r="Y35" s="766" t="str">
        <f t="shared" si="10"/>
        <v>--</v>
      </c>
      <c r="Z35" s="767">
        <f t="shared" si="15"/>
      </c>
      <c r="AA35" s="56">
        <f t="shared" si="11"/>
      </c>
      <c r="AB35" s="3"/>
    </row>
    <row r="36" spans="1:28" ht="16.5" customHeight="1">
      <c r="A36" s="1"/>
      <c r="B36" s="2"/>
      <c r="C36" s="564"/>
      <c r="D36" s="564"/>
      <c r="E36" s="564"/>
      <c r="F36" s="565"/>
      <c r="G36" s="566"/>
      <c r="H36" s="567"/>
      <c r="I36" s="303">
        <f t="shared" si="12"/>
        <v>17.4305</v>
      </c>
      <c r="J36" s="572"/>
      <c r="K36" s="572"/>
      <c r="L36" s="14">
        <f t="shared" si="0"/>
      </c>
      <c r="M36" s="15">
        <f t="shared" si="1"/>
      </c>
      <c r="N36" s="573"/>
      <c r="O36" s="756">
        <f t="shared" si="14"/>
      </c>
      <c r="P36" s="757" t="str">
        <f t="shared" si="2"/>
        <v>--</v>
      </c>
      <c r="Q36" s="758" t="str">
        <f t="shared" si="13"/>
        <v>--</v>
      </c>
      <c r="R36" s="759" t="str">
        <f t="shared" si="3"/>
        <v>--</v>
      </c>
      <c r="S36" s="760" t="str">
        <f t="shared" si="4"/>
        <v>--</v>
      </c>
      <c r="T36" s="761" t="str">
        <f t="shared" si="5"/>
        <v>--</v>
      </c>
      <c r="U36" s="762" t="str">
        <f t="shared" si="6"/>
        <v>--</v>
      </c>
      <c r="V36" s="763" t="str">
        <f t="shared" si="7"/>
        <v>--</v>
      </c>
      <c r="W36" s="764" t="str">
        <f t="shared" si="8"/>
        <v>--</v>
      </c>
      <c r="X36" s="765" t="str">
        <f t="shared" si="9"/>
        <v>--</v>
      </c>
      <c r="Y36" s="766" t="str">
        <f t="shared" si="10"/>
        <v>--</v>
      </c>
      <c r="Z36" s="767">
        <f t="shared" si="15"/>
      </c>
      <c r="AA36" s="56">
        <f t="shared" si="11"/>
      </c>
      <c r="AB36" s="3"/>
    </row>
    <row r="37" spans="1:28" ht="16.5" customHeight="1">
      <c r="A37" s="1"/>
      <c r="B37" s="2"/>
      <c r="C37" s="564"/>
      <c r="D37" s="564"/>
      <c r="E37" s="564"/>
      <c r="F37" s="565"/>
      <c r="G37" s="566"/>
      <c r="H37" s="567"/>
      <c r="I37" s="303">
        <f t="shared" si="12"/>
        <v>17.4305</v>
      </c>
      <c r="J37" s="572"/>
      <c r="K37" s="572"/>
      <c r="L37" s="14">
        <f t="shared" si="0"/>
      </c>
      <c r="M37" s="15">
        <f t="shared" si="1"/>
      </c>
      <c r="N37" s="573"/>
      <c r="O37" s="756">
        <f t="shared" si="14"/>
      </c>
      <c r="P37" s="757" t="str">
        <f t="shared" si="2"/>
        <v>--</v>
      </c>
      <c r="Q37" s="758" t="str">
        <f t="shared" si="13"/>
        <v>--</v>
      </c>
      <c r="R37" s="759" t="str">
        <f t="shared" si="3"/>
        <v>--</v>
      </c>
      <c r="S37" s="760" t="str">
        <f t="shared" si="4"/>
        <v>--</v>
      </c>
      <c r="T37" s="761" t="str">
        <f t="shared" si="5"/>
        <v>--</v>
      </c>
      <c r="U37" s="762" t="str">
        <f t="shared" si="6"/>
        <v>--</v>
      </c>
      <c r="V37" s="763" t="str">
        <f t="shared" si="7"/>
        <v>--</v>
      </c>
      <c r="W37" s="764" t="str">
        <f t="shared" si="8"/>
        <v>--</v>
      </c>
      <c r="X37" s="765" t="str">
        <f t="shared" si="9"/>
        <v>--</v>
      </c>
      <c r="Y37" s="766" t="str">
        <f t="shared" si="10"/>
        <v>--</v>
      </c>
      <c r="Z37" s="767">
        <f t="shared" si="15"/>
      </c>
      <c r="AA37" s="56">
        <f t="shared" si="11"/>
      </c>
      <c r="AB37" s="3"/>
    </row>
    <row r="38" spans="2:28" ht="16.5" customHeight="1">
      <c r="B38" s="57"/>
      <c r="C38" s="564"/>
      <c r="D38" s="564"/>
      <c r="E38" s="564"/>
      <c r="F38" s="565"/>
      <c r="G38" s="566"/>
      <c r="H38" s="567"/>
      <c r="I38" s="303">
        <f t="shared" si="12"/>
        <v>17.4305</v>
      </c>
      <c r="J38" s="572"/>
      <c r="K38" s="572"/>
      <c r="L38" s="14">
        <f t="shared" si="0"/>
      </c>
      <c r="M38" s="15">
        <f t="shared" si="1"/>
      </c>
      <c r="N38" s="573"/>
      <c r="O38" s="756">
        <f t="shared" si="14"/>
      </c>
      <c r="P38" s="757" t="str">
        <f t="shared" si="2"/>
        <v>--</v>
      </c>
      <c r="Q38" s="758" t="str">
        <f t="shared" si="13"/>
        <v>--</v>
      </c>
      <c r="R38" s="759" t="str">
        <f t="shared" si="3"/>
        <v>--</v>
      </c>
      <c r="S38" s="760" t="str">
        <f t="shared" si="4"/>
        <v>--</v>
      </c>
      <c r="T38" s="761" t="str">
        <f t="shared" si="5"/>
        <v>--</v>
      </c>
      <c r="U38" s="762" t="str">
        <f t="shared" si="6"/>
        <v>--</v>
      </c>
      <c r="V38" s="763" t="str">
        <f t="shared" si="7"/>
        <v>--</v>
      </c>
      <c r="W38" s="764" t="str">
        <f t="shared" si="8"/>
        <v>--</v>
      </c>
      <c r="X38" s="765" t="str">
        <f t="shared" si="9"/>
        <v>--</v>
      </c>
      <c r="Y38" s="766" t="str">
        <f t="shared" si="10"/>
        <v>--</v>
      </c>
      <c r="Z38" s="767">
        <f t="shared" si="15"/>
      </c>
      <c r="AA38" s="56">
        <f t="shared" si="11"/>
      </c>
      <c r="AB38" s="3"/>
    </row>
    <row r="39" spans="2:28" ht="16.5" customHeight="1">
      <c r="B39" s="57"/>
      <c r="C39" s="564"/>
      <c r="D39" s="564"/>
      <c r="E39" s="564"/>
      <c r="F39" s="565"/>
      <c r="G39" s="566"/>
      <c r="H39" s="567"/>
      <c r="I39" s="303">
        <f>IF(H39&gt;25,H39,25)*IF(G39=330,$G$15,$G$16)/100</f>
        <v>17.4305</v>
      </c>
      <c r="J39" s="572"/>
      <c r="K39" s="572"/>
      <c r="L39" s="14">
        <f t="shared" si="0"/>
      </c>
      <c r="M39" s="15">
        <f t="shared" si="1"/>
      </c>
      <c r="N39" s="573"/>
      <c r="O39" s="756">
        <f t="shared" si="14"/>
      </c>
      <c r="P39" s="757" t="str">
        <f t="shared" si="2"/>
        <v>--</v>
      </c>
      <c r="Q39" s="758" t="str">
        <f>IF(N39="RP",ROUND(M39/60,2)*I39*$L$16*0.01*O39/100,"--")</f>
        <v>--</v>
      </c>
      <c r="R39" s="759" t="str">
        <f t="shared" si="3"/>
        <v>--</v>
      </c>
      <c r="S39" s="760" t="str">
        <f t="shared" si="4"/>
        <v>--</v>
      </c>
      <c r="T39" s="761" t="str">
        <f t="shared" si="5"/>
        <v>--</v>
      </c>
      <c r="U39" s="762" t="str">
        <f t="shared" si="6"/>
        <v>--</v>
      </c>
      <c r="V39" s="763" t="str">
        <f t="shared" si="7"/>
        <v>--</v>
      </c>
      <c r="W39" s="764" t="str">
        <f t="shared" si="8"/>
        <v>--</v>
      </c>
      <c r="X39" s="765" t="str">
        <f t="shared" si="9"/>
        <v>--</v>
      </c>
      <c r="Y39" s="766" t="str">
        <f t="shared" si="10"/>
        <v>--</v>
      </c>
      <c r="Z39" s="767">
        <f t="shared" si="15"/>
      </c>
      <c r="AA39" s="56">
        <f t="shared" si="11"/>
      </c>
      <c r="AB39" s="3"/>
    </row>
    <row r="40" spans="2:28" ht="16.5" customHeight="1">
      <c r="B40" s="57"/>
      <c r="C40" s="564"/>
      <c r="D40" s="564"/>
      <c r="E40" s="564"/>
      <c r="F40" s="565"/>
      <c r="G40" s="566"/>
      <c r="H40" s="567"/>
      <c r="I40" s="303">
        <f>IF(H40&gt;25,H40,25)*IF(G40=330,$G$15,$G$16)/100</f>
        <v>17.4305</v>
      </c>
      <c r="J40" s="572"/>
      <c r="K40" s="572"/>
      <c r="L40" s="14">
        <f t="shared" si="0"/>
      </c>
      <c r="M40" s="15">
        <f t="shared" si="1"/>
      </c>
      <c r="N40" s="573"/>
      <c r="O40" s="756">
        <f t="shared" si="14"/>
      </c>
      <c r="P40" s="757" t="str">
        <f t="shared" si="2"/>
        <v>--</v>
      </c>
      <c r="Q40" s="758" t="str">
        <f>IF(N40="RP",ROUND(M40/60,2)*I40*$L$16*0.01*O40/100,"--")</f>
        <v>--</v>
      </c>
      <c r="R40" s="759" t="str">
        <f t="shared" si="3"/>
        <v>--</v>
      </c>
      <c r="S40" s="760" t="str">
        <f t="shared" si="4"/>
        <v>--</v>
      </c>
      <c r="T40" s="761" t="str">
        <f t="shared" si="5"/>
        <v>--</v>
      </c>
      <c r="U40" s="762" t="str">
        <f t="shared" si="6"/>
        <v>--</v>
      </c>
      <c r="V40" s="763" t="str">
        <f t="shared" si="7"/>
        <v>--</v>
      </c>
      <c r="W40" s="764" t="str">
        <f t="shared" si="8"/>
        <v>--</v>
      </c>
      <c r="X40" s="765" t="str">
        <f t="shared" si="9"/>
        <v>--</v>
      </c>
      <c r="Y40" s="766" t="str">
        <f t="shared" si="10"/>
        <v>--</v>
      </c>
      <c r="Z40" s="767">
        <f t="shared" si="15"/>
      </c>
      <c r="AA40" s="56">
        <f t="shared" si="11"/>
      </c>
      <c r="AB40" s="3"/>
    </row>
    <row r="41" spans="2:28" ht="16.5" customHeight="1">
      <c r="B41" s="57"/>
      <c r="C41" s="564"/>
      <c r="D41" s="564"/>
      <c r="E41" s="564"/>
      <c r="F41" s="565"/>
      <c r="G41" s="566"/>
      <c r="H41" s="567"/>
      <c r="I41" s="303">
        <f>IF(H41&gt;25,H41,25)*IF(G41=330,$G$15,$G$16)/100</f>
        <v>17.4305</v>
      </c>
      <c r="J41" s="572"/>
      <c r="K41" s="572"/>
      <c r="L41" s="14">
        <f t="shared" si="0"/>
      </c>
      <c r="M41" s="15">
        <f t="shared" si="1"/>
      </c>
      <c r="N41" s="573"/>
      <c r="O41" s="756">
        <f t="shared" si="14"/>
      </c>
      <c r="P41" s="757" t="str">
        <f t="shared" si="2"/>
        <v>--</v>
      </c>
      <c r="Q41" s="758" t="str">
        <f>IF(N41="RP",ROUND(M41/60,2)*I41*$L$16*0.01*O41/100,"--")</f>
        <v>--</v>
      </c>
      <c r="R41" s="759" t="str">
        <f t="shared" si="3"/>
        <v>--</v>
      </c>
      <c r="S41" s="760" t="str">
        <f t="shared" si="4"/>
        <v>--</v>
      </c>
      <c r="T41" s="761" t="str">
        <f t="shared" si="5"/>
        <v>--</v>
      </c>
      <c r="U41" s="762" t="str">
        <f t="shared" si="6"/>
        <v>--</v>
      </c>
      <c r="V41" s="763" t="str">
        <f t="shared" si="7"/>
        <v>--</v>
      </c>
      <c r="W41" s="764" t="str">
        <f t="shared" si="8"/>
        <v>--</v>
      </c>
      <c r="X41" s="765" t="str">
        <f t="shared" si="9"/>
        <v>--</v>
      </c>
      <c r="Y41" s="766" t="str">
        <f t="shared" si="10"/>
        <v>--</v>
      </c>
      <c r="Z41" s="767">
        <f t="shared" si="15"/>
      </c>
      <c r="AA41" s="56">
        <f t="shared" si="11"/>
      </c>
      <c r="AB41" s="3"/>
    </row>
    <row r="42" spans="1:28" ht="16.5" customHeight="1" thickBot="1">
      <c r="A42" s="1"/>
      <c r="B42" s="2"/>
      <c r="C42" s="568"/>
      <c r="D42" s="568"/>
      <c r="E42" s="568"/>
      <c r="F42" s="569"/>
      <c r="G42" s="570"/>
      <c r="H42" s="571"/>
      <c r="I42" s="304"/>
      <c r="J42" s="571"/>
      <c r="K42" s="571"/>
      <c r="L42" s="16"/>
      <c r="M42" s="16"/>
      <c r="N42" s="571"/>
      <c r="O42" s="574"/>
      <c r="P42" s="575"/>
      <c r="Q42" s="576"/>
      <c r="R42" s="577"/>
      <c r="S42" s="578"/>
      <c r="T42" s="579"/>
      <c r="U42" s="580"/>
      <c r="V42" s="581"/>
      <c r="W42" s="582"/>
      <c r="X42" s="583"/>
      <c r="Y42" s="584"/>
      <c r="Z42" s="585"/>
      <c r="AA42" s="58"/>
      <c r="AB42" s="3"/>
    </row>
    <row r="43" spans="1:28" ht="16.5" customHeight="1" thickBot="1" thickTop="1">
      <c r="A43" s="1"/>
      <c r="B43" s="2"/>
      <c r="C43" s="273" t="s">
        <v>63</v>
      </c>
      <c r="D43" s="777"/>
      <c r="E43" s="751"/>
      <c r="F43" s="274"/>
      <c r="G43" s="17"/>
      <c r="H43" s="18"/>
      <c r="I43" s="59"/>
      <c r="J43" s="59"/>
      <c r="K43" s="59"/>
      <c r="L43" s="59"/>
      <c r="M43" s="59"/>
      <c r="N43" s="59"/>
      <c r="O43" s="60"/>
      <c r="P43" s="363">
        <f aca="true" t="shared" si="16" ref="P43:Y43">ROUND(SUM(P20:P42),2)</f>
        <v>0</v>
      </c>
      <c r="Q43" s="364">
        <f t="shared" si="16"/>
        <v>0</v>
      </c>
      <c r="R43" s="365">
        <f t="shared" si="16"/>
        <v>6517.61</v>
      </c>
      <c r="S43" s="365">
        <f t="shared" si="16"/>
        <v>6905.78</v>
      </c>
      <c r="T43" s="366">
        <f t="shared" si="16"/>
        <v>891.57</v>
      </c>
      <c r="U43" s="367">
        <f t="shared" si="16"/>
        <v>0</v>
      </c>
      <c r="V43" s="367">
        <f t="shared" si="16"/>
        <v>0</v>
      </c>
      <c r="W43" s="368">
        <f t="shared" si="16"/>
        <v>0</v>
      </c>
      <c r="X43" s="369">
        <f t="shared" si="16"/>
        <v>0</v>
      </c>
      <c r="Y43" s="370">
        <f t="shared" si="16"/>
        <v>0</v>
      </c>
      <c r="Z43" s="61"/>
      <c r="AA43" s="755">
        <f>ROUND(SUM(AA20:AA42),2)</f>
        <v>14314.97</v>
      </c>
      <c r="AB43" s="62"/>
    </row>
    <row r="44" spans="1:28" s="288" customFormat="1" ht="9.75" thickTop="1">
      <c r="A44" s="277"/>
      <c r="B44" s="278"/>
      <c r="C44" s="275"/>
      <c r="D44" s="275"/>
      <c r="E44" s="275"/>
      <c r="F44" s="276"/>
      <c r="G44" s="279"/>
      <c r="H44" s="280"/>
      <c r="I44" s="281"/>
      <c r="J44" s="281"/>
      <c r="K44" s="281"/>
      <c r="L44" s="281"/>
      <c r="M44" s="281"/>
      <c r="N44" s="281"/>
      <c r="O44" s="282"/>
      <c r="P44" s="283"/>
      <c r="Q44" s="283"/>
      <c r="R44" s="284"/>
      <c r="S44" s="284"/>
      <c r="T44" s="285"/>
      <c r="U44" s="285"/>
      <c r="V44" s="285"/>
      <c r="W44" s="285"/>
      <c r="X44" s="285"/>
      <c r="Y44" s="285"/>
      <c r="Z44" s="285"/>
      <c r="AA44" s="286"/>
      <c r="AB44" s="287"/>
    </row>
    <row r="45" spans="1:28" s="12" customFormat="1" ht="16.5" customHeight="1" thickBot="1">
      <c r="A45" s="10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70" zoomScaleNormal="70" zoomScalePageLayoutView="0" workbookViewId="0" topLeftCell="A1">
      <selection activeCell="P31" sqref="P31"/>
    </sheetView>
  </sheetViews>
  <sheetFormatPr defaultColWidth="11.421875" defaultRowHeight="12.75"/>
  <cols>
    <col min="1" max="2" width="4.140625" style="696" customWidth="1"/>
    <col min="3" max="3" width="5.57421875" style="696" customWidth="1"/>
    <col min="4" max="5" width="13.7109375" style="696" customWidth="1"/>
    <col min="6" max="6" width="29.28125" style="696" customWidth="1"/>
    <col min="7" max="7" width="25.7109375" style="696" customWidth="1"/>
    <col min="8" max="8" width="7.7109375" style="696" customWidth="1"/>
    <col min="9" max="9" width="12.7109375" style="696" customWidth="1"/>
    <col min="10" max="10" width="11.8515625" style="696" hidden="1" customWidth="1"/>
    <col min="11" max="12" width="15.7109375" style="696" customWidth="1"/>
    <col min="13" max="15" width="9.7109375" style="696" customWidth="1"/>
    <col min="16" max="16" width="5.8515625" style="696" customWidth="1"/>
    <col min="17" max="18" width="7.00390625" style="696" customWidth="1"/>
    <col min="19" max="19" width="11.7109375" style="696" hidden="1" customWidth="1"/>
    <col min="20" max="21" width="14.00390625" style="696" hidden="1" customWidth="1"/>
    <col min="22" max="22" width="14.28125" style="696" hidden="1" customWidth="1"/>
    <col min="23" max="27" width="14.140625" style="696" hidden="1" customWidth="1"/>
    <col min="28" max="28" width="9.00390625" style="696" customWidth="1"/>
    <col min="29" max="29" width="15.7109375" style="696" customWidth="1"/>
    <col min="30" max="30" width="4.140625" style="696" customWidth="1"/>
    <col min="31" max="16384" width="11.421875" style="696" customWidth="1"/>
  </cols>
  <sheetData>
    <row r="1" spans="1:30" s="603" customFormat="1" ht="26.25">
      <c r="A1" s="124"/>
      <c r="B1" s="124"/>
      <c r="C1" s="124"/>
      <c r="D1" s="124"/>
      <c r="E1" s="124"/>
      <c r="F1" s="124"/>
      <c r="G1" s="124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2"/>
    </row>
    <row r="2" spans="1:30" s="603" customFormat="1" ht="26.25">
      <c r="A2" s="124"/>
      <c r="B2" s="125" t="str">
        <f>+'TOT-0115'!B2</f>
        <v>ANEXO I al Memorándum  D.T.E.E.  N°   326  / 2016              .-</v>
      </c>
      <c r="C2" s="126"/>
      <c r="D2" s="126"/>
      <c r="E2" s="126"/>
      <c r="F2" s="126"/>
      <c r="G2" s="126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</row>
    <row r="3" spans="1:30" s="606" customFormat="1" ht="12.75">
      <c r="A3" s="12"/>
      <c r="B3" s="12"/>
      <c r="C3" s="12"/>
      <c r="D3" s="12"/>
      <c r="E3" s="12"/>
      <c r="F3" s="12"/>
      <c r="G3" s="12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</row>
    <row r="4" spans="1:30" s="608" customFormat="1" ht="11.25">
      <c r="A4" s="754" t="s">
        <v>16</v>
      </c>
      <c r="B4" s="127"/>
      <c r="C4" s="753"/>
      <c r="D4" s="753"/>
      <c r="E4" s="753"/>
      <c r="F4" s="127"/>
      <c r="G4" s="12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</row>
    <row r="5" spans="1:30" s="608" customFormat="1" ht="11.25">
      <c r="A5" s="754" t="s">
        <v>137</v>
      </c>
      <c r="B5" s="127"/>
      <c r="C5" s="753"/>
      <c r="D5" s="753"/>
      <c r="E5" s="753"/>
      <c r="F5" s="127"/>
      <c r="G5" s="12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7"/>
    </row>
    <row r="6" spans="1:30" s="606" customFormat="1" ht="13.5" thickBo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</row>
    <row r="7" spans="1:30" s="606" customFormat="1" ht="13.5" thickTop="1">
      <c r="A7" s="605"/>
      <c r="B7" s="609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1"/>
    </row>
    <row r="8" spans="1:30" s="615" customFormat="1" ht="20.25">
      <c r="A8" s="612"/>
      <c r="B8" s="613"/>
      <c r="C8" s="209"/>
      <c r="D8" s="209"/>
      <c r="E8" s="209"/>
      <c r="F8" s="614" t="s">
        <v>39</v>
      </c>
      <c r="H8" s="209"/>
      <c r="I8" s="612"/>
      <c r="J8" s="612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616"/>
    </row>
    <row r="9" spans="1:30" s="606" customFormat="1" ht="12.75">
      <c r="A9" s="605"/>
      <c r="B9" s="617"/>
      <c r="C9" s="195"/>
      <c r="D9" s="195"/>
      <c r="E9" s="195"/>
      <c r="F9" s="195"/>
      <c r="G9" s="195"/>
      <c r="H9" s="195"/>
      <c r="I9" s="60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618"/>
    </row>
    <row r="10" spans="1:30" s="615" customFormat="1" ht="20.25">
      <c r="A10" s="612"/>
      <c r="B10" s="613"/>
      <c r="C10" s="209"/>
      <c r="D10" s="209"/>
      <c r="E10" s="209"/>
      <c r="F10" s="614" t="s">
        <v>64</v>
      </c>
      <c r="G10" s="209"/>
      <c r="H10" s="209"/>
      <c r="I10" s="612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616"/>
    </row>
    <row r="11" spans="1:30" s="606" customFormat="1" ht="12.75">
      <c r="A11" s="605"/>
      <c r="B11" s="617"/>
      <c r="C11" s="195"/>
      <c r="D11" s="195"/>
      <c r="E11" s="195"/>
      <c r="F11" s="619"/>
      <c r="G11" s="195"/>
      <c r="H11" s="195"/>
      <c r="I11" s="60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618"/>
    </row>
    <row r="12" spans="1:30" s="615" customFormat="1" ht="20.25">
      <c r="A12" s="612"/>
      <c r="B12" s="613"/>
      <c r="C12" s="209"/>
      <c r="D12" s="209"/>
      <c r="E12" s="209"/>
      <c r="F12" s="614" t="s">
        <v>65</v>
      </c>
      <c r="G12" s="620"/>
      <c r="H12" s="612"/>
      <c r="I12" s="612"/>
      <c r="J12" s="209"/>
      <c r="K12" s="209"/>
      <c r="L12" s="612"/>
      <c r="M12" s="612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616"/>
    </row>
    <row r="13" spans="1:30" s="606" customFormat="1" ht="12.75">
      <c r="A13" s="605"/>
      <c r="B13" s="617"/>
      <c r="C13" s="195"/>
      <c r="D13" s="195"/>
      <c r="E13" s="195"/>
      <c r="F13" s="621"/>
      <c r="G13" s="622"/>
      <c r="H13" s="605"/>
      <c r="I13" s="605"/>
      <c r="J13" s="195"/>
      <c r="K13" s="195"/>
      <c r="L13" s="605"/>
      <c r="M13" s="60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618"/>
    </row>
    <row r="14" spans="1:30" s="615" customFormat="1" ht="20.25">
      <c r="A14" s="612"/>
      <c r="B14" s="613"/>
      <c r="C14" s="209"/>
      <c r="D14" s="209"/>
      <c r="E14" s="209"/>
      <c r="F14" s="614" t="s">
        <v>66</v>
      </c>
      <c r="G14" s="210"/>
      <c r="H14" s="210"/>
      <c r="I14" s="211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616"/>
    </row>
    <row r="15" spans="1:30" s="606" customFormat="1" ht="12.75">
      <c r="A15" s="605"/>
      <c r="B15" s="617"/>
      <c r="C15" s="195"/>
      <c r="D15" s="195"/>
      <c r="E15" s="195"/>
      <c r="F15" s="623"/>
      <c r="G15" s="196"/>
      <c r="H15" s="196"/>
      <c r="I15" s="197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618"/>
    </row>
    <row r="16" spans="1:30" s="629" customFormat="1" ht="19.5">
      <c r="A16" s="624"/>
      <c r="B16" s="102" t="str">
        <f>+'TOT-0115'!B14</f>
        <v>Desde el 01 al 31 de enero de 2015</v>
      </c>
      <c r="C16" s="625"/>
      <c r="D16" s="625"/>
      <c r="E16" s="625"/>
      <c r="F16" s="625"/>
      <c r="G16" s="625"/>
      <c r="H16" s="625"/>
      <c r="I16" s="626"/>
      <c r="J16" s="625"/>
      <c r="K16" s="627"/>
      <c r="L16" s="627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8"/>
    </row>
    <row r="17" spans="1:30" s="606" customFormat="1" ht="14.25" thickBot="1">
      <c r="A17" s="605"/>
      <c r="B17" s="617"/>
      <c r="C17" s="195"/>
      <c r="D17" s="195"/>
      <c r="E17" s="195"/>
      <c r="F17" s="195"/>
      <c r="G17" s="195"/>
      <c r="H17" s="195"/>
      <c r="I17" s="38"/>
      <c r="J17" s="195"/>
      <c r="K17" s="630"/>
      <c r="L17" s="631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618"/>
    </row>
    <row r="18" spans="1:30" s="606" customFormat="1" ht="16.5" customHeight="1" thickBot="1" thickTop="1">
      <c r="A18" s="605"/>
      <c r="B18" s="617"/>
      <c r="C18" s="195"/>
      <c r="D18" s="195"/>
      <c r="E18" s="195"/>
      <c r="F18" s="216" t="s">
        <v>67</v>
      </c>
      <c r="G18" s="217"/>
      <c r="H18" s="632"/>
      <c r="I18" s="633">
        <v>0.848</v>
      </c>
      <c r="J18" s="60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618"/>
    </row>
    <row r="19" spans="1:30" s="606" customFormat="1" ht="16.5" customHeight="1" thickBot="1" thickTop="1">
      <c r="A19" s="605"/>
      <c r="B19" s="617"/>
      <c r="C19" s="195"/>
      <c r="D19" s="195"/>
      <c r="E19" s="195"/>
      <c r="F19" s="220" t="s">
        <v>68</v>
      </c>
      <c r="G19" s="221"/>
      <c r="H19" s="221"/>
      <c r="I19" s="222">
        <v>30</v>
      </c>
      <c r="J19" s="195"/>
      <c r="K19" s="270" t="str">
        <f>IF(I19=30," ",IF(I19=60,"Coeficiente duplicado por tasa de falla &gt;4 Sal. x año/100 km.","REVISAR COEFICIENTE"))</f>
        <v> 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634"/>
      <c r="X19" s="634"/>
      <c r="Y19" s="634"/>
      <c r="Z19" s="634"/>
      <c r="AA19" s="634"/>
      <c r="AB19" s="634"/>
      <c r="AC19" s="634"/>
      <c r="AD19" s="618"/>
    </row>
    <row r="20" spans="1:30" s="788" customFormat="1" ht="16.5" customHeight="1" thickBot="1" thickTop="1">
      <c r="A20" s="784"/>
      <c r="B20" s="785"/>
      <c r="C20" s="786">
        <v>3</v>
      </c>
      <c r="D20" s="786">
        <v>4</v>
      </c>
      <c r="E20" s="786">
        <v>5</v>
      </c>
      <c r="F20" s="786">
        <v>6</v>
      </c>
      <c r="G20" s="786">
        <v>7</v>
      </c>
      <c r="H20" s="786">
        <v>8</v>
      </c>
      <c r="I20" s="786">
        <v>9</v>
      </c>
      <c r="J20" s="786">
        <v>10</v>
      </c>
      <c r="K20" s="786">
        <v>11</v>
      </c>
      <c r="L20" s="786">
        <v>12</v>
      </c>
      <c r="M20" s="786">
        <v>13</v>
      </c>
      <c r="N20" s="786">
        <v>14</v>
      </c>
      <c r="O20" s="786">
        <v>15</v>
      </c>
      <c r="P20" s="786">
        <v>16</v>
      </c>
      <c r="Q20" s="786">
        <v>17</v>
      </c>
      <c r="R20" s="786">
        <v>18</v>
      </c>
      <c r="S20" s="786">
        <v>19</v>
      </c>
      <c r="T20" s="786">
        <v>20</v>
      </c>
      <c r="U20" s="786">
        <v>21</v>
      </c>
      <c r="V20" s="786">
        <v>22</v>
      </c>
      <c r="W20" s="786">
        <v>23</v>
      </c>
      <c r="X20" s="786">
        <v>24</v>
      </c>
      <c r="Y20" s="786">
        <v>25</v>
      </c>
      <c r="Z20" s="786">
        <v>26</v>
      </c>
      <c r="AA20" s="786">
        <v>27</v>
      </c>
      <c r="AB20" s="786">
        <v>28</v>
      </c>
      <c r="AC20" s="786">
        <v>29</v>
      </c>
      <c r="AD20" s="787"/>
    </row>
    <row r="21" spans="1:30" s="644" customFormat="1" ht="33.75" customHeight="1" thickBot="1" thickTop="1">
      <c r="A21" s="635"/>
      <c r="B21" s="636"/>
      <c r="C21" s="232" t="s">
        <v>45</v>
      </c>
      <c r="D21" s="116" t="s">
        <v>136</v>
      </c>
      <c r="E21" s="116" t="s">
        <v>135</v>
      </c>
      <c r="F21" s="231" t="s">
        <v>69</v>
      </c>
      <c r="G21" s="227" t="s">
        <v>14</v>
      </c>
      <c r="H21" s="228" t="s">
        <v>70</v>
      </c>
      <c r="I21" s="231" t="s">
        <v>46</v>
      </c>
      <c r="J21" s="300" t="s">
        <v>48</v>
      </c>
      <c r="K21" s="230" t="s">
        <v>71</v>
      </c>
      <c r="L21" s="230" t="s">
        <v>72</v>
      </c>
      <c r="M21" s="231" t="s">
        <v>73</v>
      </c>
      <c r="N21" s="231" t="s">
        <v>74</v>
      </c>
      <c r="O21" s="120" t="s">
        <v>53</v>
      </c>
      <c r="P21" s="232" t="s">
        <v>75</v>
      </c>
      <c r="Q21" s="231" t="s">
        <v>76</v>
      </c>
      <c r="R21" s="227" t="s">
        <v>77</v>
      </c>
      <c r="S21" s="371" t="s">
        <v>78</v>
      </c>
      <c r="T21" s="637" t="s">
        <v>55</v>
      </c>
      <c r="U21" s="638" t="s">
        <v>56</v>
      </c>
      <c r="V21" s="387" t="s">
        <v>79</v>
      </c>
      <c r="W21" s="639"/>
      <c r="X21" s="396" t="s">
        <v>79</v>
      </c>
      <c r="Y21" s="640"/>
      <c r="Z21" s="641" t="s">
        <v>59</v>
      </c>
      <c r="AA21" s="642" t="s">
        <v>60</v>
      </c>
      <c r="AB21" s="231" t="s">
        <v>61</v>
      </c>
      <c r="AC21" s="231" t="s">
        <v>62</v>
      </c>
      <c r="AD21" s="643"/>
    </row>
    <row r="22" spans="1:30" s="606" customFormat="1" ht="16.5" customHeight="1" thickTop="1">
      <c r="A22" s="605"/>
      <c r="B22" s="617"/>
      <c r="C22" s="645"/>
      <c r="D22" s="645"/>
      <c r="E22" s="645"/>
      <c r="F22" s="646"/>
      <c r="G22" s="647"/>
      <c r="H22" s="647"/>
      <c r="I22" s="647"/>
      <c r="J22" s="648"/>
      <c r="K22" s="646"/>
      <c r="L22" s="647"/>
      <c r="M22" s="646"/>
      <c r="N22" s="646"/>
      <c r="O22" s="647"/>
      <c r="P22" s="647"/>
      <c r="Q22" s="647"/>
      <c r="R22" s="647"/>
      <c r="S22" s="649"/>
      <c r="T22" s="650"/>
      <c r="U22" s="651"/>
      <c r="V22" s="652"/>
      <c r="W22" s="653"/>
      <c r="X22" s="654"/>
      <c r="Y22" s="655"/>
      <c r="Z22" s="656"/>
      <c r="AA22" s="657"/>
      <c r="AB22" s="647"/>
      <c r="AC22" s="658"/>
      <c r="AD22" s="618"/>
    </row>
    <row r="23" spans="1:30" s="606" customFormat="1" ht="16.5" customHeight="1">
      <c r="A23" s="605"/>
      <c r="B23" s="617"/>
      <c r="C23" s="645"/>
      <c r="D23" s="645"/>
      <c r="E23" s="645"/>
      <c r="F23" s="659"/>
      <c r="G23" s="659"/>
      <c r="H23" s="659"/>
      <c r="I23" s="659"/>
      <c r="J23" s="660"/>
      <c r="K23" s="661"/>
      <c r="L23" s="659"/>
      <c r="M23" s="661"/>
      <c r="N23" s="661"/>
      <c r="O23" s="659"/>
      <c r="P23" s="659"/>
      <c r="Q23" s="659"/>
      <c r="R23" s="659"/>
      <c r="S23" s="662"/>
      <c r="T23" s="663"/>
      <c r="U23" s="664"/>
      <c r="V23" s="665"/>
      <c r="W23" s="666"/>
      <c r="X23" s="667"/>
      <c r="Y23" s="668"/>
      <c r="Z23" s="669"/>
      <c r="AA23" s="670"/>
      <c r="AB23" s="659"/>
      <c r="AC23" s="671"/>
      <c r="AD23" s="618"/>
    </row>
    <row r="24" spans="1:30" s="606" customFormat="1" ht="16.5" customHeight="1">
      <c r="A24" s="605"/>
      <c r="B24" s="617"/>
      <c r="C24" s="699">
        <v>11</v>
      </c>
      <c r="D24" s="699">
        <v>284148</v>
      </c>
      <c r="E24" s="699">
        <v>844</v>
      </c>
      <c r="F24" s="565" t="s">
        <v>151</v>
      </c>
      <c r="G24" s="564" t="s">
        <v>7</v>
      </c>
      <c r="H24" s="700">
        <v>9</v>
      </c>
      <c r="I24" s="747" t="s">
        <v>156</v>
      </c>
      <c r="J24" s="303">
        <f aca="true" t="shared" si="0" ref="J24:J30">H24*$I$18</f>
        <v>7.632</v>
      </c>
      <c r="K24" s="703">
        <v>42028.90069444444</v>
      </c>
      <c r="L24" s="703">
        <v>42028.94097222222</v>
      </c>
      <c r="M24" s="27">
        <f aca="true" t="shared" si="1" ref="M24:M30">IF(F24="","",(L24-K24)*24)</f>
        <v>0.9666666666744277</v>
      </c>
      <c r="N24" s="28">
        <f aca="true" t="shared" si="2" ref="N24:N30">IF(F24="","",ROUND((L24-K24)*24*60,0))</f>
        <v>58</v>
      </c>
      <c r="O24" s="704" t="s">
        <v>145</v>
      </c>
      <c r="P24" s="26" t="str">
        <f aca="true" t="shared" si="3" ref="P24:P34">IF(F24="","",IF(OR(O24="P",O24="RP"),"--","NO"))</f>
        <v>NO</v>
      </c>
      <c r="Q24" s="768" t="str">
        <f aca="true" t="shared" si="4" ref="Q24:Q34">IF(F24="","","--")</f>
        <v>--</v>
      </c>
      <c r="R24" s="26" t="str">
        <f aca="true" t="shared" si="5" ref="R24:R34">IF(F24="","","NO")</f>
        <v>NO</v>
      </c>
      <c r="S24" s="374">
        <f aca="true" t="shared" si="6" ref="S24:S30">$I$19*IF(OR(O24="P",O24="RP"),0.1,1)*IF(R24="SI",1,0.1)</f>
        <v>3</v>
      </c>
      <c r="T24" s="769" t="str">
        <f aca="true" t="shared" si="7" ref="T24:T30">IF(O24="P",J24*S24*ROUND(N24/60,2),"--")</f>
        <v>--</v>
      </c>
      <c r="U24" s="770" t="str">
        <f aca="true" t="shared" si="8" ref="U24:U30">IF(O24="RP",J24*S24*ROUND(N24/60,2)*Q24/100,"--")</f>
        <v>--</v>
      </c>
      <c r="V24" s="393">
        <f aca="true" t="shared" si="9" ref="V24:V30">IF(AND(O24="F",P24="NO"),J24*S24,"--")</f>
        <v>22.896</v>
      </c>
      <c r="W24" s="394">
        <f aca="true" t="shared" si="10" ref="W24:W30">IF(O24="F",J24*S24*ROUND(N24/60,2),"--")</f>
        <v>22.20912</v>
      </c>
      <c r="X24" s="402" t="str">
        <f aca="true" t="shared" si="11" ref="X24:X30">IF(AND(O24="R",P24="NO"),J24*S24*Q24/100,"--")</f>
        <v>--</v>
      </c>
      <c r="Y24" s="403" t="str">
        <f aca="true" t="shared" si="12" ref="Y24:Y30">IF(O24="R",J24*S24*ROUND(N24/60,2)*Q24/100,"--")</f>
        <v>--</v>
      </c>
      <c r="Z24" s="408" t="str">
        <f aca="true" t="shared" si="13" ref="Z24:Z30">IF(O24="RF",J24*S24*ROUND(N24/60,2),"--")</f>
        <v>--</v>
      </c>
      <c r="AA24" s="414" t="str">
        <f aca="true" t="shared" si="14" ref="AA24:AA30">IF(O24="RR",J24*S24*ROUND(N24/60,2)*Q24/100,"--")</f>
        <v>--</v>
      </c>
      <c r="AB24" s="26" t="str">
        <f aca="true" t="shared" si="15" ref="AB24:AB30">IF(F24="","","SI")</f>
        <v>SI</v>
      </c>
      <c r="AC24" s="672">
        <f aca="true" t="shared" si="16" ref="AC24:AC30">IF(F24="","",SUM(T24:AA24)*IF(AB24="SI",1,2))</f>
        <v>45.10512</v>
      </c>
      <c r="AD24" s="618"/>
    </row>
    <row r="25" spans="1:30" s="606" customFormat="1" ht="16.5" customHeight="1">
      <c r="A25" s="605"/>
      <c r="B25" s="617"/>
      <c r="C25" s="699">
        <v>12</v>
      </c>
      <c r="D25" s="699">
        <v>284429</v>
      </c>
      <c r="E25" s="699">
        <v>804</v>
      </c>
      <c r="F25" s="565" t="s">
        <v>151</v>
      </c>
      <c r="G25" s="564" t="s">
        <v>152</v>
      </c>
      <c r="H25" s="700">
        <v>30</v>
      </c>
      <c r="I25" s="747" t="s">
        <v>154</v>
      </c>
      <c r="J25" s="303">
        <f t="shared" si="0"/>
        <v>25.439999999999998</v>
      </c>
      <c r="K25" s="703">
        <v>42031.64097222222</v>
      </c>
      <c r="L25" s="703">
        <v>42031.743055555555</v>
      </c>
      <c r="M25" s="27">
        <f t="shared" si="1"/>
        <v>2.449999999953434</v>
      </c>
      <c r="N25" s="28">
        <f t="shared" si="2"/>
        <v>147</v>
      </c>
      <c r="O25" s="704" t="s">
        <v>145</v>
      </c>
      <c r="P25" s="26" t="str">
        <f t="shared" si="3"/>
        <v>NO</v>
      </c>
      <c r="Q25" s="768" t="str">
        <f t="shared" si="4"/>
        <v>--</v>
      </c>
      <c r="R25" s="26" t="s">
        <v>142</v>
      </c>
      <c r="S25" s="374">
        <f t="shared" si="6"/>
        <v>30</v>
      </c>
      <c r="T25" s="769" t="str">
        <f t="shared" si="7"/>
        <v>--</v>
      </c>
      <c r="U25" s="770" t="str">
        <f t="shared" si="8"/>
        <v>--</v>
      </c>
      <c r="V25" s="393">
        <f t="shared" si="9"/>
        <v>763.1999999999999</v>
      </c>
      <c r="W25" s="394">
        <f t="shared" si="10"/>
        <v>1869.84</v>
      </c>
      <c r="X25" s="402" t="str">
        <f t="shared" si="11"/>
        <v>--</v>
      </c>
      <c r="Y25" s="403" t="str">
        <f t="shared" si="12"/>
        <v>--</v>
      </c>
      <c r="Z25" s="408" t="str">
        <f t="shared" si="13"/>
        <v>--</v>
      </c>
      <c r="AA25" s="414" t="str">
        <f t="shared" si="14"/>
        <v>--</v>
      </c>
      <c r="AB25" s="26" t="str">
        <f t="shared" si="15"/>
        <v>SI</v>
      </c>
      <c r="AC25" s="672">
        <f t="shared" si="16"/>
        <v>2633.04</v>
      </c>
      <c r="AD25" s="618"/>
    </row>
    <row r="26" spans="1:30" s="606" customFormat="1" ht="16.5" customHeight="1">
      <c r="A26" s="605"/>
      <c r="B26" s="617"/>
      <c r="C26" s="699">
        <v>13</v>
      </c>
      <c r="D26" s="699">
        <v>284450</v>
      </c>
      <c r="E26" s="699">
        <v>796</v>
      </c>
      <c r="F26" s="565" t="s">
        <v>158</v>
      </c>
      <c r="G26" s="564" t="s">
        <v>157</v>
      </c>
      <c r="H26" s="700">
        <v>40</v>
      </c>
      <c r="I26" s="747" t="s">
        <v>154</v>
      </c>
      <c r="J26" s="303">
        <f t="shared" si="0"/>
        <v>33.92</v>
      </c>
      <c r="K26" s="703">
        <v>42035.174999999996</v>
      </c>
      <c r="L26" s="703">
        <v>42035.268055555556</v>
      </c>
      <c r="M26" s="27">
        <f t="shared" si="1"/>
        <v>2.233333333453629</v>
      </c>
      <c r="N26" s="28">
        <f t="shared" si="2"/>
        <v>134</v>
      </c>
      <c r="O26" s="704" t="s">
        <v>145</v>
      </c>
      <c r="P26" s="26" t="str">
        <f t="shared" si="3"/>
        <v>NO</v>
      </c>
      <c r="Q26" s="768" t="str">
        <f t="shared" si="4"/>
        <v>--</v>
      </c>
      <c r="R26" s="26" t="s">
        <v>142</v>
      </c>
      <c r="S26" s="374">
        <f t="shared" si="6"/>
        <v>30</v>
      </c>
      <c r="T26" s="769" t="str">
        <f t="shared" si="7"/>
        <v>--</v>
      </c>
      <c r="U26" s="770" t="str">
        <f t="shared" si="8"/>
        <v>--</v>
      </c>
      <c r="V26" s="393">
        <f t="shared" si="9"/>
        <v>1017.6</v>
      </c>
      <c r="W26" s="394">
        <f t="shared" si="10"/>
        <v>2269.248</v>
      </c>
      <c r="X26" s="402" t="str">
        <f t="shared" si="11"/>
        <v>--</v>
      </c>
      <c r="Y26" s="403" t="str">
        <f t="shared" si="12"/>
        <v>--</v>
      </c>
      <c r="Z26" s="408" t="str">
        <f t="shared" si="13"/>
        <v>--</v>
      </c>
      <c r="AA26" s="414" t="str">
        <f t="shared" si="14"/>
        <v>--</v>
      </c>
      <c r="AB26" s="26" t="str">
        <f t="shared" si="15"/>
        <v>SI</v>
      </c>
      <c r="AC26" s="672">
        <f t="shared" si="16"/>
        <v>3286.848</v>
      </c>
      <c r="AD26" s="618"/>
    </row>
    <row r="27" spans="1:30" s="606" customFormat="1" ht="16.5" customHeight="1">
      <c r="A27" s="605"/>
      <c r="B27" s="617"/>
      <c r="C27" s="699" t="s">
        <v>166</v>
      </c>
      <c r="D27" s="699">
        <v>284450</v>
      </c>
      <c r="E27" s="699">
        <v>796</v>
      </c>
      <c r="F27" s="565" t="s">
        <v>158</v>
      </c>
      <c r="G27" s="564" t="s">
        <v>157</v>
      </c>
      <c r="H27" s="700">
        <v>40</v>
      </c>
      <c r="I27" s="747" t="s">
        <v>154</v>
      </c>
      <c r="J27" s="303">
        <f>H27*$I$18</f>
        <v>33.92</v>
      </c>
      <c r="K27" s="703">
        <v>42035.268055555556</v>
      </c>
      <c r="L27" s="703">
        <v>42035.82430555555</v>
      </c>
      <c r="M27" s="27">
        <f>IF(F27="","",(L27-K27)*24)</f>
        <v>13.349999999860302</v>
      </c>
      <c r="N27" s="28">
        <f>IF(F27="","",ROUND((L27-K27)*24*60,0))</f>
        <v>801</v>
      </c>
      <c r="O27" s="704" t="s">
        <v>167</v>
      </c>
      <c r="P27" s="26" t="str">
        <f>IF(F27="","",IF(OR(O27="P",O27="RP"),"--","NO"))</f>
        <v>NO</v>
      </c>
      <c r="Q27" s="768" t="str">
        <f>IF(F27="","","--")</f>
        <v>--</v>
      </c>
      <c r="R27" s="26" t="s">
        <v>168</v>
      </c>
      <c r="S27" s="374">
        <f>$I$19*IF(OR(O27="P",O27="RP"),0.1,1)*IF(R27="SI",1,0.1)</f>
        <v>3</v>
      </c>
      <c r="T27" s="769" t="str">
        <f>IF(O27="P",J27*S27*ROUND(N27/60,2),"--")</f>
        <v>--</v>
      </c>
      <c r="U27" s="770" t="str">
        <f>IF(O27="RP",J27*S27*ROUND(N27/60,2)*Q27/100,"--")</f>
        <v>--</v>
      </c>
      <c r="V27" s="393" t="str">
        <f>IF(AND(O27="F",P27="NO"),J27*S27,"--")</f>
        <v>--</v>
      </c>
      <c r="W27" s="394" t="str">
        <f>IF(O27="F",J27*S27*ROUND(N27/60,2),"--")</f>
        <v>--</v>
      </c>
      <c r="X27" s="402" t="str">
        <f>IF(AND(O27="R",P27="NO"),J27*S27*Q27/100,"--")</f>
        <v>--</v>
      </c>
      <c r="Y27" s="403" t="str">
        <f>IF(O27="R",J27*S27*ROUND(N27/60,2)*Q27/100,"--")</f>
        <v>--</v>
      </c>
      <c r="Z27" s="408">
        <f>IF(O27="RF",J27*S27*ROUND(N27/60,2),"--")</f>
        <v>1358.496</v>
      </c>
      <c r="AA27" s="414" t="str">
        <f>IF(O27="RR",J27*S27*ROUND(N27/60,2)*Q27/100,"--")</f>
        <v>--</v>
      </c>
      <c r="AB27" s="26" t="str">
        <f>IF(F27="","","SI")</f>
        <v>SI</v>
      </c>
      <c r="AC27" s="672">
        <f>IF(F27="","",SUM(T27:AA27)*IF(AB27="SI",1,2))</f>
        <v>1358.496</v>
      </c>
      <c r="AD27" s="618"/>
    </row>
    <row r="28" spans="1:30" s="606" customFormat="1" ht="16.5" customHeight="1">
      <c r="A28" s="605"/>
      <c r="B28" s="617"/>
      <c r="C28" s="699"/>
      <c r="D28" s="699"/>
      <c r="E28" s="699"/>
      <c r="F28" s="565"/>
      <c r="G28" s="564"/>
      <c r="H28" s="700"/>
      <c r="I28" s="701"/>
      <c r="J28" s="303">
        <f t="shared" si="0"/>
        <v>0</v>
      </c>
      <c r="K28" s="703"/>
      <c r="L28" s="703"/>
      <c r="M28" s="27">
        <f t="shared" si="1"/>
      </c>
      <c r="N28" s="28">
        <f t="shared" si="2"/>
      </c>
      <c r="O28" s="704"/>
      <c r="P28" s="26">
        <f t="shared" si="3"/>
      </c>
      <c r="Q28" s="768">
        <f t="shared" si="4"/>
      </c>
      <c r="R28" s="26">
        <f t="shared" si="5"/>
      </c>
      <c r="S28" s="374">
        <f t="shared" si="6"/>
        <v>3</v>
      </c>
      <c r="T28" s="769" t="str">
        <f t="shared" si="7"/>
        <v>--</v>
      </c>
      <c r="U28" s="770" t="str">
        <f t="shared" si="8"/>
        <v>--</v>
      </c>
      <c r="V28" s="393" t="str">
        <f t="shared" si="9"/>
        <v>--</v>
      </c>
      <c r="W28" s="394" t="str">
        <f t="shared" si="10"/>
        <v>--</v>
      </c>
      <c r="X28" s="402" t="str">
        <f t="shared" si="11"/>
        <v>--</v>
      </c>
      <c r="Y28" s="403" t="str">
        <f t="shared" si="12"/>
        <v>--</v>
      </c>
      <c r="Z28" s="408" t="str">
        <f t="shared" si="13"/>
        <v>--</v>
      </c>
      <c r="AA28" s="414" t="str">
        <f t="shared" si="14"/>
        <v>--</v>
      </c>
      <c r="AB28" s="26">
        <f t="shared" si="15"/>
      </c>
      <c r="AC28" s="672">
        <f t="shared" si="16"/>
      </c>
      <c r="AD28" s="618"/>
    </row>
    <row r="29" spans="1:30" s="606" customFormat="1" ht="16.5" customHeight="1">
      <c r="A29" s="605"/>
      <c r="B29" s="617"/>
      <c r="C29" s="699"/>
      <c r="D29" s="699"/>
      <c r="E29" s="699"/>
      <c r="F29" s="565"/>
      <c r="G29" s="564"/>
      <c r="H29" s="700"/>
      <c r="I29" s="701"/>
      <c r="J29" s="303">
        <f t="shared" si="0"/>
        <v>0</v>
      </c>
      <c r="K29" s="703"/>
      <c r="L29" s="703"/>
      <c r="M29" s="27">
        <f t="shared" si="1"/>
      </c>
      <c r="N29" s="28">
        <f t="shared" si="2"/>
      </c>
      <c r="O29" s="704"/>
      <c r="P29" s="26">
        <f t="shared" si="3"/>
      </c>
      <c r="Q29" s="768">
        <f t="shared" si="4"/>
      </c>
      <c r="R29" s="26">
        <f t="shared" si="5"/>
      </c>
      <c r="S29" s="374">
        <f t="shared" si="6"/>
        <v>3</v>
      </c>
      <c r="T29" s="769" t="str">
        <f t="shared" si="7"/>
        <v>--</v>
      </c>
      <c r="U29" s="770" t="str">
        <f t="shared" si="8"/>
        <v>--</v>
      </c>
      <c r="V29" s="393" t="str">
        <f t="shared" si="9"/>
        <v>--</v>
      </c>
      <c r="W29" s="394" t="str">
        <f t="shared" si="10"/>
        <v>--</v>
      </c>
      <c r="X29" s="402" t="str">
        <f t="shared" si="11"/>
        <v>--</v>
      </c>
      <c r="Y29" s="403" t="str">
        <f t="shared" si="12"/>
        <v>--</v>
      </c>
      <c r="Z29" s="408" t="str">
        <f t="shared" si="13"/>
        <v>--</v>
      </c>
      <c r="AA29" s="414" t="str">
        <f t="shared" si="14"/>
        <v>--</v>
      </c>
      <c r="AB29" s="26">
        <f t="shared" si="15"/>
      </c>
      <c r="AC29" s="672">
        <f t="shared" si="16"/>
      </c>
      <c r="AD29" s="618"/>
    </row>
    <row r="30" spans="1:30" s="606" customFormat="1" ht="16.5" customHeight="1">
      <c r="A30" s="605"/>
      <c r="B30" s="617"/>
      <c r="C30" s="699"/>
      <c r="D30" s="699"/>
      <c r="E30" s="699"/>
      <c r="F30" s="565"/>
      <c r="G30" s="564"/>
      <c r="H30" s="700"/>
      <c r="I30" s="701"/>
      <c r="J30" s="303">
        <f t="shared" si="0"/>
        <v>0</v>
      </c>
      <c r="K30" s="703"/>
      <c r="L30" s="703"/>
      <c r="M30" s="27">
        <f t="shared" si="1"/>
      </c>
      <c r="N30" s="28">
        <f t="shared" si="2"/>
      </c>
      <c r="O30" s="704"/>
      <c r="P30" s="26">
        <f t="shared" si="3"/>
      </c>
      <c r="Q30" s="768">
        <f t="shared" si="4"/>
      </c>
      <c r="R30" s="26">
        <f t="shared" si="5"/>
      </c>
      <c r="S30" s="374">
        <f t="shared" si="6"/>
        <v>3</v>
      </c>
      <c r="T30" s="769" t="str">
        <f t="shared" si="7"/>
        <v>--</v>
      </c>
      <c r="U30" s="770" t="str">
        <f t="shared" si="8"/>
        <v>--</v>
      </c>
      <c r="V30" s="393" t="str">
        <f t="shared" si="9"/>
        <v>--</v>
      </c>
      <c r="W30" s="394" t="str">
        <f t="shared" si="10"/>
        <v>--</v>
      </c>
      <c r="X30" s="402" t="str">
        <f t="shared" si="11"/>
        <v>--</v>
      </c>
      <c r="Y30" s="403" t="str">
        <f t="shared" si="12"/>
        <v>--</v>
      </c>
      <c r="Z30" s="408" t="str">
        <f t="shared" si="13"/>
        <v>--</v>
      </c>
      <c r="AA30" s="414" t="str">
        <f t="shared" si="14"/>
        <v>--</v>
      </c>
      <c r="AB30" s="26">
        <f t="shared" si="15"/>
      </c>
      <c r="AC30" s="672">
        <f t="shared" si="16"/>
      </c>
      <c r="AD30" s="618"/>
    </row>
    <row r="31" spans="1:30" s="606" customFormat="1" ht="16.5" customHeight="1">
      <c r="A31" s="605"/>
      <c r="B31" s="617"/>
      <c r="C31" s="699"/>
      <c r="D31" s="699"/>
      <c r="E31" s="699"/>
      <c r="F31" s="565"/>
      <c r="G31" s="564"/>
      <c r="H31" s="700"/>
      <c r="I31" s="701"/>
      <c r="J31" s="303">
        <f>H31*$I$18</f>
        <v>0</v>
      </c>
      <c r="K31" s="703"/>
      <c r="L31" s="703"/>
      <c r="M31" s="27">
        <f>IF(F31="","",(L31-K31)*24)</f>
      </c>
      <c r="N31" s="28">
        <f>IF(F31="","",ROUND((L31-K31)*24*60,0))</f>
      </c>
      <c r="O31" s="704"/>
      <c r="P31" s="26">
        <f t="shared" si="3"/>
      </c>
      <c r="Q31" s="768">
        <f t="shared" si="4"/>
      </c>
      <c r="R31" s="26">
        <f t="shared" si="5"/>
      </c>
      <c r="S31" s="374">
        <f>$I$19*IF(OR(O31="P",O31="RP"),0.1,1)*IF(R31="SI",1,0.1)</f>
        <v>3</v>
      </c>
      <c r="T31" s="769" t="str">
        <f>IF(O31="P",J31*S31*ROUND(N31/60,2),"--")</f>
        <v>--</v>
      </c>
      <c r="U31" s="770" t="str">
        <f>IF(O31="RP",J31*S31*ROUND(N31/60,2)*Q31/100,"--")</f>
        <v>--</v>
      </c>
      <c r="V31" s="393" t="str">
        <f>IF(AND(O31="F",P31="NO"),J31*S31,"--")</f>
        <v>--</v>
      </c>
      <c r="W31" s="394" t="str">
        <f>IF(O31="F",J31*S31*ROUND(N31/60,2),"--")</f>
        <v>--</v>
      </c>
      <c r="X31" s="402" t="str">
        <f>IF(AND(O31="R",P31="NO"),J31*S31*Q31/100,"--")</f>
        <v>--</v>
      </c>
      <c r="Y31" s="403" t="str">
        <f>IF(O31="R",J31*S31*ROUND(N31/60,2)*Q31/100,"--")</f>
        <v>--</v>
      </c>
      <c r="Z31" s="408" t="str">
        <f>IF(O31="RF",J31*S31*ROUND(N31/60,2),"--")</f>
        <v>--</v>
      </c>
      <c r="AA31" s="414" t="str">
        <f>IF(O31="RR",J31*S31*ROUND(N31/60,2)*Q31/100,"--")</f>
        <v>--</v>
      </c>
      <c r="AB31" s="26">
        <f>IF(F31="","","SI")</f>
      </c>
      <c r="AC31" s="672">
        <f>IF(F31="","",SUM(T31:AA31)*IF(AB31="SI",1,2))</f>
      </c>
      <c r="AD31" s="618"/>
    </row>
    <row r="32" spans="1:30" s="606" customFormat="1" ht="16.5" customHeight="1">
      <c r="A32" s="605"/>
      <c r="B32" s="617"/>
      <c r="C32" s="699"/>
      <c r="D32" s="699"/>
      <c r="E32" s="699"/>
      <c r="F32" s="565"/>
      <c r="G32" s="564"/>
      <c r="H32" s="700"/>
      <c r="I32" s="701"/>
      <c r="J32" s="303">
        <f>H32*$I$18</f>
        <v>0</v>
      </c>
      <c r="K32" s="703"/>
      <c r="L32" s="703"/>
      <c r="M32" s="27">
        <f>IF(F32="","",(L32-K32)*24)</f>
      </c>
      <c r="N32" s="28">
        <f>IF(F32="","",ROUND((L32-K32)*24*60,0))</f>
      </c>
      <c r="O32" s="704"/>
      <c r="P32" s="26">
        <f t="shared" si="3"/>
      </c>
      <c r="Q32" s="768">
        <f t="shared" si="4"/>
      </c>
      <c r="R32" s="26">
        <f t="shared" si="5"/>
      </c>
      <c r="S32" s="374">
        <f>$I$19*IF(OR(O32="P",O32="RP"),0.1,1)*IF(R32="SI",1,0.1)</f>
        <v>3</v>
      </c>
      <c r="T32" s="769" t="str">
        <f>IF(O32="P",J32*S32*ROUND(N32/60,2),"--")</f>
        <v>--</v>
      </c>
      <c r="U32" s="770" t="str">
        <f>IF(O32="RP",J32*S32*ROUND(N32/60,2)*Q32/100,"--")</f>
        <v>--</v>
      </c>
      <c r="V32" s="393" t="str">
        <f>IF(AND(O32="F",P32="NO"),J32*S32,"--")</f>
        <v>--</v>
      </c>
      <c r="W32" s="394" t="str">
        <f>IF(O32="F",J32*S32*ROUND(N32/60,2),"--")</f>
        <v>--</v>
      </c>
      <c r="X32" s="402" t="str">
        <f>IF(AND(O32="R",P32="NO"),J32*S32*Q32/100,"--")</f>
        <v>--</v>
      </c>
      <c r="Y32" s="403" t="str">
        <f>IF(O32="R",J32*S32*ROUND(N32/60,2)*Q32/100,"--")</f>
        <v>--</v>
      </c>
      <c r="Z32" s="408" t="str">
        <f>IF(O32="RF",J32*S32*ROUND(N32/60,2),"--")</f>
        <v>--</v>
      </c>
      <c r="AA32" s="414" t="str">
        <f>IF(O32="RR",J32*S32*ROUND(N32/60,2)*Q32/100,"--")</f>
        <v>--</v>
      </c>
      <c r="AB32" s="26">
        <f>IF(F32="","","SI")</f>
      </c>
      <c r="AC32" s="672">
        <f>IF(F32="","",SUM(T32:AA32)*IF(AB32="SI",1,2))</f>
      </c>
      <c r="AD32" s="618"/>
    </row>
    <row r="33" spans="1:30" s="606" customFormat="1" ht="16.5" customHeight="1">
      <c r="A33" s="605"/>
      <c r="B33" s="617"/>
      <c r="C33" s="699"/>
      <c r="D33" s="699"/>
      <c r="E33" s="699"/>
      <c r="F33" s="565"/>
      <c r="G33" s="564"/>
      <c r="H33" s="700"/>
      <c r="I33" s="701"/>
      <c r="J33" s="303">
        <f>H33*$I$18</f>
        <v>0</v>
      </c>
      <c r="K33" s="703"/>
      <c r="L33" s="703"/>
      <c r="M33" s="27">
        <f>IF(F33="","",(L33-K33)*24)</f>
      </c>
      <c r="N33" s="28">
        <f>IF(F33="","",ROUND((L33-K33)*24*60,0))</f>
      </c>
      <c r="O33" s="704"/>
      <c r="P33" s="26">
        <f t="shared" si="3"/>
      </c>
      <c r="Q33" s="768">
        <f t="shared" si="4"/>
      </c>
      <c r="R33" s="26">
        <f t="shared" si="5"/>
      </c>
      <c r="S33" s="374">
        <f>$I$19*IF(OR(O33="P",O33="RP"),0.1,1)*IF(R33="SI",1,0.1)</f>
        <v>3</v>
      </c>
      <c r="T33" s="769" t="str">
        <f>IF(O33="P",J33*S33*ROUND(N33/60,2),"--")</f>
        <v>--</v>
      </c>
      <c r="U33" s="770" t="str">
        <f>IF(O33="RP",J33*S33*ROUND(N33/60,2)*Q33/100,"--")</f>
        <v>--</v>
      </c>
      <c r="V33" s="393" t="str">
        <f>IF(AND(O33="F",P33="NO"),J33*S33,"--")</f>
        <v>--</v>
      </c>
      <c r="W33" s="394" t="str">
        <f>IF(O33="F",J33*S33*ROUND(N33/60,2),"--")</f>
        <v>--</v>
      </c>
      <c r="X33" s="402" t="str">
        <f>IF(AND(O33="R",P33="NO"),J33*S33*Q33/100,"--")</f>
        <v>--</v>
      </c>
      <c r="Y33" s="403" t="str">
        <f>IF(O33="R",J33*S33*ROUND(N33/60,2)*Q33/100,"--")</f>
        <v>--</v>
      </c>
      <c r="Z33" s="408" t="str">
        <f>IF(O33="RF",J33*S33*ROUND(N33/60,2),"--")</f>
        <v>--</v>
      </c>
      <c r="AA33" s="414" t="str">
        <f>IF(O33="RR",J33*S33*ROUND(N33/60,2)*Q33/100,"--")</f>
        <v>--</v>
      </c>
      <c r="AB33" s="26">
        <f>IF(F33="","","SI")</f>
      </c>
      <c r="AC33" s="672">
        <f>IF(F33="","",SUM(T33:AA33)*IF(AB33="SI",1,2))</f>
      </c>
      <c r="AD33" s="618"/>
    </row>
    <row r="34" spans="1:30" s="606" customFormat="1" ht="16.5" customHeight="1">
      <c r="A34" s="605"/>
      <c r="B34" s="617"/>
      <c r="C34" s="699"/>
      <c r="D34" s="699"/>
      <c r="E34" s="699"/>
      <c r="F34" s="565"/>
      <c r="G34" s="564"/>
      <c r="H34" s="700"/>
      <c r="I34" s="701"/>
      <c r="J34" s="303">
        <f>H34*$I$18</f>
        <v>0</v>
      </c>
      <c r="K34" s="703"/>
      <c r="L34" s="703"/>
      <c r="M34" s="27">
        <f>IF(F34="","",(L34-K34)*24)</f>
      </c>
      <c r="N34" s="28">
        <f>IF(F34="","",ROUND((L34-K34)*24*60,0))</f>
      </c>
      <c r="O34" s="704"/>
      <c r="P34" s="26">
        <f t="shared" si="3"/>
      </c>
      <c r="Q34" s="768">
        <f t="shared" si="4"/>
      </c>
      <c r="R34" s="26">
        <f t="shared" si="5"/>
      </c>
      <c r="S34" s="374">
        <f>$I$19*IF(OR(O34="P",O34="RP"),0.1,1)*IF(R34="SI",1,0.1)</f>
        <v>3</v>
      </c>
      <c r="T34" s="769" t="str">
        <f>IF(O34="P",J34*S34*ROUND(N34/60,2),"--")</f>
        <v>--</v>
      </c>
      <c r="U34" s="770" t="str">
        <f>IF(O34="RP",J34*S34*ROUND(N34/60,2)*Q34/100,"--")</f>
        <v>--</v>
      </c>
      <c r="V34" s="393" t="str">
        <f>IF(AND(O34="F",P34="NO"),J34*S34,"--")</f>
        <v>--</v>
      </c>
      <c r="W34" s="394" t="str">
        <f>IF(O34="F",J34*S34*ROUND(N34/60,2),"--")</f>
        <v>--</v>
      </c>
      <c r="X34" s="402" t="str">
        <f>IF(AND(O34="R",P34="NO"),J34*S34*Q34/100,"--")</f>
        <v>--</v>
      </c>
      <c r="Y34" s="403" t="str">
        <f>IF(O34="R",J34*S34*ROUND(N34/60,2)*Q34/100,"--")</f>
        <v>--</v>
      </c>
      <c r="Z34" s="408" t="str">
        <f>IF(O34="RF",J34*S34*ROUND(N34/60,2),"--")</f>
        <v>--</v>
      </c>
      <c r="AA34" s="414" t="str">
        <f>IF(O34="RR",J34*S34*ROUND(N34/60,2)*Q34/100,"--")</f>
        <v>--</v>
      </c>
      <c r="AB34" s="26">
        <f>IF(F34="","","SI")</f>
      </c>
      <c r="AC34" s="672">
        <f>IF(F34="","",SUM(T34:AA34)*IF(AB34="SI",1,2))</f>
      </c>
      <c r="AD34" s="618"/>
    </row>
    <row r="35" spans="1:30" s="606" customFormat="1" ht="16.5" customHeight="1" thickBot="1">
      <c r="A35" s="605"/>
      <c r="B35" s="617"/>
      <c r="C35" s="702"/>
      <c r="D35" s="702"/>
      <c r="E35" s="702"/>
      <c r="F35" s="702"/>
      <c r="G35" s="702"/>
      <c r="H35" s="702"/>
      <c r="I35" s="702"/>
      <c r="J35" s="674"/>
      <c r="K35" s="702"/>
      <c r="L35" s="702"/>
      <c r="M35" s="673"/>
      <c r="N35" s="673"/>
      <c r="O35" s="702"/>
      <c r="P35" s="702"/>
      <c r="Q35" s="702"/>
      <c r="R35" s="702"/>
      <c r="S35" s="705"/>
      <c r="T35" s="706"/>
      <c r="U35" s="707"/>
      <c r="V35" s="708"/>
      <c r="W35" s="709"/>
      <c r="X35" s="710"/>
      <c r="Y35" s="711"/>
      <c r="Z35" s="712"/>
      <c r="AA35" s="713"/>
      <c r="AB35" s="702"/>
      <c r="AC35" s="675"/>
      <c r="AD35" s="618"/>
    </row>
    <row r="36" spans="1:30" s="606" customFormat="1" ht="16.5" customHeight="1" thickBot="1" thickTop="1">
      <c r="A36" s="605"/>
      <c r="B36" s="617"/>
      <c r="C36" s="676" t="s">
        <v>63</v>
      </c>
      <c r="D36" s="778"/>
      <c r="E36" s="279"/>
      <c r="F36" s="274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677">
        <f aca="true" t="shared" si="17" ref="T36:AA36">SUM(T22:T35)</f>
        <v>0</v>
      </c>
      <c r="U36" s="678">
        <f t="shared" si="17"/>
        <v>0</v>
      </c>
      <c r="V36" s="679">
        <f t="shared" si="17"/>
        <v>1803.696</v>
      </c>
      <c r="W36" s="679">
        <f t="shared" si="17"/>
        <v>4161.29712</v>
      </c>
      <c r="X36" s="680">
        <f t="shared" si="17"/>
        <v>0</v>
      </c>
      <c r="Y36" s="680">
        <f t="shared" si="17"/>
        <v>0</v>
      </c>
      <c r="Z36" s="681">
        <f t="shared" si="17"/>
        <v>1358.496</v>
      </c>
      <c r="AA36" s="682">
        <f t="shared" si="17"/>
        <v>0</v>
      </c>
      <c r="AB36" s="683"/>
      <c r="AC36" s="684">
        <f>ROUND(SUM(AC22:AC35),2)</f>
        <v>7323.49</v>
      </c>
      <c r="AD36" s="618"/>
    </row>
    <row r="37" spans="1:30" s="692" customFormat="1" ht="9.75" thickTop="1">
      <c r="A37" s="685"/>
      <c r="B37" s="686"/>
      <c r="C37" s="687"/>
      <c r="D37" s="687"/>
      <c r="E37" s="687"/>
      <c r="F37" s="276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9"/>
      <c r="U37" s="689"/>
      <c r="V37" s="689"/>
      <c r="W37" s="689"/>
      <c r="X37" s="689"/>
      <c r="Y37" s="689"/>
      <c r="Z37" s="689"/>
      <c r="AA37" s="689"/>
      <c r="AB37" s="688"/>
      <c r="AC37" s="690"/>
      <c r="AD37" s="691"/>
    </row>
    <row r="38" spans="1:30" s="606" customFormat="1" ht="16.5" customHeight="1" thickBot="1">
      <c r="A38" s="605"/>
      <c r="B38" s="693"/>
      <c r="C38" s="694"/>
      <c r="D38" s="694"/>
      <c r="E38" s="694"/>
      <c r="F38" s="694"/>
      <c r="G38" s="694"/>
      <c r="H38" s="694"/>
      <c r="I38" s="694"/>
      <c r="J38" s="694"/>
      <c r="K38" s="694"/>
      <c r="L38" s="694"/>
      <c r="M38" s="694"/>
      <c r="N38" s="694"/>
      <c r="O38" s="694"/>
      <c r="P38" s="694"/>
      <c r="Q38" s="694"/>
      <c r="R38" s="694"/>
      <c r="S38" s="694"/>
      <c r="T38" s="694"/>
      <c r="U38" s="694"/>
      <c r="V38" s="694"/>
      <c r="W38" s="694"/>
      <c r="X38" s="694"/>
      <c r="Y38" s="694"/>
      <c r="Z38" s="694"/>
      <c r="AA38" s="694"/>
      <c r="AB38" s="694"/>
      <c r="AC38" s="694"/>
      <c r="AD38" s="695"/>
    </row>
    <row r="39" spans="2:30" ht="16.5" customHeight="1" thickTop="1">
      <c r="B39" s="697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7"/>
      <c r="T39" s="697"/>
      <c r="U39" s="697"/>
      <c r="V39" s="697"/>
      <c r="W39" s="697"/>
      <c r="X39" s="697"/>
      <c r="Y39" s="697"/>
      <c r="Z39" s="697"/>
      <c r="AA39" s="697"/>
      <c r="AB39" s="697"/>
      <c r="AC39" s="697"/>
      <c r="AD39" s="698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24" customFormat="1" ht="26.25"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559"/>
    </row>
    <row r="2" spans="2:30" s="124" customFormat="1" ht="26.25">
      <c r="B2" s="125" t="str">
        <f>+'TOT-0115'!B2</f>
        <v>ANEXO I al Memorándum  D.T.E.E.  N°   326  / 2016              .-</v>
      </c>
      <c r="C2" s="126"/>
      <c r="D2" s="126"/>
      <c r="E2" s="188"/>
      <c r="F2" s="188"/>
      <c r="G2" s="125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5:30" s="12" customFormat="1" ht="12.75"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</row>
    <row r="4" spans="1:30" s="127" customFormat="1" ht="11.25">
      <c r="A4" s="754" t="s">
        <v>16</v>
      </c>
      <c r="C4" s="753"/>
      <c r="D4" s="753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s="127" customFormat="1" ht="11.25">
      <c r="A5" s="754" t="s">
        <v>137</v>
      </c>
      <c r="C5" s="753"/>
      <c r="D5" s="753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12" customFormat="1" ht="13.5" thickBo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</row>
    <row r="7" spans="1:30" s="12" customFormat="1" ht="13.5" thickTop="1">
      <c r="A7" s="186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1"/>
    </row>
    <row r="8" spans="1:30" s="129" customFormat="1" ht="20.25">
      <c r="A8" s="206"/>
      <c r="B8" s="207"/>
      <c r="C8" s="194"/>
      <c r="D8" s="194"/>
      <c r="E8" s="194"/>
      <c r="F8" s="22" t="s">
        <v>39</v>
      </c>
      <c r="H8" s="194"/>
      <c r="I8" s="206"/>
      <c r="J8" s="206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208"/>
    </row>
    <row r="9" spans="1:30" s="129" customFormat="1" ht="7.5" customHeight="1">
      <c r="A9" s="206"/>
      <c r="B9" s="207"/>
      <c r="C9" s="194"/>
      <c r="D9" s="194"/>
      <c r="E9" s="194"/>
      <c r="F9" s="22"/>
      <c r="H9" s="194"/>
      <c r="I9" s="206"/>
      <c r="J9" s="206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208"/>
    </row>
    <row r="10" spans="1:30" s="12" customFormat="1" ht="7.5" customHeight="1">
      <c r="A10" s="186"/>
      <c r="B10" s="192"/>
      <c r="C10" s="31"/>
      <c r="D10" s="31"/>
      <c r="E10" s="31"/>
      <c r="F10" s="31"/>
      <c r="G10" s="31"/>
      <c r="H10" s="31"/>
      <c r="I10" s="18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9"/>
    </row>
    <row r="11" spans="1:30" s="129" customFormat="1" ht="20.25">
      <c r="A11" s="206"/>
      <c r="B11" s="207"/>
      <c r="C11" s="194"/>
      <c r="D11" s="194"/>
      <c r="E11" s="194"/>
      <c r="F11" s="236" t="s">
        <v>80</v>
      </c>
      <c r="G11" s="194"/>
      <c r="H11" s="194"/>
      <c r="I11" s="206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208"/>
    </row>
    <row r="12" spans="1:30" s="129" customFormat="1" ht="8.25" customHeight="1">
      <c r="A12" s="206"/>
      <c r="B12" s="207"/>
      <c r="C12" s="194"/>
      <c r="D12" s="194"/>
      <c r="E12" s="194"/>
      <c r="F12" s="236"/>
      <c r="G12" s="194"/>
      <c r="H12" s="194"/>
      <c r="I12" s="206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208"/>
    </row>
    <row r="13" spans="1:30" s="12" customFormat="1" ht="8.25" customHeight="1">
      <c r="A13" s="186"/>
      <c r="B13" s="192"/>
      <c r="C13" s="31"/>
      <c r="D13" s="31"/>
      <c r="E13" s="31"/>
      <c r="F13" s="138"/>
      <c r="G13" s="196"/>
      <c r="H13" s="196"/>
      <c r="I13" s="197"/>
      <c r="J13" s="195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9"/>
    </row>
    <row r="14" spans="1:30" s="136" customFormat="1" ht="19.5">
      <c r="A14" s="212"/>
      <c r="B14" s="102" t="str">
        <f>+'TOT-0115'!B14</f>
        <v>Desde el 01 al 31 de enero de 2015</v>
      </c>
      <c r="C14" s="213"/>
      <c r="D14" s="213"/>
      <c r="E14" s="213"/>
      <c r="F14" s="213"/>
      <c r="G14" s="213"/>
      <c r="H14" s="213"/>
      <c r="I14" s="214"/>
      <c r="J14" s="213"/>
      <c r="K14" s="133"/>
      <c r="L14" s="13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5"/>
    </row>
    <row r="15" spans="1:30" s="110" customFormat="1" ht="8.25" customHeight="1">
      <c r="A15" s="106"/>
      <c r="B15" s="107"/>
      <c r="C15" s="106"/>
      <c r="D15" s="106"/>
      <c r="E15" s="106"/>
      <c r="F15" s="744"/>
      <c r="G15" s="745"/>
      <c r="H15" s="746"/>
      <c r="I15" s="106"/>
      <c r="K15" s="112"/>
      <c r="L15" s="113"/>
      <c r="M15" s="270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9"/>
    </row>
    <row r="16" spans="1:30" s="12" customFormat="1" ht="8.25" customHeight="1" thickBot="1">
      <c r="A16" s="186"/>
      <c r="B16" s="192"/>
      <c r="C16" s="31"/>
      <c r="D16" s="31"/>
      <c r="E16" s="31"/>
      <c r="F16" s="31"/>
      <c r="G16" s="31"/>
      <c r="H16" s="31"/>
      <c r="I16" s="76"/>
      <c r="J16" s="31"/>
      <c r="K16" s="203"/>
      <c r="L16" s="20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9"/>
    </row>
    <row r="17" spans="1:30" s="12" customFormat="1" ht="16.5" customHeight="1" thickBot="1" thickTop="1">
      <c r="A17" s="186"/>
      <c r="B17" s="192"/>
      <c r="C17" s="31"/>
      <c r="D17" s="31"/>
      <c r="E17" s="31"/>
      <c r="F17" s="216" t="s">
        <v>67</v>
      </c>
      <c r="G17" s="217"/>
      <c r="H17" s="218"/>
      <c r="I17" s="219">
        <v>0.243</v>
      </c>
      <c r="J17" s="18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9"/>
    </row>
    <row r="18" spans="1:30" s="12" customFormat="1" ht="16.5" customHeight="1" thickBot="1" thickTop="1">
      <c r="A18" s="186"/>
      <c r="B18" s="192"/>
      <c r="C18" s="31"/>
      <c r="D18" s="31"/>
      <c r="E18" s="31"/>
      <c r="F18" s="220" t="s">
        <v>68</v>
      </c>
      <c r="G18" s="221"/>
      <c r="H18" s="221"/>
      <c r="I18" s="222">
        <f>30*'TOT-0115'!B13</f>
        <v>30</v>
      </c>
      <c r="J18" s="31"/>
      <c r="K18" s="270" t="str">
        <f>IF(I18=30," ",IF(I18=60,"Coeficiente duplicado por tasa de falla &gt;4 Sal. x año/100 km.","REVISAR COEFICIENTE"))</f>
        <v> 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98"/>
      <c r="X18" s="198"/>
      <c r="Y18" s="198"/>
      <c r="Z18" s="198"/>
      <c r="AA18" s="198"/>
      <c r="AB18" s="198"/>
      <c r="AC18" s="198"/>
      <c r="AD18" s="39"/>
    </row>
    <row r="19" spans="1:30" s="110" customFormat="1" ht="8.25" customHeight="1" thickTop="1">
      <c r="A19" s="106"/>
      <c r="B19" s="107"/>
      <c r="C19" s="106"/>
      <c r="D19" s="106"/>
      <c r="E19" s="106"/>
      <c r="F19" s="744"/>
      <c r="G19" s="745"/>
      <c r="H19" s="746"/>
      <c r="I19" s="106"/>
      <c r="K19" s="112"/>
      <c r="L19" s="113"/>
      <c r="M19" s="270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9"/>
    </row>
    <row r="20" spans="1:30" s="783" customFormat="1" ht="15" customHeight="1" thickBot="1">
      <c r="A20" s="789"/>
      <c r="B20" s="790"/>
      <c r="C20" s="791">
        <v>3</v>
      </c>
      <c r="D20" s="791">
        <v>4</v>
      </c>
      <c r="E20" s="791">
        <v>5</v>
      </c>
      <c r="F20" s="791">
        <v>6</v>
      </c>
      <c r="G20" s="791">
        <v>7</v>
      </c>
      <c r="H20" s="791">
        <v>8</v>
      </c>
      <c r="I20" s="791">
        <v>9</v>
      </c>
      <c r="J20" s="791">
        <v>10</v>
      </c>
      <c r="K20" s="791">
        <v>11</v>
      </c>
      <c r="L20" s="791">
        <v>12</v>
      </c>
      <c r="M20" s="791">
        <v>13</v>
      </c>
      <c r="N20" s="791">
        <v>14</v>
      </c>
      <c r="O20" s="791">
        <v>15</v>
      </c>
      <c r="P20" s="791">
        <v>16</v>
      </c>
      <c r="Q20" s="791">
        <v>17</v>
      </c>
      <c r="R20" s="791">
        <v>18</v>
      </c>
      <c r="S20" s="791">
        <v>19</v>
      </c>
      <c r="T20" s="791">
        <v>20</v>
      </c>
      <c r="U20" s="791">
        <v>21</v>
      </c>
      <c r="V20" s="791">
        <v>22</v>
      </c>
      <c r="W20" s="791">
        <v>23</v>
      </c>
      <c r="X20" s="791">
        <v>24</v>
      </c>
      <c r="Y20" s="791">
        <v>25</v>
      </c>
      <c r="Z20" s="791">
        <v>26</v>
      </c>
      <c r="AA20" s="791">
        <v>27</v>
      </c>
      <c r="AB20" s="791">
        <v>28</v>
      </c>
      <c r="AC20" s="791">
        <v>29</v>
      </c>
      <c r="AD20" s="792"/>
    </row>
    <row r="21" spans="1:30" s="123" customFormat="1" ht="33.75" customHeight="1" thickBot="1" thickTop="1">
      <c r="A21" s="223"/>
      <c r="B21" s="224"/>
      <c r="C21" s="226" t="s">
        <v>45</v>
      </c>
      <c r="D21" s="116" t="s">
        <v>136</v>
      </c>
      <c r="E21" s="116" t="s">
        <v>135</v>
      </c>
      <c r="F21" s="231" t="s">
        <v>69</v>
      </c>
      <c r="G21" s="227" t="s">
        <v>14</v>
      </c>
      <c r="H21" s="228" t="s">
        <v>70</v>
      </c>
      <c r="I21" s="229" t="s">
        <v>46</v>
      </c>
      <c r="J21" s="300" t="s">
        <v>48</v>
      </c>
      <c r="K21" s="230" t="s">
        <v>71</v>
      </c>
      <c r="L21" s="230" t="s">
        <v>72</v>
      </c>
      <c r="M21" s="231" t="s">
        <v>73</v>
      </c>
      <c r="N21" s="231" t="s">
        <v>74</v>
      </c>
      <c r="O21" s="120" t="s">
        <v>53</v>
      </c>
      <c r="P21" s="232" t="s">
        <v>75</v>
      </c>
      <c r="Q21" s="231" t="s">
        <v>76</v>
      </c>
      <c r="R21" s="227" t="s">
        <v>77</v>
      </c>
      <c r="S21" s="371" t="s">
        <v>78</v>
      </c>
      <c r="T21" s="357" t="s">
        <v>55</v>
      </c>
      <c r="U21" s="381" t="s">
        <v>56</v>
      </c>
      <c r="V21" s="387" t="s">
        <v>79</v>
      </c>
      <c r="W21" s="388"/>
      <c r="X21" s="396" t="s">
        <v>79</v>
      </c>
      <c r="Y21" s="397"/>
      <c r="Z21" s="405" t="s">
        <v>59</v>
      </c>
      <c r="AA21" s="411" t="s">
        <v>60</v>
      </c>
      <c r="AB21" s="229" t="s">
        <v>61</v>
      </c>
      <c r="AC21" s="229" t="s">
        <v>62</v>
      </c>
      <c r="AD21" s="225"/>
    </row>
    <row r="22" spans="1:30" s="12" customFormat="1" ht="16.5" customHeight="1" thickTop="1">
      <c r="A22" s="186"/>
      <c r="B22" s="192"/>
      <c r="C22" s="19"/>
      <c r="D22" s="19"/>
      <c r="E22" s="19"/>
      <c r="F22" s="24"/>
      <c r="G22" s="24"/>
      <c r="H22" s="24"/>
      <c r="I22" s="24"/>
      <c r="J22" s="305"/>
      <c r="K22" s="25"/>
      <c r="L22" s="24"/>
      <c r="M22" s="25"/>
      <c r="N22" s="25"/>
      <c r="O22" s="24"/>
      <c r="P22" s="24"/>
      <c r="Q22" s="24"/>
      <c r="R22" s="24"/>
      <c r="S22" s="372"/>
      <c r="T22" s="376"/>
      <c r="U22" s="382"/>
      <c r="V22" s="389"/>
      <c r="W22" s="390"/>
      <c r="X22" s="398"/>
      <c r="Y22" s="399"/>
      <c r="Z22" s="406"/>
      <c r="AA22" s="412"/>
      <c r="AB22" s="24"/>
      <c r="AC22" s="63"/>
      <c r="AD22" s="39"/>
    </row>
    <row r="23" spans="1:30" s="12" customFormat="1" ht="16.5" customHeight="1">
      <c r="A23" s="186"/>
      <c r="B23" s="192"/>
      <c r="C23" s="19"/>
      <c r="D23" s="19"/>
      <c r="E23" s="19"/>
      <c r="F23" s="20"/>
      <c r="G23" s="20"/>
      <c r="H23" s="20"/>
      <c r="I23" s="20"/>
      <c r="J23" s="306"/>
      <c r="K23" s="21"/>
      <c r="L23" s="20"/>
      <c r="M23" s="21"/>
      <c r="N23" s="21"/>
      <c r="O23" s="20"/>
      <c r="P23" s="20"/>
      <c r="Q23" s="20"/>
      <c r="R23" s="20"/>
      <c r="S23" s="373"/>
      <c r="T23" s="377"/>
      <c r="U23" s="383"/>
      <c r="V23" s="391"/>
      <c r="W23" s="392"/>
      <c r="X23" s="400"/>
      <c r="Y23" s="401"/>
      <c r="Z23" s="407"/>
      <c r="AA23" s="413"/>
      <c r="AB23" s="20"/>
      <c r="AC23" s="234"/>
      <c r="AD23" s="39"/>
    </row>
    <row r="24" spans="1:30" s="12" customFormat="1" ht="16.5" customHeight="1">
      <c r="A24" s="186"/>
      <c r="B24" s="192"/>
      <c r="C24" s="699">
        <v>14</v>
      </c>
      <c r="D24" s="699">
        <v>283812</v>
      </c>
      <c r="E24" s="699">
        <v>834</v>
      </c>
      <c r="F24" s="565" t="s">
        <v>9</v>
      </c>
      <c r="G24" s="564" t="s">
        <v>152</v>
      </c>
      <c r="H24" s="700">
        <v>15</v>
      </c>
      <c r="I24" s="747" t="s">
        <v>153</v>
      </c>
      <c r="J24" s="303">
        <f aca="true" t="shared" si="0" ref="J24:J29">H24*$I$17</f>
        <v>3.645</v>
      </c>
      <c r="K24" s="703">
        <v>42018.74791666667</v>
      </c>
      <c r="L24" s="703">
        <v>42018.7875</v>
      </c>
      <c r="M24" s="27">
        <f aca="true" t="shared" si="1" ref="M24:M29">IF(F24="","",(L24-K24)*24)</f>
        <v>0.9499999999534339</v>
      </c>
      <c r="N24" s="28">
        <f aca="true" t="shared" si="2" ref="N24:N29">IF(F24="","",ROUND((L24-K24)*24*60,0))</f>
        <v>57</v>
      </c>
      <c r="O24" s="704" t="s">
        <v>145</v>
      </c>
      <c r="P24" s="26" t="str">
        <f>IF(F24="","",IF(OR(O24="P",O24="RP"),"--","NO"))</f>
        <v>NO</v>
      </c>
      <c r="Q24" s="768" t="str">
        <f aca="true" t="shared" si="3" ref="Q24:Q29">IF(F24="","","--")</f>
        <v>--</v>
      </c>
      <c r="R24" s="26" t="s">
        <v>142</v>
      </c>
      <c r="S24" s="374">
        <f aca="true" t="shared" si="4" ref="S24:S29">$I$18*IF(OR(O24="P",O24="RP"),0.1,1)*IF(R24="SI",1,0.1)</f>
        <v>30</v>
      </c>
      <c r="T24" s="378" t="str">
        <f aca="true" t="shared" si="5" ref="T24:T29">IF(O24="P",J24*S24*ROUND(N24/60,2),"--")</f>
        <v>--</v>
      </c>
      <c r="U24" s="384" t="str">
        <f aca="true" t="shared" si="6" ref="U24:U29">IF(O24="RP",J24*S24*ROUND(N24/60,2)*Q24/100,"--")</f>
        <v>--</v>
      </c>
      <c r="V24" s="393">
        <f aca="true" t="shared" si="7" ref="V24:V29">IF(AND(O24="F",P24="NO"),J24*S24,"--")</f>
        <v>109.35</v>
      </c>
      <c r="W24" s="394">
        <f aca="true" t="shared" si="8" ref="W24:W29">IF(O24="F",J24*S24*ROUND(N24/60,2),"--")</f>
        <v>103.8825</v>
      </c>
      <c r="X24" s="402" t="str">
        <f aca="true" t="shared" si="9" ref="X24:X29">IF(AND(O24="R",P24="NO"),J24*S24*Q24/100,"--")</f>
        <v>--</v>
      </c>
      <c r="Y24" s="403" t="str">
        <f aca="true" t="shared" si="10" ref="Y24:Y29">IF(O24="R",J24*S24*ROUND(N24/60,2)*Q24/100,"--")</f>
        <v>--</v>
      </c>
      <c r="Z24" s="408" t="str">
        <f aca="true" t="shared" si="11" ref="Z24:Z29">IF(O24="RF",J24*S24*ROUND(N24/60,2),"--")</f>
        <v>--</v>
      </c>
      <c r="AA24" s="414" t="str">
        <f aca="true" t="shared" si="12" ref="AA24:AA29">IF(O24="RR",J24*S24*ROUND(N24/60,2)*Q24/100,"--")</f>
        <v>--</v>
      </c>
      <c r="AB24" s="26" t="str">
        <f aca="true" t="shared" si="13" ref="AB24:AB29">IF(F24="","","SI")</f>
        <v>SI</v>
      </c>
      <c r="AC24" s="64">
        <f aca="true" t="shared" si="14" ref="AC24:AC29">IF(F24="","",SUM(T24:AA24)*IF(AB24="SI",1,2))</f>
        <v>213.2325</v>
      </c>
      <c r="AD24" s="458"/>
    </row>
    <row r="25" spans="1:30" s="12" customFormat="1" ht="16.5" customHeight="1">
      <c r="A25" s="186"/>
      <c r="B25" s="192"/>
      <c r="C25" s="699">
        <v>15</v>
      </c>
      <c r="D25" s="699">
        <v>284145</v>
      </c>
      <c r="E25" s="699">
        <v>3054</v>
      </c>
      <c r="F25" s="565" t="s">
        <v>155</v>
      </c>
      <c r="G25" s="564" t="s">
        <v>152</v>
      </c>
      <c r="H25" s="700">
        <v>15</v>
      </c>
      <c r="I25" s="747" t="s">
        <v>154</v>
      </c>
      <c r="J25" s="303">
        <f t="shared" si="0"/>
        <v>3.645</v>
      </c>
      <c r="K25" s="703">
        <v>42026.69722222222</v>
      </c>
      <c r="L25" s="703">
        <v>42026.73888888889</v>
      </c>
      <c r="M25" s="27">
        <f t="shared" si="1"/>
        <v>1.0000000001164153</v>
      </c>
      <c r="N25" s="28">
        <f t="shared" si="2"/>
        <v>60</v>
      </c>
      <c r="O25" s="704" t="s">
        <v>145</v>
      </c>
      <c r="P25" s="26" t="str">
        <f aca="true" t="shared" si="15" ref="P25:P43">IF(F25="","",IF(OR(O25="P",O25="RP"),"--","NO"))</f>
        <v>NO</v>
      </c>
      <c r="Q25" s="768" t="str">
        <f t="shared" si="3"/>
        <v>--</v>
      </c>
      <c r="R25" s="26" t="s">
        <v>142</v>
      </c>
      <c r="S25" s="374">
        <f t="shared" si="4"/>
        <v>30</v>
      </c>
      <c r="T25" s="378" t="str">
        <f t="shared" si="5"/>
        <v>--</v>
      </c>
      <c r="U25" s="384" t="str">
        <f t="shared" si="6"/>
        <v>--</v>
      </c>
      <c r="V25" s="393">
        <f t="shared" si="7"/>
        <v>109.35</v>
      </c>
      <c r="W25" s="394">
        <f t="shared" si="8"/>
        <v>109.35</v>
      </c>
      <c r="X25" s="402" t="str">
        <f t="shared" si="9"/>
        <v>--</v>
      </c>
      <c r="Y25" s="403" t="str">
        <f t="shared" si="10"/>
        <v>--</v>
      </c>
      <c r="Z25" s="408" t="str">
        <f t="shared" si="11"/>
        <v>--</v>
      </c>
      <c r="AA25" s="414" t="str">
        <f t="shared" si="12"/>
        <v>--</v>
      </c>
      <c r="AB25" s="26" t="str">
        <f t="shared" si="13"/>
        <v>SI</v>
      </c>
      <c r="AC25" s="64">
        <f t="shared" si="14"/>
        <v>218.7</v>
      </c>
      <c r="AD25" s="458"/>
    </row>
    <row r="26" spans="1:30" s="12" customFormat="1" ht="16.5" customHeight="1">
      <c r="A26" s="186"/>
      <c r="B26" s="192"/>
      <c r="C26" s="699"/>
      <c r="D26" s="699"/>
      <c r="E26" s="699"/>
      <c r="F26" s="565"/>
      <c r="G26" s="564"/>
      <c r="H26" s="700"/>
      <c r="I26" s="701"/>
      <c r="J26" s="303">
        <f t="shared" si="0"/>
        <v>0</v>
      </c>
      <c r="K26" s="703"/>
      <c r="L26" s="703"/>
      <c r="M26" s="27">
        <f t="shared" si="1"/>
      </c>
      <c r="N26" s="28">
        <f t="shared" si="2"/>
      </c>
      <c r="O26" s="704"/>
      <c r="P26" s="26">
        <f t="shared" si="15"/>
      </c>
      <c r="Q26" s="768">
        <f t="shared" si="3"/>
      </c>
      <c r="R26" s="26">
        <f>IF(F26="","","NO")</f>
      </c>
      <c r="S26" s="374">
        <f t="shared" si="4"/>
        <v>3</v>
      </c>
      <c r="T26" s="378" t="str">
        <f t="shared" si="5"/>
        <v>--</v>
      </c>
      <c r="U26" s="384" t="str">
        <f t="shared" si="6"/>
        <v>--</v>
      </c>
      <c r="V26" s="393" t="str">
        <f t="shared" si="7"/>
        <v>--</v>
      </c>
      <c r="W26" s="394" t="str">
        <f t="shared" si="8"/>
        <v>--</v>
      </c>
      <c r="X26" s="402" t="str">
        <f t="shared" si="9"/>
        <v>--</v>
      </c>
      <c r="Y26" s="403" t="str">
        <f t="shared" si="10"/>
        <v>--</v>
      </c>
      <c r="Z26" s="408" t="str">
        <f t="shared" si="11"/>
        <v>--</v>
      </c>
      <c r="AA26" s="414" t="str">
        <f t="shared" si="12"/>
        <v>--</v>
      </c>
      <c r="AB26" s="26">
        <f t="shared" si="13"/>
      </c>
      <c r="AC26" s="64">
        <f t="shared" si="14"/>
      </c>
      <c r="AD26" s="458"/>
    </row>
    <row r="27" spans="1:30" s="12" customFormat="1" ht="16.5" customHeight="1">
      <c r="A27" s="186"/>
      <c r="B27" s="192"/>
      <c r="C27" s="699"/>
      <c r="D27" s="699"/>
      <c r="E27" s="699"/>
      <c r="F27" s="565"/>
      <c r="G27" s="564"/>
      <c r="H27" s="700"/>
      <c r="I27" s="701"/>
      <c r="J27" s="303">
        <f t="shared" si="0"/>
        <v>0</v>
      </c>
      <c r="K27" s="703"/>
      <c r="L27" s="703"/>
      <c r="M27" s="27">
        <f t="shared" si="1"/>
      </c>
      <c r="N27" s="28">
        <f t="shared" si="2"/>
      </c>
      <c r="O27" s="704"/>
      <c r="P27" s="26">
        <f t="shared" si="15"/>
      </c>
      <c r="Q27" s="768">
        <f t="shared" si="3"/>
      </c>
      <c r="R27" s="26">
        <f>IF(F27="","","NO")</f>
      </c>
      <c r="S27" s="374">
        <f t="shared" si="4"/>
        <v>3</v>
      </c>
      <c r="T27" s="378" t="str">
        <f t="shared" si="5"/>
        <v>--</v>
      </c>
      <c r="U27" s="384" t="str">
        <f t="shared" si="6"/>
        <v>--</v>
      </c>
      <c r="V27" s="393" t="str">
        <f t="shared" si="7"/>
        <v>--</v>
      </c>
      <c r="W27" s="394" t="str">
        <f t="shared" si="8"/>
        <v>--</v>
      </c>
      <c r="X27" s="402" t="str">
        <f t="shared" si="9"/>
        <v>--</v>
      </c>
      <c r="Y27" s="403" t="str">
        <f t="shared" si="10"/>
        <v>--</v>
      </c>
      <c r="Z27" s="408" t="str">
        <f t="shared" si="11"/>
        <v>--</v>
      </c>
      <c r="AA27" s="414" t="str">
        <f t="shared" si="12"/>
        <v>--</v>
      </c>
      <c r="AB27" s="26">
        <f t="shared" si="13"/>
      </c>
      <c r="AC27" s="64">
        <f t="shared" si="14"/>
      </c>
      <c r="AD27" s="458"/>
    </row>
    <row r="28" spans="1:30" s="12" customFormat="1" ht="16.5" customHeight="1">
      <c r="A28" s="186"/>
      <c r="B28" s="192"/>
      <c r="C28" s="699"/>
      <c r="D28" s="699"/>
      <c r="E28" s="699"/>
      <c r="F28" s="565"/>
      <c r="G28" s="564"/>
      <c r="H28" s="700"/>
      <c r="I28" s="701"/>
      <c r="J28" s="303">
        <f t="shared" si="0"/>
        <v>0</v>
      </c>
      <c r="K28" s="703"/>
      <c r="L28" s="703"/>
      <c r="M28" s="27">
        <f t="shared" si="1"/>
      </c>
      <c r="N28" s="28">
        <f t="shared" si="2"/>
      </c>
      <c r="O28" s="704"/>
      <c r="P28" s="26">
        <f t="shared" si="15"/>
      </c>
      <c r="Q28" s="768">
        <f t="shared" si="3"/>
      </c>
      <c r="R28" s="26">
        <f>IF(F28="","","NO")</f>
      </c>
      <c r="S28" s="374">
        <f t="shared" si="4"/>
        <v>3</v>
      </c>
      <c r="T28" s="378" t="str">
        <f t="shared" si="5"/>
        <v>--</v>
      </c>
      <c r="U28" s="384" t="str">
        <f t="shared" si="6"/>
        <v>--</v>
      </c>
      <c r="V28" s="393" t="str">
        <f t="shared" si="7"/>
        <v>--</v>
      </c>
      <c r="W28" s="394" t="str">
        <f t="shared" si="8"/>
        <v>--</v>
      </c>
      <c r="X28" s="402" t="str">
        <f t="shared" si="9"/>
        <v>--</v>
      </c>
      <c r="Y28" s="403" t="str">
        <f t="shared" si="10"/>
        <v>--</v>
      </c>
      <c r="Z28" s="408" t="str">
        <f t="shared" si="11"/>
        <v>--</v>
      </c>
      <c r="AA28" s="414" t="str">
        <f t="shared" si="12"/>
        <v>--</v>
      </c>
      <c r="AB28" s="26">
        <f t="shared" si="13"/>
      </c>
      <c r="AC28" s="64">
        <f t="shared" si="14"/>
      </c>
      <c r="AD28" s="458"/>
    </row>
    <row r="29" spans="1:30" s="12" customFormat="1" ht="16.5" customHeight="1">
      <c r="A29" s="186"/>
      <c r="B29" s="192"/>
      <c r="C29" s="699"/>
      <c r="D29" s="699"/>
      <c r="E29" s="699"/>
      <c r="F29" s="565"/>
      <c r="G29" s="564"/>
      <c r="H29" s="700"/>
      <c r="I29" s="701"/>
      <c r="J29" s="303">
        <f t="shared" si="0"/>
        <v>0</v>
      </c>
      <c r="K29" s="703"/>
      <c r="L29" s="703"/>
      <c r="M29" s="27">
        <f t="shared" si="1"/>
      </c>
      <c r="N29" s="28">
        <f t="shared" si="2"/>
      </c>
      <c r="O29" s="704"/>
      <c r="P29" s="26">
        <f t="shared" si="15"/>
      </c>
      <c r="Q29" s="768">
        <f t="shared" si="3"/>
      </c>
      <c r="R29" s="26">
        <f>IF(F29="","","NO")</f>
      </c>
      <c r="S29" s="374">
        <f t="shared" si="4"/>
        <v>3</v>
      </c>
      <c r="T29" s="378" t="str">
        <f t="shared" si="5"/>
        <v>--</v>
      </c>
      <c r="U29" s="384" t="str">
        <f t="shared" si="6"/>
        <v>--</v>
      </c>
      <c r="V29" s="393" t="str">
        <f t="shared" si="7"/>
        <v>--</v>
      </c>
      <c r="W29" s="394" t="str">
        <f t="shared" si="8"/>
        <v>--</v>
      </c>
      <c r="X29" s="402" t="str">
        <f t="shared" si="9"/>
        <v>--</v>
      </c>
      <c r="Y29" s="403" t="str">
        <f t="shared" si="10"/>
        <v>--</v>
      </c>
      <c r="Z29" s="408" t="str">
        <f t="shared" si="11"/>
        <v>--</v>
      </c>
      <c r="AA29" s="414" t="str">
        <f t="shared" si="12"/>
        <v>--</v>
      </c>
      <c r="AB29" s="26">
        <f t="shared" si="13"/>
      </c>
      <c r="AC29" s="64">
        <f t="shared" si="14"/>
      </c>
      <c r="AD29" s="458"/>
    </row>
    <row r="30" spans="1:30" s="12" customFormat="1" ht="16.5" customHeight="1">
      <c r="A30" s="186"/>
      <c r="B30" s="192"/>
      <c r="C30" s="699"/>
      <c r="D30" s="699"/>
      <c r="E30" s="699"/>
      <c r="F30" s="565"/>
      <c r="G30" s="564"/>
      <c r="H30" s="700"/>
      <c r="I30" s="701"/>
      <c r="J30" s="303">
        <f aca="true" t="shared" si="16" ref="J30:J43">H30*$I$17</f>
        <v>0</v>
      </c>
      <c r="K30" s="703"/>
      <c r="L30" s="703"/>
      <c r="M30" s="27">
        <f aca="true" t="shared" si="17" ref="M30:M43">IF(F30="","",(L30-K30)*24)</f>
      </c>
      <c r="N30" s="28">
        <f aca="true" t="shared" si="18" ref="N30:N43">IF(F30="","",ROUND((L30-K30)*24*60,0))</f>
      </c>
      <c r="O30" s="704"/>
      <c r="P30" s="26">
        <f t="shared" si="15"/>
      </c>
      <c r="Q30" s="768">
        <f aca="true" t="shared" si="19" ref="Q30:Q43">IF(F30="","","--")</f>
      </c>
      <c r="R30" s="26">
        <f aca="true" t="shared" si="20" ref="R30:R43">IF(F30="","","NO")</f>
      </c>
      <c r="S30" s="374">
        <f aca="true" t="shared" si="21" ref="S30:S43">$I$18*IF(OR(O30="P",O30="RP"),0.1,1)*IF(R30="SI",1,0.1)</f>
        <v>3</v>
      </c>
      <c r="T30" s="378" t="str">
        <f aca="true" t="shared" si="22" ref="T30:T43">IF(O30="P",J30*S30*ROUND(N30/60,2),"--")</f>
        <v>--</v>
      </c>
      <c r="U30" s="384" t="str">
        <f aca="true" t="shared" si="23" ref="U30:U43">IF(O30="RP",J30*S30*ROUND(N30/60,2)*Q30/100,"--")</f>
        <v>--</v>
      </c>
      <c r="V30" s="393" t="str">
        <f aca="true" t="shared" si="24" ref="V30:V43">IF(AND(O30="F",P30="NO"),J30*S30,"--")</f>
        <v>--</v>
      </c>
      <c r="W30" s="394" t="str">
        <f aca="true" t="shared" si="25" ref="W30:W43">IF(O30="F",J30*S30*ROUND(N30/60,2),"--")</f>
        <v>--</v>
      </c>
      <c r="X30" s="402" t="str">
        <f aca="true" t="shared" si="26" ref="X30:X43">IF(AND(O30="R",P30="NO"),J30*S30*Q30/100,"--")</f>
        <v>--</v>
      </c>
      <c r="Y30" s="403" t="str">
        <f aca="true" t="shared" si="27" ref="Y30:Y43">IF(O30="R",J30*S30*ROUND(N30/60,2)*Q30/100,"--")</f>
        <v>--</v>
      </c>
      <c r="Z30" s="408" t="str">
        <f aca="true" t="shared" si="28" ref="Z30:Z43">IF(O30="RF",J30*S30*ROUND(N30/60,2),"--")</f>
        <v>--</v>
      </c>
      <c r="AA30" s="414" t="str">
        <f aca="true" t="shared" si="29" ref="AA30:AA43">IF(O30="RR",J30*S30*ROUND(N30/60,2)*Q30/100,"--")</f>
        <v>--</v>
      </c>
      <c r="AB30" s="26">
        <f aca="true" t="shared" si="30" ref="AB30:AB43">IF(F30="","","SI")</f>
      </c>
      <c r="AC30" s="64">
        <f aca="true" t="shared" si="31" ref="AC30:AC43">IF(F30="","",SUM(T30:AA30)*IF(AB30="SI",1,2))</f>
      </c>
      <c r="AD30" s="39"/>
    </row>
    <row r="31" spans="1:30" s="12" customFormat="1" ht="16.5" customHeight="1">
      <c r="A31" s="186"/>
      <c r="B31" s="192"/>
      <c r="C31" s="699"/>
      <c r="D31" s="699"/>
      <c r="E31" s="699"/>
      <c r="F31" s="565"/>
      <c r="G31" s="564"/>
      <c r="H31" s="700"/>
      <c r="I31" s="701"/>
      <c r="J31" s="303">
        <f t="shared" si="16"/>
        <v>0</v>
      </c>
      <c r="K31" s="703"/>
      <c r="L31" s="703"/>
      <c r="M31" s="27">
        <f t="shared" si="17"/>
      </c>
      <c r="N31" s="28">
        <f t="shared" si="18"/>
      </c>
      <c r="O31" s="704"/>
      <c r="P31" s="26">
        <f t="shared" si="15"/>
      </c>
      <c r="Q31" s="768">
        <f t="shared" si="19"/>
      </c>
      <c r="R31" s="26">
        <f t="shared" si="20"/>
      </c>
      <c r="S31" s="374">
        <f t="shared" si="21"/>
        <v>3</v>
      </c>
      <c r="T31" s="378" t="str">
        <f t="shared" si="22"/>
        <v>--</v>
      </c>
      <c r="U31" s="384" t="str">
        <f t="shared" si="23"/>
        <v>--</v>
      </c>
      <c r="V31" s="393" t="str">
        <f t="shared" si="24"/>
        <v>--</v>
      </c>
      <c r="W31" s="394" t="str">
        <f t="shared" si="25"/>
        <v>--</v>
      </c>
      <c r="X31" s="402" t="str">
        <f t="shared" si="26"/>
        <v>--</v>
      </c>
      <c r="Y31" s="403" t="str">
        <f t="shared" si="27"/>
        <v>--</v>
      </c>
      <c r="Z31" s="408" t="str">
        <f t="shared" si="28"/>
        <v>--</v>
      </c>
      <c r="AA31" s="414" t="str">
        <f t="shared" si="29"/>
        <v>--</v>
      </c>
      <c r="AB31" s="26">
        <f t="shared" si="30"/>
      </c>
      <c r="AC31" s="64">
        <f t="shared" si="31"/>
      </c>
      <c r="AD31" s="39"/>
    </row>
    <row r="32" spans="1:30" s="12" customFormat="1" ht="16.5" customHeight="1">
      <c r="A32" s="186"/>
      <c r="B32" s="192"/>
      <c r="C32" s="699"/>
      <c r="D32" s="699"/>
      <c r="E32" s="699"/>
      <c r="F32" s="565"/>
      <c r="G32" s="564"/>
      <c r="H32" s="700"/>
      <c r="I32" s="701"/>
      <c r="J32" s="303">
        <f t="shared" si="16"/>
        <v>0</v>
      </c>
      <c r="K32" s="703"/>
      <c r="L32" s="703"/>
      <c r="M32" s="27">
        <f t="shared" si="17"/>
      </c>
      <c r="N32" s="28">
        <f t="shared" si="18"/>
      </c>
      <c r="O32" s="704"/>
      <c r="P32" s="26">
        <f t="shared" si="15"/>
      </c>
      <c r="Q32" s="768">
        <f t="shared" si="19"/>
      </c>
      <c r="R32" s="26">
        <f t="shared" si="20"/>
      </c>
      <c r="S32" s="374">
        <f t="shared" si="21"/>
        <v>3</v>
      </c>
      <c r="T32" s="378" t="str">
        <f t="shared" si="22"/>
        <v>--</v>
      </c>
      <c r="U32" s="384" t="str">
        <f t="shared" si="23"/>
        <v>--</v>
      </c>
      <c r="V32" s="393" t="str">
        <f t="shared" si="24"/>
        <v>--</v>
      </c>
      <c r="W32" s="394" t="str">
        <f t="shared" si="25"/>
        <v>--</v>
      </c>
      <c r="X32" s="402" t="str">
        <f t="shared" si="26"/>
        <v>--</v>
      </c>
      <c r="Y32" s="403" t="str">
        <f t="shared" si="27"/>
        <v>--</v>
      </c>
      <c r="Z32" s="408" t="str">
        <f t="shared" si="28"/>
        <v>--</v>
      </c>
      <c r="AA32" s="414" t="str">
        <f t="shared" si="29"/>
        <v>--</v>
      </c>
      <c r="AB32" s="26">
        <f t="shared" si="30"/>
      </c>
      <c r="AC32" s="64">
        <f t="shared" si="31"/>
      </c>
      <c r="AD32" s="39"/>
    </row>
    <row r="33" spans="1:30" s="12" customFormat="1" ht="16.5" customHeight="1">
      <c r="A33" s="186"/>
      <c r="B33" s="192"/>
      <c r="C33" s="699"/>
      <c r="D33" s="699"/>
      <c r="E33" s="699"/>
      <c r="F33" s="565"/>
      <c r="G33" s="564"/>
      <c r="H33" s="700"/>
      <c r="I33" s="701"/>
      <c r="J33" s="303">
        <f t="shared" si="16"/>
        <v>0</v>
      </c>
      <c r="K33" s="703"/>
      <c r="L33" s="703"/>
      <c r="M33" s="27">
        <f t="shared" si="17"/>
      </c>
      <c r="N33" s="28">
        <f t="shared" si="18"/>
      </c>
      <c r="O33" s="704"/>
      <c r="P33" s="26">
        <f t="shared" si="15"/>
      </c>
      <c r="Q33" s="768">
        <f t="shared" si="19"/>
      </c>
      <c r="R33" s="26">
        <f t="shared" si="20"/>
      </c>
      <c r="S33" s="374">
        <f t="shared" si="21"/>
        <v>3</v>
      </c>
      <c r="T33" s="378" t="str">
        <f t="shared" si="22"/>
        <v>--</v>
      </c>
      <c r="U33" s="384" t="str">
        <f t="shared" si="23"/>
        <v>--</v>
      </c>
      <c r="V33" s="393" t="str">
        <f t="shared" si="24"/>
        <v>--</v>
      </c>
      <c r="W33" s="394" t="str">
        <f t="shared" si="25"/>
        <v>--</v>
      </c>
      <c r="X33" s="402" t="str">
        <f t="shared" si="26"/>
        <v>--</v>
      </c>
      <c r="Y33" s="403" t="str">
        <f t="shared" si="27"/>
        <v>--</v>
      </c>
      <c r="Z33" s="408" t="str">
        <f t="shared" si="28"/>
        <v>--</v>
      </c>
      <c r="AA33" s="414" t="str">
        <f t="shared" si="29"/>
        <v>--</v>
      </c>
      <c r="AB33" s="26">
        <f t="shared" si="30"/>
      </c>
      <c r="AC33" s="64">
        <f t="shared" si="31"/>
      </c>
      <c r="AD33" s="39"/>
    </row>
    <row r="34" spans="1:30" s="12" customFormat="1" ht="16.5" customHeight="1">
      <c r="A34" s="186"/>
      <c r="B34" s="192"/>
      <c r="C34" s="699"/>
      <c r="D34" s="699"/>
      <c r="E34" s="699"/>
      <c r="F34" s="565"/>
      <c r="G34" s="564"/>
      <c r="H34" s="700"/>
      <c r="I34" s="701"/>
      <c r="J34" s="303">
        <f t="shared" si="16"/>
        <v>0</v>
      </c>
      <c r="K34" s="703"/>
      <c r="L34" s="703"/>
      <c r="M34" s="27">
        <f t="shared" si="17"/>
      </c>
      <c r="N34" s="28">
        <f t="shared" si="18"/>
      </c>
      <c r="O34" s="704"/>
      <c r="P34" s="26">
        <f t="shared" si="15"/>
      </c>
      <c r="Q34" s="768">
        <f t="shared" si="19"/>
      </c>
      <c r="R34" s="26">
        <f t="shared" si="20"/>
      </c>
      <c r="S34" s="374">
        <f t="shared" si="21"/>
        <v>3</v>
      </c>
      <c r="T34" s="378" t="str">
        <f t="shared" si="22"/>
        <v>--</v>
      </c>
      <c r="U34" s="384" t="str">
        <f t="shared" si="23"/>
        <v>--</v>
      </c>
      <c r="V34" s="393" t="str">
        <f t="shared" si="24"/>
        <v>--</v>
      </c>
      <c r="W34" s="394" t="str">
        <f t="shared" si="25"/>
        <v>--</v>
      </c>
      <c r="X34" s="402" t="str">
        <f t="shared" si="26"/>
        <v>--</v>
      </c>
      <c r="Y34" s="403" t="str">
        <f t="shared" si="27"/>
        <v>--</v>
      </c>
      <c r="Z34" s="408" t="str">
        <f t="shared" si="28"/>
        <v>--</v>
      </c>
      <c r="AA34" s="414" t="str">
        <f t="shared" si="29"/>
        <v>--</v>
      </c>
      <c r="AB34" s="26">
        <f t="shared" si="30"/>
      </c>
      <c r="AC34" s="64">
        <f t="shared" si="31"/>
      </c>
      <c r="AD34" s="39"/>
    </row>
    <row r="35" spans="1:30" s="12" customFormat="1" ht="16.5" customHeight="1">
      <c r="A35" s="186"/>
      <c r="B35" s="192"/>
      <c r="C35" s="699"/>
      <c r="D35" s="699"/>
      <c r="E35" s="699"/>
      <c r="F35" s="565"/>
      <c r="G35" s="564"/>
      <c r="H35" s="700"/>
      <c r="I35" s="701"/>
      <c r="J35" s="303">
        <f t="shared" si="16"/>
        <v>0</v>
      </c>
      <c r="K35" s="703"/>
      <c r="L35" s="703"/>
      <c r="M35" s="27">
        <f t="shared" si="17"/>
      </c>
      <c r="N35" s="28">
        <f t="shared" si="18"/>
      </c>
      <c r="O35" s="704"/>
      <c r="P35" s="26">
        <f t="shared" si="15"/>
      </c>
      <c r="Q35" s="768">
        <f t="shared" si="19"/>
      </c>
      <c r="R35" s="26">
        <f t="shared" si="20"/>
      </c>
      <c r="S35" s="374">
        <f t="shared" si="21"/>
        <v>3</v>
      </c>
      <c r="T35" s="378" t="str">
        <f t="shared" si="22"/>
        <v>--</v>
      </c>
      <c r="U35" s="384" t="str">
        <f t="shared" si="23"/>
        <v>--</v>
      </c>
      <c r="V35" s="393" t="str">
        <f t="shared" si="24"/>
        <v>--</v>
      </c>
      <c r="W35" s="394" t="str">
        <f t="shared" si="25"/>
        <v>--</v>
      </c>
      <c r="X35" s="402" t="str">
        <f t="shared" si="26"/>
        <v>--</v>
      </c>
      <c r="Y35" s="403" t="str">
        <f t="shared" si="27"/>
        <v>--</v>
      </c>
      <c r="Z35" s="408" t="str">
        <f t="shared" si="28"/>
        <v>--</v>
      </c>
      <c r="AA35" s="414" t="str">
        <f t="shared" si="29"/>
        <v>--</v>
      </c>
      <c r="AB35" s="26">
        <f t="shared" si="30"/>
      </c>
      <c r="AC35" s="64">
        <f t="shared" si="31"/>
      </c>
      <c r="AD35" s="39"/>
    </row>
    <row r="36" spans="1:30" s="12" customFormat="1" ht="16.5" customHeight="1">
      <c r="A36" s="186"/>
      <c r="B36" s="192"/>
      <c r="C36" s="699"/>
      <c r="D36" s="699"/>
      <c r="E36" s="699"/>
      <c r="F36" s="565"/>
      <c r="G36" s="564"/>
      <c r="H36" s="700"/>
      <c r="I36" s="701"/>
      <c r="J36" s="303">
        <f t="shared" si="16"/>
        <v>0</v>
      </c>
      <c r="K36" s="703"/>
      <c r="L36" s="703"/>
      <c r="M36" s="27">
        <f t="shared" si="17"/>
      </c>
      <c r="N36" s="28">
        <f t="shared" si="18"/>
      </c>
      <c r="O36" s="704"/>
      <c r="P36" s="26">
        <f t="shared" si="15"/>
      </c>
      <c r="Q36" s="768">
        <f t="shared" si="19"/>
      </c>
      <c r="R36" s="26">
        <f t="shared" si="20"/>
      </c>
      <c r="S36" s="374">
        <f t="shared" si="21"/>
        <v>3</v>
      </c>
      <c r="T36" s="378" t="str">
        <f t="shared" si="22"/>
        <v>--</v>
      </c>
      <c r="U36" s="384" t="str">
        <f t="shared" si="23"/>
        <v>--</v>
      </c>
      <c r="V36" s="393" t="str">
        <f t="shared" si="24"/>
        <v>--</v>
      </c>
      <c r="W36" s="394" t="str">
        <f t="shared" si="25"/>
        <v>--</v>
      </c>
      <c r="X36" s="402" t="str">
        <f t="shared" si="26"/>
        <v>--</v>
      </c>
      <c r="Y36" s="403" t="str">
        <f t="shared" si="27"/>
        <v>--</v>
      </c>
      <c r="Z36" s="408" t="str">
        <f t="shared" si="28"/>
        <v>--</v>
      </c>
      <c r="AA36" s="414" t="str">
        <f t="shared" si="29"/>
        <v>--</v>
      </c>
      <c r="AB36" s="26">
        <f t="shared" si="30"/>
      </c>
      <c r="AC36" s="64">
        <f t="shared" si="31"/>
      </c>
      <c r="AD36" s="39"/>
    </row>
    <row r="37" spans="1:30" s="12" customFormat="1" ht="16.5" customHeight="1">
      <c r="A37" s="186"/>
      <c r="B37" s="192"/>
      <c r="C37" s="699"/>
      <c r="D37" s="699"/>
      <c r="E37" s="699"/>
      <c r="F37" s="565"/>
      <c r="G37" s="564"/>
      <c r="H37" s="700"/>
      <c r="I37" s="701"/>
      <c r="J37" s="303">
        <f t="shared" si="16"/>
        <v>0</v>
      </c>
      <c r="K37" s="703"/>
      <c r="L37" s="703"/>
      <c r="M37" s="27">
        <f t="shared" si="17"/>
      </c>
      <c r="N37" s="28">
        <f t="shared" si="18"/>
      </c>
      <c r="O37" s="704"/>
      <c r="P37" s="26">
        <f t="shared" si="15"/>
      </c>
      <c r="Q37" s="768">
        <f t="shared" si="19"/>
      </c>
      <c r="R37" s="26">
        <f t="shared" si="20"/>
      </c>
      <c r="S37" s="374">
        <f t="shared" si="21"/>
        <v>3</v>
      </c>
      <c r="T37" s="378" t="str">
        <f t="shared" si="22"/>
        <v>--</v>
      </c>
      <c r="U37" s="384" t="str">
        <f t="shared" si="23"/>
        <v>--</v>
      </c>
      <c r="V37" s="393" t="str">
        <f t="shared" si="24"/>
        <v>--</v>
      </c>
      <c r="W37" s="394" t="str">
        <f t="shared" si="25"/>
        <v>--</v>
      </c>
      <c r="X37" s="402" t="str">
        <f t="shared" si="26"/>
        <v>--</v>
      </c>
      <c r="Y37" s="403" t="str">
        <f t="shared" si="27"/>
        <v>--</v>
      </c>
      <c r="Z37" s="408" t="str">
        <f t="shared" si="28"/>
        <v>--</v>
      </c>
      <c r="AA37" s="414" t="str">
        <f t="shared" si="29"/>
        <v>--</v>
      </c>
      <c r="AB37" s="26">
        <f t="shared" si="30"/>
      </c>
      <c r="AC37" s="64">
        <f t="shared" si="31"/>
      </c>
      <c r="AD37" s="39"/>
    </row>
    <row r="38" spans="1:30" s="12" customFormat="1" ht="16.5" customHeight="1">
      <c r="A38" s="186"/>
      <c r="B38" s="192"/>
      <c r="C38" s="699"/>
      <c r="D38" s="699"/>
      <c r="E38" s="699"/>
      <c r="F38" s="565"/>
      <c r="G38" s="564"/>
      <c r="H38" s="700"/>
      <c r="I38" s="701"/>
      <c r="J38" s="303">
        <f t="shared" si="16"/>
        <v>0</v>
      </c>
      <c r="K38" s="703"/>
      <c r="L38" s="703"/>
      <c r="M38" s="27">
        <f t="shared" si="17"/>
      </c>
      <c r="N38" s="28">
        <f t="shared" si="18"/>
      </c>
      <c r="O38" s="704"/>
      <c r="P38" s="26">
        <f t="shared" si="15"/>
      </c>
      <c r="Q38" s="768">
        <f t="shared" si="19"/>
      </c>
      <c r="R38" s="26">
        <f t="shared" si="20"/>
      </c>
      <c r="S38" s="374">
        <f t="shared" si="21"/>
        <v>3</v>
      </c>
      <c r="T38" s="378" t="str">
        <f t="shared" si="22"/>
        <v>--</v>
      </c>
      <c r="U38" s="384" t="str">
        <f t="shared" si="23"/>
        <v>--</v>
      </c>
      <c r="V38" s="393" t="str">
        <f t="shared" si="24"/>
        <v>--</v>
      </c>
      <c r="W38" s="394" t="str">
        <f t="shared" si="25"/>
        <v>--</v>
      </c>
      <c r="X38" s="402" t="str">
        <f t="shared" si="26"/>
        <v>--</v>
      </c>
      <c r="Y38" s="403" t="str">
        <f t="shared" si="27"/>
        <v>--</v>
      </c>
      <c r="Z38" s="408" t="str">
        <f t="shared" si="28"/>
        <v>--</v>
      </c>
      <c r="AA38" s="414" t="str">
        <f t="shared" si="29"/>
        <v>--</v>
      </c>
      <c r="AB38" s="26">
        <f t="shared" si="30"/>
      </c>
      <c r="AC38" s="64">
        <f t="shared" si="31"/>
      </c>
      <c r="AD38" s="39"/>
    </row>
    <row r="39" spans="1:30" s="12" customFormat="1" ht="16.5" customHeight="1">
      <c r="A39" s="186"/>
      <c r="B39" s="192"/>
      <c r="C39" s="699"/>
      <c r="D39" s="699"/>
      <c r="E39" s="699"/>
      <c r="F39" s="565"/>
      <c r="G39" s="564"/>
      <c r="H39" s="700"/>
      <c r="I39" s="701"/>
      <c r="J39" s="303">
        <f t="shared" si="16"/>
        <v>0</v>
      </c>
      <c r="K39" s="703"/>
      <c r="L39" s="703"/>
      <c r="M39" s="27">
        <f t="shared" si="17"/>
      </c>
      <c r="N39" s="28">
        <f t="shared" si="18"/>
      </c>
      <c r="O39" s="704"/>
      <c r="P39" s="26">
        <f t="shared" si="15"/>
      </c>
      <c r="Q39" s="768">
        <f t="shared" si="19"/>
      </c>
      <c r="R39" s="26">
        <f t="shared" si="20"/>
      </c>
      <c r="S39" s="374">
        <f t="shared" si="21"/>
        <v>3</v>
      </c>
      <c r="T39" s="378" t="str">
        <f t="shared" si="22"/>
        <v>--</v>
      </c>
      <c r="U39" s="384" t="str">
        <f t="shared" si="23"/>
        <v>--</v>
      </c>
      <c r="V39" s="393" t="str">
        <f t="shared" si="24"/>
        <v>--</v>
      </c>
      <c r="W39" s="394" t="str">
        <f t="shared" si="25"/>
        <v>--</v>
      </c>
      <c r="X39" s="402" t="str">
        <f t="shared" si="26"/>
        <v>--</v>
      </c>
      <c r="Y39" s="403" t="str">
        <f t="shared" si="27"/>
        <v>--</v>
      </c>
      <c r="Z39" s="408" t="str">
        <f t="shared" si="28"/>
        <v>--</v>
      </c>
      <c r="AA39" s="414" t="str">
        <f t="shared" si="29"/>
        <v>--</v>
      </c>
      <c r="AB39" s="26">
        <f t="shared" si="30"/>
      </c>
      <c r="AC39" s="64">
        <f t="shared" si="31"/>
      </c>
      <c r="AD39" s="39"/>
    </row>
    <row r="40" spans="1:30" s="12" customFormat="1" ht="16.5" customHeight="1">
      <c r="A40" s="186"/>
      <c r="B40" s="192"/>
      <c r="C40" s="699"/>
      <c r="D40" s="699"/>
      <c r="E40" s="699"/>
      <c r="F40" s="565"/>
      <c r="G40" s="564"/>
      <c r="H40" s="700"/>
      <c r="I40" s="701"/>
      <c r="J40" s="303">
        <f t="shared" si="16"/>
        <v>0</v>
      </c>
      <c r="K40" s="703"/>
      <c r="L40" s="703"/>
      <c r="M40" s="27">
        <f t="shared" si="17"/>
      </c>
      <c r="N40" s="28">
        <f t="shared" si="18"/>
      </c>
      <c r="O40" s="704"/>
      <c r="P40" s="26">
        <f t="shared" si="15"/>
      </c>
      <c r="Q40" s="768">
        <f t="shared" si="19"/>
      </c>
      <c r="R40" s="26">
        <f t="shared" si="20"/>
      </c>
      <c r="S40" s="374">
        <f t="shared" si="21"/>
        <v>3</v>
      </c>
      <c r="T40" s="378" t="str">
        <f t="shared" si="22"/>
        <v>--</v>
      </c>
      <c r="U40" s="384" t="str">
        <f t="shared" si="23"/>
        <v>--</v>
      </c>
      <c r="V40" s="393" t="str">
        <f t="shared" si="24"/>
        <v>--</v>
      </c>
      <c r="W40" s="394" t="str">
        <f t="shared" si="25"/>
        <v>--</v>
      </c>
      <c r="X40" s="402" t="str">
        <f t="shared" si="26"/>
        <v>--</v>
      </c>
      <c r="Y40" s="403" t="str">
        <f t="shared" si="27"/>
        <v>--</v>
      </c>
      <c r="Z40" s="408" t="str">
        <f t="shared" si="28"/>
        <v>--</v>
      </c>
      <c r="AA40" s="414" t="str">
        <f t="shared" si="29"/>
        <v>--</v>
      </c>
      <c r="AB40" s="26">
        <f t="shared" si="30"/>
      </c>
      <c r="AC40" s="64">
        <f t="shared" si="31"/>
      </c>
      <c r="AD40" s="39"/>
    </row>
    <row r="41" spans="1:30" s="12" customFormat="1" ht="16.5" customHeight="1">
      <c r="A41" s="186"/>
      <c r="B41" s="192"/>
      <c r="C41" s="699"/>
      <c r="D41" s="699"/>
      <c r="E41" s="699"/>
      <c r="F41" s="565"/>
      <c r="G41" s="564"/>
      <c r="H41" s="700"/>
      <c r="I41" s="701"/>
      <c r="J41" s="303">
        <f t="shared" si="16"/>
        <v>0</v>
      </c>
      <c r="K41" s="703"/>
      <c r="L41" s="703"/>
      <c r="M41" s="27">
        <f t="shared" si="17"/>
      </c>
      <c r="N41" s="28">
        <f t="shared" si="18"/>
      </c>
      <c r="O41" s="704"/>
      <c r="P41" s="26">
        <f t="shared" si="15"/>
      </c>
      <c r="Q41" s="768">
        <f t="shared" si="19"/>
      </c>
      <c r="R41" s="26">
        <f t="shared" si="20"/>
      </c>
      <c r="S41" s="374">
        <f t="shared" si="21"/>
        <v>3</v>
      </c>
      <c r="T41" s="378" t="str">
        <f t="shared" si="22"/>
        <v>--</v>
      </c>
      <c r="U41" s="384" t="str">
        <f t="shared" si="23"/>
        <v>--</v>
      </c>
      <c r="V41" s="393" t="str">
        <f t="shared" si="24"/>
        <v>--</v>
      </c>
      <c r="W41" s="394" t="str">
        <f t="shared" si="25"/>
        <v>--</v>
      </c>
      <c r="X41" s="402" t="str">
        <f t="shared" si="26"/>
        <v>--</v>
      </c>
      <c r="Y41" s="403" t="str">
        <f t="shared" si="27"/>
        <v>--</v>
      </c>
      <c r="Z41" s="408" t="str">
        <f t="shared" si="28"/>
        <v>--</v>
      </c>
      <c r="AA41" s="414" t="str">
        <f t="shared" si="29"/>
        <v>--</v>
      </c>
      <c r="AB41" s="26">
        <f t="shared" si="30"/>
      </c>
      <c r="AC41" s="64">
        <f t="shared" si="31"/>
      </c>
      <c r="AD41" s="39"/>
    </row>
    <row r="42" spans="1:30" s="12" customFormat="1" ht="16.5" customHeight="1">
      <c r="A42" s="186"/>
      <c r="B42" s="192"/>
      <c r="C42" s="699"/>
      <c r="D42" s="699"/>
      <c r="E42" s="699"/>
      <c r="F42" s="565"/>
      <c r="G42" s="564"/>
      <c r="H42" s="700"/>
      <c r="I42" s="701"/>
      <c r="J42" s="303">
        <f t="shared" si="16"/>
        <v>0</v>
      </c>
      <c r="K42" s="703"/>
      <c r="L42" s="703"/>
      <c r="M42" s="27">
        <f t="shared" si="17"/>
      </c>
      <c r="N42" s="28">
        <f t="shared" si="18"/>
      </c>
      <c r="O42" s="704"/>
      <c r="P42" s="26">
        <f t="shared" si="15"/>
      </c>
      <c r="Q42" s="768">
        <f t="shared" si="19"/>
      </c>
      <c r="R42" s="26">
        <f t="shared" si="20"/>
      </c>
      <c r="S42" s="374">
        <f t="shared" si="21"/>
        <v>3</v>
      </c>
      <c r="T42" s="378" t="str">
        <f t="shared" si="22"/>
        <v>--</v>
      </c>
      <c r="U42" s="384" t="str">
        <f t="shared" si="23"/>
        <v>--</v>
      </c>
      <c r="V42" s="393" t="str">
        <f t="shared" si="24"/>
        <v>--</v>
      </c>
      <c r="W42" s="394" t="str">
        <f t="shared" si="25"/>
        <v>--</v>
      </c>
      <c r="X42" s="402" t="str">
        <f t="shared" si="26"/>
        <v>--</v>
      </c>
      <c r="Y42" s="403" t="str">
        <f t="shared" si="27"/>
        <v>--</v>
      </c>
      <c r="Z42" s="408" t="str">
        <f t="shared" si="28"/>
        <v>--</v>
      </c>
      <c r="AA42" s="414" t="str">
        <f t="shared" si="29"/>
        <v>--</v>
      </c>
      <c r="AB42" s="26">
        <f t="shared" si="30"/>
      </c>
      <c r="AC42" s="64">
        <f t="shared" si="31"/>
      </c>
      <c r="AD42" s="39"/>
    </row>
    <row r="43" spans="1:30" s="12" customFormat="1" ht="16.5" customHeight="1">
      <c r="A43" s="186"/>
      <c r="B43" s="192"/>
      <c r="C43" s="699"/>
      <c r="D43" s="699"/>
      <c r="E43" s="699"/>
      <c r="F43" s="565"/>
      <c r="G43" s="564"/>
      <c r="H43" s="700"/>
      <c r="I43" s="701"/>
      <c r="J43" s="303">
        <f t="shared" si="16"/>
        <v>0</v>
      </c>
      <c r="K43" s="703"/>
      <c r="L43" s="703"/>
      <c r="M43" s="27">
        <f t="shared" si="17"/>
      </c>
      <c r="N43" s="28">
        <f t="shared" si="18"/>
      </c>
      <c r="O43" s="704"/>
      <c r="P43" s="26">
        <f t="shared" si="15"/>
      </c>
      <c r="Q43" s="768">
        <f t="shared" si="19"/>
      </c>
      <c r="R43" s="26">
        <f t="shared" si="20"/>
      </c>
      <c r="S43" s="374">
        <f t="shared" si="21"/>
        <v>3</v>
      </c>
      <c r="T43" s="378" t="str">
        <f t="shared" si="22"/>
        <v>--</v>
      </c>
      <c r="U43" s="384" t="str">
        <f t="shared" si="23"/>
        <v>--</v>
      </c>
      <c r="V43" s="393" t="str">
        <f t="shared" si="24"/>
        <v>--</v>
      </c>
      <c r="W43" s="394" t="str">
        <f t="shared" si="25"/>
        <v>--</v>
      </c>
      <c r="X43" s="402" t="str">
        <f t="shared" si="26"/>
        <v>--</v>
      </c>
      <c r="Y43" s="403" t="str">
        <f t="shared" si="27"/>
        <v>--</v>
      </c>
      <c r="Z43" s="408" t="str">
        <f t="shared" si="28"/>
        <v>--</v>
      </c>
      <c r="AA43" s="414" t="str">
        <f t="shared" si="29"/>
        <v>--</v>
      </c>
      <c r="AB43" s="26">
        <f t="shared" si="30"/>
      </c>
      <c r="AC43" s="64">
        <f t="shared" si="31"/>
      </c>
      <c r="AD43" s="39"/>
    </row>
    <row r="44" spans="1:30" s="12" customFormat="1" ht="16.5" customHeight="1" thickBot="1">
      <c r="A44" s="186"/>
      <c r="B44" s="192"/>
      <c r="C44" s="702"/>
      <c r="D44" s="702"/>
      <c r="E44" s="702"/>
      <c r="F44" s="702"/>
      <c r="G44" s="702"/>
      <c r="H44" s="702"/>
      <c r="I44" s="702"/>
      <c r="J44" s="307"/>
      <c r="K44" s="702"/>
      <c r="L44" s="702"/>
      <c r="M44" s="30"/>
      <c r="N44" s="30"/>
      <c r="O44" s="702"/>
      <c r="P44" s="702"/>
      <c r="Q44" s="702"/>
      <c r="R44" s="702"/>
      <c r="S44" s="375"/>
      <c r="T44" s="379"/>
      <c r="U44" s="385"/>
      <c r="V44" s="417"/>
      <c r="W44" s="418"/>
      <c r="X44" s="419"/>
      <c r="Y44" s="420"/>
      <c r="Z44" s="409"/>
      <c r="AA44" s="415"/>
      <c r="AB44" s="30"/>
      <c r="AC44" s="235"/>
      <c r="AD44" s="39"/>
    </row>
    <row r="45" spans="1:30" s="12" customFormat="1" ht="16.5" customHeight="1" thickBot="1" thickTop="1">
      <c r="A45" s="186"/>
      <c r="B45" s="192"/>
      <c r="C45" s="273" t="s">
        <v>63</v>
      </c>
      <c r="D45" s="777"/>
      <c r="E45" s="751"/>
      <c r="F45" s="27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80">
        <f aca="true" t="shared" si="32" ref="T45:AA45">SUM(T22:T44)</f>
        <v>0</v>
      </c>
      <c r="U45" s="386">
        <f t="shared" si="32"/>
        <v>0</v>
      </c>
      <c r="V45" s="395">
        <f t="shared" si="32"/>
        <v>218.7</v>
      </c>
      <c r="W45" s="395">
        <f t="shared" si="32"/>
        <v>213.2325</v>
      </c>
      <c r="X45" s="404">
        <f t="shared" si="32"/>
        <v>0</v>
      </c>
      <c r="Y45" s="404">
        <f t="shared" si="32"/>
        <v>0</v>
      </c>
      <c r="Z45" s="410">
        <f t="shared" si="32"/>
        <v>0</v>
      </c>
      <c r="AA45" s="416">
        <f t="shared" si="32"/>
        <v>0</v>
      </c>
      <c r="AB45" s="32"/>
      <c r="AC45" s="289">
        <f>ROUND(SUM(AC22:AC44),2)</f>
        <v>431.93</v>
      </c>
      <c r="AD45" s="39"/>
    </row>
    <row r="46" spans="1:30" s="292" customFormat="1" ht="9.75" thickTop="1">
      <c r="A46" s="293"/>
      <c r="B46" s="294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6"/>
      <c r="U46" s="296"/>
      <c r="V46" s="296"/>
      <c r="W46" s="296"/>
      <c r="X46" s="296"/>
      <c r="Y46" s="296"/>
      <c r="Z46" s="296"/>
      <c r="AA46" s="296"/>
      <c r="AB46" s="295"/>
      <c r="AC46" s="297"/>
      <c r="AD46" s="298"/>
    </row>
    <row r="47" spans="1:30" s="12" customFormat="1" ht="16.5" customHeight="1" thickBot="1">
      <c r="A47" s="186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1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">
      <selection activeCell="G20" sqref="G20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4" customFormat="1" ht="26.25">
      <c r="W1" s="469"/>
    </row>
    <row r="2" spans="2:23" s="124" customFormat="1" ht="26.25">
      <c r="B2" s="125" t="str">
        <f>+'TOT-0115'!B2</f>
        <v>ANEXO I al Memorándum  D.T.E.E.  N°   326  / 2016              .-</v>
      </c>
      <c r="C2" s="126"/>
      <c r="D2" s="126"/>
      <c r="E2" s="126"/>
      <c r="F2" s="126"/>
      <c r="G2" s="12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="12" customFormat="1" ht="12.75"/>
    <row r="4" spans="1:4" s="127" customFormat="1" ht="11.25">
      <c r="A4" s="754" t="s">
        <v>16</v>
      </c>
      <c r="C4" s="753"/>
      <c r="D4" s="753"/>
    </row>
    <row r="5" spans="1:4" s="127" customFormat="1" ht="11.25">
      <c r="A5" s="754" t="s">
        <v>137</v>
      </c>
      <c r="C5" s="753"/>
      <c r="D5" s="753"/>
    </row>
    <row r="6" s="12" customFormat="1" ht="13.5" thickBot="1"/>
    <row r="7" spans="2:23" s="12" customFormat="1" ht="13.5" thickTop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2:23" s="129" customFormat="1" ht="20.25">
      <c r="B8" s="128"/>
      <c r="C8" s="46"/>
      <c r="D8" s="46"/>
      <c r="E8" s="46"/>
      <c r="F8" s="22" t="s">
        <v>39</v>
      </c>
      <c r="P8" s="46"/>
      <c r="Q8" s="46"/>
      <c r="R8" s="46"/>
      <c r="S8" s="46"/>
      <c r="T8" s="46"/>
      <c r="U8" s="46"/>
      <c r="V8" s="46"/>
      <c r="W8" s="130"/>
    </row>
    <row r="9" spans="2:23" s="12" customFormat="1" ht="12.75">
      <c r="B9" s="45"/>
      <c r="C9" s="10"/>
      <c r="D9" s="10"/>
      <c r="E9" s="10"/>
      <c r="F9" s="10"/>
      <c r="G9" s="10"/>
      <c r="H9" s="10"/>
      <c r="I9" s="138"/>
      <c r="J9" s="138"/>
      <c r="K9" s="138"/>
      <c r="L9" s="138"/>
      <c r="M9" s="138"/>
      <c r="P9" s="10"/>
      <c r="Q9" s="10"/>
      <c r="R9" s="10"/>
      <c r="S9" s="10"/>
      <c r="T9" s="10"/>
      <c r="U9" s="10"/>
      <c r="V9" s="10"/>
      <c r="W9" s="13"/>
    </row>
    <row r="10" spans="2:23" s="129" customFormat="1" ht="20.25">
      <c r="B10" s="128"/>
      <c r="C10" s="46"/>
      <c r="D10" s="46"/>
      <c r="E10" s="46"/>
      <c r="F10" s="22" t="s">
        <v>81</v>
      </c>
      <c r="G10" s="22"/>
      <c r="H10" s="46"/>
      <c r="I10" s="22"/>
      <c r="J10" s="22"/>
      <c r="K10" s="22"/>
      <c r="L10" s="22"/>
      <c r="M10" s="22"/>
      <c r="P10" s="46"/>
      <c r="Q10" s="46"/>
      <c r="R10" s="46"/>
      <c r="S10" s="46"/>
      <c r="T10" s="46"/>
      <c r="U10" s="46"/>
      <c r="V10" s="46"/>
      <c r="W10" s="130"/>
    </row>
    <row r="11" spans="2:23" s="12" customFormat="1" ht="12.75">
      <c r="B11" s="45"/>
      <c r="C11" s="10"/>
      <c r="D11" s="10"/>
      <c r="E11" s="10"/>
      <c r="F11" s="202"/>
      <c r="G11" s="138"/>
      <c r="H11" s="10"/>
      <c r="I11" s="138"/>
      <c r="J11" s="138"/>
      <c r="K11" s="138"/>
      <c r="L11" s="138"/>
      <c r="M11" s="138"/>
      <c r="P11" s="10"/>
      <c r="Q11" s="10"/>
      <c r="R11" s="10"/>
      <c r="S11" s="10"/>
      <c r="T11" s="10"/>
      <c r="U11" s="10"/>
      <c r="V11" s="10"/>
      <c r="W11" s="13"/>
    </row>
    <row r="12" spans="2:23" s="129" customFormat="1" ht="20.25">
      <c r="B12" s="128"/>
      <c r="C12" s="46"/>
      <c r="D12" s="46"/>
      <c r="E12" s="46"/>
      <c r="F12" s="22" t="s">
        <v>82</v>
      </c>
      <c r="G12" s="22"/>
      <c r="H12" s="46"/>
      <c r="I12" s="22"/>
      <c r="J12" s="22"/>
      <c r="K12" s="22"/>
      <c r="L12" s="22"/>
      <c r="M12" s="22"/>
      <c r="P12" s="46"/>
      <c r="Q12" s="46"/>
      <c r="R12" s="46"/>
      <c r="S12" s="46"/>
      <c r="T12" s="46"/>
      <c r="U12" s="46"/>
      <c r="V12" s="46"/>
      <c r="W12" s="130"/>
    </row>
    <row r="13" spans="2:23" s="12" customFormat="1" ht="12.75">
      <c r="B13" s="45"/>
      <c r="C13" s="10"/>
      <c r="D13" s="10"/>
      <c r="E13" s="10"/>
      <c r="F13" s="140"/>
      <c r="G13" s="138"/>
      <c r="H13" s="10"/>
      <c r="I13" s="138"/>
      <c r="J13" s="138"/>
      <c r="K13" s="138"/>
      <c r="L13" s="138"/>
      <c r="M13" s="138"/>
      <c r="P13" s="10"/>
      <c r="Q13" s="10"/>
      <c r="R13" s="10"/>
      <c r="S13" s="10"/>
      <c r="T13" s="10"/>
      <c r="U13" s="10"/>
      <c r="V13" s="10"/>
      <c r="W13" s="13"/>
    </row>
    <row r="14" spans="2:23" s="136" customFormat="1" ht="19.5">
      <c r="B14" s="102" t="str">
        <f>+'TOT-0115'!B14</f>
        <v>Desde el 01 al 31 de enero de 2015</v>
      </c>
      <c r="C14" s="132"/>
      <c r="D14" s="132"/>
      <c r="E14" s="132"/>
      <c r="F14" s="132"/>
      <c r="G14" s="132"/>
      <c r="H14" s="101"/>
      <c r="I14" s="132"/>
      <c r="J14" s="133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5"/>
    </row>
    <row r="15" spans="2:23" s="12" customFormat="1" ht="16.5" customHeight="1" thickBot="1">
      <c r="B15" s="45"/>
      <c r="C15" s="10"/>
      <c r="D15" s="10"/>
      <c r="E15" s="10"/>
      <c r="I15" s="137"/>
      <c r="K15" s="10"/>
      <c r="L15" s="10"/>
      <c r="M15" s="10"/>
      <c r="N15" s="137"/>
      <c r="O15" s="137"/>
      <c r="P15" s="137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5"/>
      <c r="C16" s="10"/>
      <c r="D16" s="10"/>
      <c r="E16" s="10"/>
      <c r="F16" s="240" t="s">
        <v>83</v>
      </c>
      <c r="G16" s="793">
        <v>28.313</v>
      </c>
      <c r="H16" s="108">
        <v>60</v>
      </c>
      <c r="I16" s="137"/>
      <c r="J16" s="270" t="str">
        <f>IF(H16=60," ",IF(H16=120,"Coeficiente duplicado por tasa de falla &gt;4 Sal. x año/100 km.","REVISAR COEFICIENTE"))</f>
        <v> </v>
      </c>
      <c r="K16" s="10"/>
      <c r="L16" s="10"/>
      <c r="M16" s="10"/>
      <c r="N16" s="137"/>
      <c r="O16" s="137"/>
      <c r="P16" s="137"/>
      <c r="Q16" s="10"/>
      <c r="R16" s="10"/>
      <c r="S16" s="10"/>
      <c r="T16" s="10"/>
      <c r="U16" s="10"/>
      <c r="V16" s="10"/>
      <c r="W16" s="13"/>
    </row>
    <row r="17" spans="2:23" s="12" customFormat="1" ht="16.5" customHeight="1" thickBot="1" thickTop="1">
      <c r="B17" s="45"/>
      <c r="C17" s="10"/>
      <c r="D17" s="10"/>
      <c r="E17" s="10"/>
      <c r="F17" s="240" t="s">
        <v>84</v>
      </c>
      <c r="G17" s="793">
        <v>11.32</v>
      </c>
      <c r="H17" s="108">
        <v>50</v>
      </c>
      <c r="J17" s="270" t="str">
        <f>IF(H17=50," ",IF(H17=100,"Coeficiente duplicado por tasa de falla &gt;4 Sal. x año/100 km.","REVISAR COEFICIENTE"))</f>
        <v> </v>
      </c>
      <c r="Q17" s="309"/>
      <c r="S17" s="10"/>
      <c r="T17" s="10"/>
      <c r="U17" s="10"/>
      <c r="V17" s="237"/>
      <c r="W17" s="13"/>
    </row>
    <row r="18" spans="2:23" s="12" customFormat="1" ht="16.5" customHeight="1" thickBot="1" thickTop="1">
      <c r="B18" s="45"/>
      <c r="C18" s="10"/>
      <c r="D18" s="10"/>
      <c r="E18" s="10"/>
      <c r="F18" s="241" t="s">
        <v>85</v>
      </c>
      <c r="G18" s="242">
        <v>8.497</v>
      </c>
      <c r="H18" s="243">
        <v>25</v>
      </c>
      <c r="J18" s="270" t="str">
        <f>IF(H18=25," ",IF(H18=50,"Coeficiente duplicado por tasa de falla &gt;4 Sal. x año/100 km.","REVISAR COEFICIENTE"))</f>
        <v> </v>
      </c>
      <c r="K18" s="182"/>
      <c r="L18" s="182"/>
      <c r="M18" s="10"/>
      <c r="P18" s="238"/>
      <c r="Q18" s="239"/>
      <c r="R18" s="37"/>
      <c r="S18" s="10"/>
      <c r="T18" s="10"/>
      <c r="U18" s="10"/>
      <c r="V18" s="237"/>
      <c r="W18" s="13"/>
    </row>
    <row r="19" spans="2:23" s="12" customFormat="1" ht="16.5" customHeight="1" thickBot="1" thickTop="1">
      <c r="B19" s="45"/>
      <c r="C19" s="10"/>
      <c r="D19" s="10"/>
      <c r="E19" s="10"/>
      <c r="F19" s="244" t="s">
        <v>86</v>
      </c>
      <c r="G19" s="242">
        <v>8.497</v>
      </c>
      <c r="H19" s="245">
        <v>20</v>
      </c>
      <c r="J19" s="270" t="str">
        <f>IF(H19=20," ",IF(H19=40,"Coeficiente duplicado por tasa de falla &gt;4 Sal. x año/100 km.","REVISAR COEFICIENTE"))</f>
        <v> </v>
      </c>
      <c r="K19" s="182"/>
      <c r="L19" s="182"/>
      <c r="M19" s="10"/>
      <c r="P19" s="238"/>
      <c r="Q19" s="239"/>
      <c r="R19" s="37"/>
      <c r="S19" s="10"/>
      <c r="T19" s="10"/>
      <c r="U19" s="10"/>
      <c r="V19" s="237"/>
      <c r="W19" s="13"/>
    </row>
    <row r="20" spans="2:23" s="783" customFormat="1" ht="16.5" customHeight="1" thickBot="1" thickTop="1">
      <c r="B20" s="780"/>
      <c r="C20" s="781">
        <v>3</v>
      </c>
      <c r="D20" s="781">
        <v>4</v>
      </c>
      <c r="E20" s="781">
        <v>5</v>
      </c>
      <c r="F20" s="781">
        <v>6</v>
      </c>
      <c r="G20" s="781">
        <v>7</v>
      </c>
      <c r="H20" s="781">
        <v>8</v>
      </c>
      <c r="I20" s="781">
        <v>9</v>
      </c>
      <c r="J20" s="781">
        <v>10</v>
      </c>
      <c r="K20" s="781">
        <v>11</v>
      </c>
      <c r="L20" s="781">
        <v>12</v>
      </c>
      <c r="M20" s="781">
        <v>13</v>
      </c>
      <c r="N20" s="781">
        <v>14</v>
      </c>
      <c r="O20" s="781">
        <v>15</v>
      </c>
      <c r="P20" s="781">
        <v>16</v>
      </c>
      <c r="Q20" s="781">
        <v>17</v>
      </c>
      <c r="R20" s="781">
        <v>18</v>
      </c>
      <c r="S20" s="781">
        <v>19</v>
      </c>
      <c r="T20" s="781">
        <v>20</v>
      </c>
      <c r="U20" s="781">
        <v>21</v>
      </c>
      <c r="V20" s="781">
        <v>22</v>
      </c>
      <c r="W20" s="782"/>
    </row>
    <row r="21" spans="2:23" s="12" customFormat="1" ht="33.75" customHeight="1" thickBot="1" thickTop="1">
      <c r="B21" s="45"/>
      <c r="C21" s="233" t="s">
        <v>45</v>
      </c>
      <c r="D21" s="116" t="s">
        <v>136</v>
      </c>
      <c r="E21" s="116" t="s">
        <v>135</v>
      </c>
      <c r="F21" s="231" t="s">
        <v>69</v>
      </c>
      <c r="G21" s="246" t="s">
        <v>14</v>
      </c>
      <c r="H21" s="249" t="s">
        <v>46</v>
      </c>
      <c r="I21" s="300" t="s">
        <v>48</v>
      </c>
      <c r="J21" s="227" t="s">
        <v>49</v>
      </c>
      <c r="K21" s="246" t="s">
        <v>50</v>
      </c>
      <c r="L21" s="248" t="s">
        <v>73</v>
      </c>
      <c r="M21" s="248" t="s">
        <v>74</v>
      </c>
      <c r="N21" s="120" t="s">
        <v>53</v>
      </c>
      <c r="O21" s="232" t="s">
        <v>75</v>
      </c>
      <c r="P21" s="422" t="s">
        <v>87</v>
      </c>
      <c r="Q21" s="356" t="s">
        <v>55</v>
      </c>
      <c r="R21" s="396" t="s">
        <v>79</v>
      </c>
      <c r="S21" s="397"/>
      <c r="T21" s="431" t="s">
        <v>59</v>
      </c>
      <c r="U21" s="229" t="s">
        <v>61</v>
      </c>
      <c r="V21" s="229" t="s">
        <v>62</v>
      </c>
      <c r="W21" s="39"/>
    </row>
    <row r="22" spans="2:23" s="12" customFormat="1" ht="16.5" customHeight="1" thickTop="1">
      <c r="B22" s="45"/>
      <c r="C22" s="21"/>
      <c r="D22" s="19"/>
      <c r="E22" s="19"/>
      <c r="F22" s="33"/>
      <c r="G22" s="33"/>
      <c r="H22" s="459"/>
      <c r="I22" s="308"/>
      <c r="J22" s="34"/>
      <c r="K22" s="35"/>
      <c r="L22" s="36"/>
      <c r="M22" s="65"/>
      <c r="N22" s="424"/>
      <c r="O22" s="424"/>
      <c r="P22" s="425"/>
      <c r="Q22" s="426"/>
      <c r="R22" s="428"/>
      <c r="S22" s="429"/>
      <c r="T22" s="432"/>
      <c r="U22" s="430"/>
      <c r="V22" s="468"/>
      <c r="W22" s="39"/>
    </row>
    <row r="23" spans="2:23" s="12" customFormat="1" ht="16.5" customHeight="1">
      <c r="B23" s="45"/>
      <c r="C23" s="21"/>
      <c r="D23" s="19"/>
      <c r="E23" s="19"/>
      <c r="F23" s="33"/>
      <c r="G23" s="33"/>
      <c r="H23" s="459"/>
      <c r="I23" s="308"/>
      <c r="J23" s="34"/>
      <c r="K23" s="35"/>
      <c r="L23" s="36"/>
      <c r="M23" s="65"/>
      <c r="N23" s="29"/>
      <c r="O23" s="29"/>
      <c r="P23" s="423"/>
      <c r="Q23" s="427"/>
      <c r="R23" s="402"/>
      <c r="S23" s="403"/>
      <c r="T23" s="433"/>
      <c r="U23" s="26"/>
      <c r="V23" s="247"/>
      <c r="W23" s="39"/>
    </row>
    <row r="24" spans="2:23" s="12" customFormat="1" ht="16.5" customHeight="1">
      <c r="B24" s="45"/>
      <c r="C24" s="714">
        <v>16</v>
      </c>
      <c r="D24" s="699">
        <v>283553</v>
      </c>
      <c r="E24" s="699">
        <v>3053</v>
      </c>
      <c r="F24" s="715" t="s">
        <v>160</v>
      </c>
      <c r="G24" s="715" t="s">
        <v>159</v>
      </c>
      <c r="H24" s="716">
        <v>132</v>
      </c>
      <c r="I24" s="308">
        <f>IF(H24=330,$G$16,IF(AND(H24&lt;=132,H24&gt;=66),$G$17,IF(AND(H24&lt;66,H24&gt;=33),$G$18,$G$19)))</f>
        <v>11.32</v>
      </c>
      <c r="J24" s="717">
        <v>42009.194444444445</v>
      </c>
      <c r="K24" s="718">
        <v>42009.217361111114</v>
      </c>
      <c r="L24" s="36">
        <f>IF(F24="","",(K24-J24)*24)</f>
        <v>0.5500000000465661</v>
      </c>
      <c r="M24" s="65">
        <f>IF(F24="","",ROUND((K24-J24)*24*60,0))</f>
        <v>33</v>
      </c>
      <c r="N24" s="719" t="s">
        <v>145</v>
      </c>
      <c r="O24" s="29" t="str">
        <f>IF(F24="","",IF(N24="P","--","NO"))</f>
        <v>NO</v>
      </c>
      <c r="P24" s="423">
        <f>IF(H24=330,$H$16,IF(AND(H24&lt;=132,H24&gt;=66),$H$17,IF(AND(H24&lt;66,H24&gt;13.2),$H$18,$H$19)))</f>
        <v>50</v>
      </c>
      <c r="Q24" s="771" t="str">
        <f>IF(N24="P",I24*P24*ROUND(M24/60,2)*0.1,"--")</f>
        <v>--</v>
      </c>
      <c r="R24" s="402">
        <f>IF(AND(N24="F",O24="NO"),I24*P24,"--")</f>
        <v>566</v>
      </c>
      <c r="S24" s="403">
        <f>IF(N24="F",I24*P24*ROUND(M24/60,2),"--")</f>
        <v>311.3</v>
      </c>
      <c r="T24" s="433" t="str">
        <f>IF(N24="RF",I24*P24*ROUND(M24/60,2),"--")</f>
        <v>--</v>
      </c>
      <c r="U24" s="26" t="str">
        <f>IF(F24="","","SI")</f>
        <v>SI</v>
      </c>
      <c r="V24" s="66">
        <f>IF(F24="","",SUM(Q24:T24)*IF(U24="SI",1,2)*IF(H24="500/220",0,1))</f>
        <v>877.3</v>
      </c>
      <c r="W24" s="39"/>
    </row>
    <row r="25" spans="2:23" s="12" customFormat="1" ht="16.5" customHeight="1">
      <c r="B25" s="45"/>
      <c r="C25" s="714">
        <v>17</v>
      </c>
      <c r="D25" s="699">
        <v>283552</v>
      </c>
      <c r="E25" s="699">
        <v>3052</v>
      </c>
      <c r="F25" s="715" t="s">
        <v>160</v>
      </c>
      <c r="G25" s="715" t="s">
        <v>161</v>
      </c>
      <c r="H25" s="716">
        <v>132</v>
      </c>
      <c r="I25" s="308">
        <f aca="true" t="shared" si="0" ref="I25:I40">IF(H25=330,$G$16,IF(AND(H25&lt;=132,H25&gt;=66),$G$17,IF(AND(H25&lt;66,H25&gt;=33),$G$18,$G$19)))</f>
        <v>11.32</v>
      </c>
      <c r="J25" s="717">
        <v>42009.194444444445</v>
      </c>
      <c r="K25" s="718">
        <v>42009.21597222223</v>
      </c>
      <c r="L25" s="36">
        <f aca="true" t="shared" si="1" ref="L25:L40">IF(F25="","",(K25-J25)*24)</f>
        <v>0.5166666667792015</v>
      </c>
      <c r="M25" s="65">
        <f aca="true" t="shared" si="2" ref="M25:M40">IF(F25="","",ROUND((K25-J25)*24*60,0))</f>
        <v>31</v>
      </c>
      <c r="N25" s="719" t="s">
        <v>145</v>
      </c>
      <c r="O25" s="29" t="str">
        <f aca="true" t="shared" si="3" ref="O25:O40">IF(F25="","",IF(N25="P","--","NO"))</f>
        <v>NO</v>
      </c>
      <c r="P25" s="423">
        <f aca="true" t="shared" si="4" ref="P25:P40">IF(H25=330,$H$16,IF(AND(H25&lt;=132,H25&gt;=66),$H$17,IF(AND(H25&lt;66,H25&gt;13.2),$H$18,$H$19)))</f>
        <v>50</v>
      </c>
      <c r="Q25" s="771" t="str">
        <f aca="true" t="shared" si="5" ref="Q25:Q40">IF(N25="P",I25*P25*ROUND(M25/60,2)*0.1,"--")</f>
        <v>--</v>
      </c>
      <c r="R25" s="402">
        <f aca="true" t="shared" si="6" ref="R25:R40">IF(AND(N25="F",O25="NO"),I25*P25,"--")</f>
        <v>566</v>
      </c>
      <c r="S25" s="403">
        <f aca="true" t="shared" si="7" ref="S25:S40">IF(N25="F",I25*P25*ROUND(M25/60,2),"--")</f>
        <v>294.32</v>
      </c>
      <c r="T25" s="433" t="str">
        <f aca="true" t="shared" si="8" ref="T25:T40">IF(N25="RF",I25*P25*ROUND(M25/60,2),"--")</f>
        <v>--</v>
      </c>
      <c r="U25" s="26" t="str">
        <f aca="true" t="shared" si="9" ref="U25:U40">IF(F25="","","SI")</f>
        <v>SI</v>
      </c>
      <c r="V25" s="66">
        <f aca="true" t="shared" si="10" ref="V25:V40">IF(F25="","",SUM(Q25:T25)*IF(U25="SI",1,2)*IF(H25="500/220",0,1))</f>
        <v>860.3199999999999</v>
      </c>
      <c r="W25" s="39"/>
    </row>
    <row r="26" spans="2:23" s="12" customFormat="1" ht="16.5" customHeight="1">
      <c r="B26" s="45"/>
      <c r="C26" s="714"/>
      <c r="D26" s="699"/>
      <c r="E26" s="699"/>
      <c r="F26" s="715"/>
      <c r="G26" s="715"/>
      <c r="H26" s="716"/>
      <c r="I26" s="308">
        <f t="shared" si="0"/>
        <v>8.497</v>
      </c>
      <c r="J26" s="717"/>
      <c r="K26" s="718"/>
      <c r="L26" s="36">
        <f t="shared" si="1"/>
      </c>
      <c r="M26" s="65">
        <f t="shared" si="2"/>
      </c>
      <c r="N26" s="719"/>
      <c r="O26" s="29">
        <f t="shared" si="3"/>
      </c>
      <c r="P26" s="423">
        <f t="shared" si="4"/>
        <v>20</v>
      </c>
      <c r="Q26" s="771" t="str">
        <f t="shared" si="5"/>
        <v>--</v>
      </c>
      <c r="R26" s="402" t="str">
        <f t="shared" si="6"/>
        <v>--</v>
      </c>
      <c r="S26" s="403" t="str">
        <f t="shared" si="7"/>
        <v>--</v>
      </c>
      <c r="T26" s="433" t="str">
        <f t="shared" si="8"/>
        <v>--</v>
      </c>
      <c r="U26" s="26">
        <f t="shared" si="9"/>
      </c>
      <c r="V26" s="66">
        <f t="shared" si="10"/>
      </c>
      <c r="W26" s="39"/>
    </row>
    <row r="27" spans="2:23" s="12" customFormat="1" ht="16.5" customHeight="1">
      <c r="B27" s="45"/>
      <c r="C27" s="714"/>
      <c r="D27" s="699"/>
      <c r="E27" s="699"/>
      <c r="F27" s="715"/>
      <c r="G27" s="715"/>
      <c r="H27" s="716"/>
      <c r="I27" s="308">
        <f t="shared" si="0"/>
        <v>8.497</v>
      </c>
      <c r="J27" s="717"/>
      <c r="K27" s="718"/>
      <c r="L27" s="36">
        <f t="shared" si="1"/>
      </c>
      <c r="M27" s="65">
        <f t="shared" si="2"/>
      </c>
      <c r="N27" s="719"/>
      <c r="O27" s="29">
        <f t="shared" si="3"/>
      </c>
      <c r="P27" s="423">
        <f t="shared" si="4"/>
        <v>20</v>
      </c>
      <c r="Q27" s="771" t="str">
        <f t="shared" si="5"/>
        <v>--</v>
      </c>
      <c r="R27" s="402" t="str">
        <f t="shared" si="6"/>
        <v>--</v>
      </c>
      <c r="S27" s="403" t="str">
        <f t="shared" si="7"/>
        <v>--</v>
      </c>
      <c r="T27" s="433" t="str">
        <f t="shared" si="8"/>
        <v>--</v>
      </c>
      <c r="U27" s="26">
        <f t="shared" si="9"/>
      </c>
      <c r="V27" s="66">
        <f t="shared" si="10"/>
      </c>
      <c r="W27" s="39"/>
    </row>
    <row r="28" spans="2:23" s="12" customFormat="1" ht="16.5" customHeight="1">
      <c r="B28" s="45"/>
      <c r="C28" s="714"/>
      <c r="D28" s="699"/>
      <c r="E28" s="699"/>
      <c r="F28" s="715"/>
      <c r="G28" s="715"/>
      <c r="H28" s="716"/>
      <c r="I28" s="308">
        <f t="shared" si="0"/>
        <v>8.497</v>
      </c>
      <c r="J28" s="717"/>
      <c r="K28" s="718"/>
      <c r="L28" s="36">
        <f t="shared" si="1"/>
      </c>
      <c r="M28" s="65">
        <f t="shared" si="2"/>
      </c>
      <c r="N28" s="719"/>
      <c r="O28" s="29">
        <f t="shared" si="3"/>
      </c>
      <c r="P28" s="423">
        <f t="shared" si="4"/>
        <v>20</v>
      </c>
      <c r="Q28" s="771" t="str">
        <f t="shared" si="5"/>
        <v>--</v>
      </c>
      <c r="R28" s="402" t="str">
        <f t="shared" si="6"/>
        <v>--</v>
      </c>
      <c r="S28" s="403" t="str">
        <f t="shared" si="7"/>
        <v>--</v>
      </c>
      <c r="T28" s="433" t="str">
        <f t="shared" si="8"/>
        <v>--</v>
      </c>
      <c r="U28" s="26">
        <f t="shared" si="9"/>
      </c>
      <c r="V28" s="66">
        <f t="shared" si="10"/>
      </c>
      <c r="W28" s="39"/>
    </row>
    <row r="29" spans="2:23" s="12" customFormat="1" ht="16.5" customHeight="1">
      <c r="B29" s="45"/>
      <c r="C29" s="714"/>
      <c r="D29" s="699"/>
      <c r="E29" s="699"/>
      <c r="F29" s="715"/>
      <c r="G29" s="715"/>
      <c r="H29" s="716"/>
      <c r="I29" s="308">
        <f t="shared" si="0"/>
        <v>8.497</v>
      </c>
      <c r="J29" s="717"/>
      <c r="K29" s="718"/>
      <c r="L29" s="36">
        <f t="shared" si="1"/>
      </c>
      <c r="M29" s="65">
        <f t="shared" si="2"/>
      </c>
      <c r="N29" s="719"/>
      <c r="O29" s="29">
        <f t="shared" si="3"/>
      </c>
      <c r="P29" s="423">
        <f t="shared" si="4"/>
        <v>20</v>
      </c>
      <c r="Q29" s="771" t="str">
        <f t="shared" si="5"/>
        <v>--</v>
      </c>
      <c r="R29" s="402" t="str">
        <f t="shared" si="6"/>
        <v>--</v>
      </c>
      <c r="S29" s="403" t="str">
        <f t="shared" si="7"/>
        <v>--</v>
      </c>
      <c r="T29" s="433" t="str">
        <f t="shared" si="8"/>
        <v>--</v>
      </c>
      <c r="U29" s="26">
        <f t="shared" si="9"/>
      </c>
      <c r="V29" s="66">
        <f t="shared" si="10"/>
      </c>
      <c r="W29" s="39"/>
    </row>
    <row r="30" spans="2:23" s="12" customFormat="1" ht="16.5" customHeight="1">
      <c r="B30" s="45"/>
      <c r="C30" s="714"/>
      <c r="D30" s="699"/>
      <c r="E30" s="699"/>
      <c r="F30" s="715"/>
      <c r="G30" s="715"/>
      <c r="H30" s="716"/>
      <c r="I30" s="308">
        <f t="shared" si="0"/>
        <v>8.497</v>
      </c>
      <c r="J30" s="717"/>
      <c r="K30" s="718"/>
      <c r="L30" s="36">
        <f t="shared" si="1"/>
      </c>
      <c r="M30" s="65">
        <f t="shared" si="2"/>
      </c>
      <c r="N30" s="719"/>
      <c r="O30" s="29">
        <f t="shared" si="3"/>
      </c>
      <c r="P30" s="423">
        <f t="shared" si="4"/>
        <v>20</v>
      </c>
      <c r="Q30" s="771" t="str">
        <f t="shared" si="5"/>
        <v>--</v>
      </c>
      <c r="R30" s="402" t="str">
        <f t="shared" si="6"/>
        <v>--</v>
      </c>
      <c r="S30" s="403" t="str">
        <f t="shared" si="7"/>
        <v>--</v>
      </c>
      <c r="T30" s="433" t="str">
        <f t="shared" si="8"/>
        <v>--</v>
      </c>
      <c r="U30" s="26">
        <f t="shared" si="9"/>
      </c>
      <c r="V30" s="66">
        <f t="shared" si="10"/>
      </c>
      <c r="W30" s="39"/>
    </row>
    <row r="31" spans="2:23" s="12" customFormat="1" ht="16.5" customHeight="1">
      <c r="B31" s="45"/>
      <c r="C31" s="714"/>
      <c r="D31" s="699"/>
      <c r="E31" s="699"/>
      <c r="F31" s="715"/>
      <c r="G31" s="715"/>
      <c r="H31" s="716"/>
      <c r="I31" s="308">
        <f t="shared" si="0"/>
        <v>8.497</v>
      </c>
      <c r="J31" s="717"/>
      <c r="K31" s="718"/>
      <c r="L31" s="36">
        <f t="shared" si="1"/>
      </c>
      <c r="M31" s="65">
        <f t="shared" si="2"/>
      </c>
      <c r="N31" s="719"/>
      <c r="O31" s="29">
        <f t="shared" si="3"/>
      </c>
      <c r="P31" s="423">
        <f t="shared" si="4"/>
        <v>20</v>
      </c>
      <c r="Q31" s="771" t="str">
        <f t="shared" si="5"/>
        <v>--</v>
      </c>
      <c r="R31" s="402" t="str">
        <f t="shared" si="6"/>
        <v>--</v>
      </c>
      <c r="S31" s="403" t="str">
        <f t="shared" si="7"/>
        <v>--</v>
      </c>
      <c r="T31" s="433" t="str">
        <f t="shared" si="8"/>
        <v>--</v>
      </c>
      <c r="U31" s="26">
        <f t="shared" si="9"/>
      </c>
      <c r="V31" s="66">
        <f t="shared" si="10"/>
      </c>
      <c r="W31" s="39"/>
    </row>
    <row r="32" spans="2:23" s="12" customFormat="1" ht="16.5" customHeight="1">
      <c r="B32" s="45"/>
      <c r="C32" s="714"/>
      <c r="D32" s="699"/>
      <c r="E32" s="699"/>
      <c r="F32" s="715"/>
      <c r="G32" s="715"/>
      <c r="H32" s="716"/>
      <c r="I32" s="308">
        <f t="shared" si="0"/>
        <v>8.497</v>
      </c>
      <c r="J32" s="717"/>
      <c r="K32" s="718"/>
      <c r="L32" s="36">
        <f t="shared" si="1"/>
      </c>
      <c r="M32" s="65">
        <f t="shared" si="2"/>
      </c>
      <c r="N32" s="719"/>
      <c r="O32" s="29">
        <f t="shared" si="3"/>
      </c>
      <c r="P32" s="423">
        <f t="shared" si="4"/>
        <v>20</v>
      </c>
      <c r="Q32" s="771" t="str">
        <f t="shared" si="5"/>
        <v>--</v>
      </c>
      <c r="R32" s="402" t="str">
        <f t="shared" si="6"/>
        <v>--</v>
      </c>
      <c r="S32" s="403" t="str">
        <f t="shared" si="7"/>
        <v>--</v>
      </c>
      <c r="T32" s="433" t="str">
        <f t="shared" si="8"/>
        <v>--</v>
      </c>
      <c r="U32" s="26">
        <f t="shared" si="9"/>
      </c>
      <c r="V32" s="66">
        <f t="shared" si="10"/>
      </c>
      <c r="W32" s="39"/>
    </row>
    <row r="33" spans="2:23" s="12" customFormat="1" ht="16.5" customHeight="1">
      <c r="B33" s="45"/>
      <c r="C33" s="714"/>
      <c r="D33" s="699"/>
      <c r="E33" s="699"/>
      <c r="F33" s="715"/>
      <c r="G33" s="715"/>
      <c r="H33" s="716"/>
      <c r="I33" s="308">
        <f t="shared" si="0"/>
        <v>8.497</v>
      </c>
      <c r="J33" s="717"/>
      <c r="K33" s="718"/>
      <c r="L33" s="36">
        <f t="shared" si="1"/>
      </c>
      <c r="M33" s="65">
        <f t="shared" si="2"/>
      </c>
      <c r="N33" s="719"/>
      <c r="O33" s="29">
        <f t="shared" si="3"/>
      </c>
      <c r="P33" s="423">
        <f t="shared" si="4"/>
        <v>20</v>
      </c>
      <c r="Q33" s="771" t="str">
        <f t="shared" si="5"/>
        <v>--</v>
      </c>
      <c r="R33" s="402" t="str">
        <f t="shared" si="6"/>
        <v>--</v>
      </c>
      <c r="S33" s="403" t="str">
        <f t="shared" si="7"/>
        <v>--</v>
      </c>
      <c r="T33" s="433" t="str">
        <f t="shared" si="8"/>
        <v>--</v>
      </c>
      <c r="U33" s="26">
        <f t="shared" si="9"/>
      </c>
      <c r="V33" s="66">
        <f t="shared" si="10"/>
      </c>
      <c r="W33" s="39"/>
    </row>
    <row r="34" spans="2:23" s="12" customFormat="1" ht="16.5" customHeight="1">
      <c r="B34" s="45"/>
      <c r="C34" s="714"/>
      <c r="D34" s="699"/>
      <c r="E34" s="699"/>
      <c r="F34" s="715"/>
      <c r="G34" s="715"/>
      <c r="H34" s="716"/>
      <c r="I34" s="308">
        <f t="shared" si="0"/>
        <v>8.497</v>
      </c>
      <c r="J34" s="717"/>
      <c r="K34" s="718"/>
      <c r="L34" s="36">
        <f t="shared" si="1"/>
      </c>
      <c r="M34" s="65">
        <f t="shared" si="2"/>
      </c>
      <c r="N34" s="719"/>
      <c r="O34" s="29">
        <f t="shared" si="3"/>
      </c>
      <c r="P34" s="423">
        <f t="shared" si="4"/>
        <v>20</v>
      </c>
      <c r="Q34" s="771" t="str">
        <f t="shared" si="5"/>
        <v>--</v>
      </c>
      <c r="R34" s="402" t="str">
        <f t="shared" si="6"/>
        <v>--</v>
      </c>
      <c r="S34" s="403" t="str">
        <f t="shared" si="7"/>
        <v>--</v>
      </c>
      <c r="T34" s="433" t="str">
        <f t="shared" si="8"/>
        <v>--</v>
      </c>
      <c r="U34" s="26">
        <f t="shared" si="9"/>
      </c>
      <c r="V34" s="66">
        <f t="shared" si="10"/>
      </c>
      <c r="W34" s="39"/>
    </row>
    <row r="35" spans="2:23" s="12" customFormat="1" ht="16.5" customHeight="1">
      <c r="B35" s="45"/>
      <c r="C35" s="714"/>
      <c r="D35" s="699"/>
      <c r="E35" s="699"/>
      <c r="F35" s="715"/>
      <c r="G35" s="715"/>
      <c r="H35" s="716"/>
      <c r="I35" s="308">
        <f t="shared" si="0"/>
        <v>8.497</v>
      </c>
      <c r="J35" s="717"/>
      <c r="K35" s="718"/>
      <c r="L35" s="36">
        <f t="shared" si="1"/>
      </c>
      <c r="M35" s="65">
        <f t="shared" si="2"/>
      </c>
      <c r="N35" s="719"/>
      <c r="O35" s="29">
        <f t="shared" si="3"/>
      </c>
      <c r="P35" s="423">
        <f t="shared" si="4"/>
        <v>20</v>
      </c>
      <c r="Q35" s="771" t="str">
        <f t="shared" si="5"/>
        <v>--</v>
      </c>
      <c r="R35" s="402" t="str">
        <f t="shared" si="6"/>
        <v>--</v>
      </c>
      <c r="S35" s="403" t="str">
        <f t="shared" si="7"/>
        <v>--</v>
      </c>
      <c r="T35" s="433" t="str">
        <f t="shared" si="8"/>
        <v>--</v>
      </c>
      <c r="U35" s="26">
        <f t="shared" si="9"/>
      </c>
      <c r="V35" s="66">
        <f t="shared" si="10"/>
      </c>
      <c r="W35" s="39"/>
    </row>
    <row r="36" spans="2:23" s="12" customFormat="1" ht="16.5" customHeight="1">
      <c r="B36" s="45"/>
      <c r="C36" s="714"/>
      <c r="D36" s="699"/>
      <c r="E36" s="699"/>
      <c r="F36" s="715"/>
      <c r="G36" s="715"/>
      <c r="H36" s="716"/>
      <c r="I36" s="308">
        <f t="shared" si="0"/>
        <v>8.497</v>
      </c>
      <c r="J36" s="717"/>
      <c r="K36" s="718"/>
      <c r="L36" s="36">
        <f t="shared" si="1"/>
      </c>
      <c r="M36" s="65">
        <f t="shared" si="2"/>
      </c>
      <c r="N36" s="719"/>
      <c r="O36" s="29">
        <f t="shared" si="3"/>
      </c>
      <c r="P36" s="423">
        <f t="shared" si="4"/>
        <v>20</v>
      </c>
      <c r="Q36" s="771" t="str">
        <f t="shared" si="5"/>
        <v>--</v>
      </c>
      <c r="R36" s="402" t="str">
        <f t="shared" si="6"/>
        <v>--</v>
      </c>
      <c r="S36" s="403" t="str">
        <f t="shared" si="7"/>
        <v>--</v>
      </c>
      <c r="T36" s="433" t="str">
        <f t="shared" si="8"/>
        <v>--</v>
      </c>
      <c r="U36" s="26">
        <f t="shared" si="9"/>
      </c>
      <c r="V36" s="66">
        <f t="shared" si="10"/>
      </c>
      <c r="W36" s="39"/>
    </row>
    <row r="37" spans="2:23" s="12" customFormat="1" ht="16.5" customHeight="1">
      <c r="B37" s="45"/>
      <c r="C37" s="714"/>
      <c r="D37" s="699"/>
      <c r="E37" s="699"/>
      <c r="F37" s="715"/>
      <c r="G37" s="715"/>
      <c r="H37" s="716"/>
      <c r="I37" s="308">
        <f t="shared" si="0"/>
        <v>8.497</v>
      </c>
      <c r="J37" s="717"/>
      <c r="K37" s="718"/>
      <c r="L37" s="36">
        <f t="shared" si="1"/>
      </c>
      <c r="M37" s="65">
        <f t="shared" si="2"/>
      </c>
      <c r="N37" s="719"/>
      <c r="O37" s="29">
        <f t="shared" si="3"/>
      </c>
      <c r="P37" s="423">
        <f t="shared" si="4"/>
        <v>20</v>
      </c>
      <c r="Q37" s="771" t="str">
        <f t="shared" si="5"/>
        <v>--</v>
      </c>
      <c r="R37" s="402" t="str">
        <f t="shared" si="6"/>
        <v>--</v>
      </c>
      <c r="S37" s="403" t="str">
        <f t="shared" si="7"/>
        <v>--</v>
      </c>
      <c r="T37" s="433" t="str">
        <f t="shared" si="8"/>
        <v>--</v>
      </c>
      <c r="U37" s="26">
        <f t="shared" si="9"/>
      </c>
      <c r="V37" s="66">
        <f t="shared" si="10"/>
      </c>
      <c r="W37" s="39"/>
    </row>
    <row r="38" spans="2:23" s="12" customFormat="1" ht="16.5" customHeight="1">
      <c r="B38" s="45"/>
      <c r="C38" s="714"/>
      <c r="D38" s="699"/>
      <c r="E38" s="699"/>
      <c r="F38" s="715"/>
      <c r="G38" s="715"/>
      <c r="H38" s="716"/>
      <c r="I38" s="308">
        <f t="shared" si="0"/>
        <v>8.497</v>
      </c>
      <c r="J38" s="717"/>
      <c r="K38" s="718"/>
      <c r="L38" s="36">
        <f t="shared" si="1"/>
      </c>
      <c r="M38" s="65">
        <f t="shared" si="2"/>
      </c>
      <c r="N38" s="719"/>
      <c r="O38" s="29">
        <f t="shared" si="3"/>
      </c>
      <c r="P38" s="423">
        <f t="shared" si="4"/>
        <v>20</v>
      </c>
      <c r="Q38" s="771" t="str">
        <f t="shared" si="5"/>
        <v>--</v>
      </c>
      <c r="R38" s="402" t="str">
        <f t="shared" si="6"/>
        <v>--</v>
      </c>
      <c r="S38" s="403" t="str">
        <f t="shared" si="7"/>
        <v>--</v>
      </c>
      <c r="T38" s="433" t="str">
        <f t="shared" si="8"/>
        <v>--</v>
      </c>
      <c r="U38" s="26">
        <f t="shared" si="9"/>
      </c>
      <c r="V38" s="66">
        <f t="shared" si="10"/>
      </c>
      <c r="W38" s="39"/>
    </row>
    <row r="39" spans="2:23" s="12" customFormat="1" ht="16.5" customHeight="1">
      <c r="B39" s="45"/>
      <c r="C39" s="714"/>
      <c r="D39" s="699"/>
      <c r="E39" s="699"/>
      <c r="F39" s="715"/>
      <c r="G39" s="715"/>
      <c r="H39" s="716"/>
      <c r="I39" s="308">
        <f t="shared" si="0"/>
        <v>8.497</v>
      </c>
      <c r="J39" s="717"/>
      <c r="K39" s="718"/>
      <c r="L39" s="36">
        <f t="shared" si="1"/>
      </c>
      <c r="M39" s="65">
        <f t="shared" si="2"/>
      </c>
      <c r="N39" s="719"/>
      <c r="O39" s="29">
        <f t="shared" si="3"/>
      </c>
      <c r="P39" s="423">
        <f t="shared" si="4"/>
        <v>20</v>
      </c>
      <c r="Q39" s="771" t="str">
        <f t="shared" si="5"/>
        <v>--</v>
      </c>
      <c r="R39" s="402" t="str">
        <f t="shared" si="6"/>
        <v>--</v>
      </c>
      <c r="S39" s="403" t="str">
        <f t="shared" si="7"/>
        <v>--</v>
      </c>
      <c r="T39" s="433" t="str">
        <f t="shared" si="8"/>
        <v>--</v>
      </c>
      <c r="U39" s="26">
        <f t="shared" si="9"/>
      </c>
      <c r="V39" s="66">
        <f t="shared" si="10"/>
      </c>
      <c r="W39" s="39"/>
    </row>
    <row r="40" spans="2:23" s="12" customFormat="1" ht="16.5" customHeight="1">
      <c r="B40" s="45"/>
      <c r="C40" s="714"/>
      <c r="D40" s="699"/>
      <c r="E40" s="699"/>
      <c r="F40" s="715"/>
      <c r="G40" s="715"/>
      <c r="H40" s="716"/>
      <c r="I40" s="308">
        <f t="shared" si="0"/>
        <v>8.497</v>
      </c>
      <c r="J40" s="717"/>
      <c r="K40" s="718"/>
      <c r="L40" s="36">
        <f t="shared" si="1"/>
      </c>
      <c r="M40" s="65">
        <f t="shared" si="2"/>
      </c>
      <c r="N40" s="719"/>
      <c r="O40" s="29">
        <f t="shared" si="3"/>
      </c>
      <c r="P40" s="423">
        <f t="shared" si="4"/>
        <v>20</v>
      </c>
      <c r="Q40" s="771" t="str">
        <f t="shared" si="5"/>
        <v>--</v>
      </c>
      <c r="R40" s="402" t="str">
        <f t="shared" si="6"/>
        <v>--</v>
      </c>
      <c r="S40" s="403" t="str">
        <f t="shared" si="7"/>
        <v>--</v>
      </c>
      <c r="T40" s="433" t="str">
        <f t="shared" si="8"/>
        <v>--</v>
      </c>
      <c r="U40" s="26">
        <f t="shared" si="9"/>
      </c>
      <c r="V40" s="66">
        <f t="shared" si="10"/>
      </c>
      <c r="W40" s="39"/>
    </row>
    <row r="41" spans="2:23" s="12" customFormat="1" ht="16.5" customHeight="1">
      <c r="B41" s="45"/>
      <c r="C41" s="714"/>
      <c r="D41" s="699"/>
      <c r="E41" s="699"/>
      <c r="F41" s="715"/>
      <c r="G41" s="715"/>
      <c r="H41" s="716"/>
      <c r="I41" s="308">
        <f>IF(H41=330,$G$16,IF(AND(H41&lt;=132,H41&gt;=66),$G$17,IF(AND(H41&lt;66,H41&gt;=33),$G$18,$G$19)))</f>
        <v>8.497</v>
      </c>
      <c r="J41" s="717"/>
      <c r="K41" s="718"/>
      <c r="L41" s="36">
        <f>IF(F41="","",(K41-J41)*24)</f>
      </c>
      <c r="M41" s="65">
        <f>IF(F41="","",ROUND((K41-J41)*24*60,0))</f>
      </c>
      <c r="N41" s="719"/>
      <c r="O41" s="29">
        <f>IF(F41="","",IF(N41="P","--","NO"))</f>
      </c>
      <c r="P41" s="423">
        <f>IF(H41=330,$H$16,IF(AND(H41&lt;=132,H41&gt;=66),$H$17,IF(AND(H41&lt;66,H41&gt;13.2),$H$18,$H$19)))</f>
        <v>20</v>
      </c>
      <c r="Q41" s="771" t="str">
        <f>IF(N41="P",I41*P41*ROUND(M41/60,2)*0.1,"--")</f>
        <v>--</v>
      </c>
      <c r="R41" s="402" t="str">
        <f>IF(AND(N41="F",O41="NO"),I41*P41,"--")</f>
        <v>--</v>
      </c>
      <c r="S41" s="403" t="str">
        <f>IF(N41="F",I41*P41*ROUND(M41/60,2),"--")</f>
        <v>--</v>
      </c>
      <c r="T41" s="433" t="str">
        <f>IF(N41="RF",I41*P41*ROUND(M41/60,2),"--")</f>
        <v>--</v>
      </c>
      <c r="U41" s="26">
        <f>IF(F41="","","SI")</f>
      </c>
      <c r="V41" s="66">
        <f>IF(F41="","",SUM(Q41:T41)*IF(U41="SI",1,2)*IF(H41="500/220",0,1))</f>
      </c>
      <c r="W41" s="39"/>
    </row>
    <row r="42" spans="2:23" s="12" customFormat="1" ht="16.5" customHeight="1">
      <c r="B42" s="45"/>
      <c r="C42" s="714"/>
      <c r="D42" s="699"/>
      <c r="E42" s="699"/>
      <c r="F42" s="715"/>
      <c r="G42" s="715"/>
      <c r="H42" s="716"/>
      <c r="I42" s="308">
        <f>IF(H42=330,$G$16,IF(AND(H42&lt;=132,H42&gt;=66),$G$17,IF(AND(H42&lt;66,H42&gt;=33),$G$18,$G$19)))</f>
        <v>8.497</v>
      </c>
      <c r="J42" s="717"/>
      <c r="K42" s="718"/>
      <c r="L42" s="36">
        <f>IF(F42="","",(K42-J42)*24)</f>
      </c>
      <c r="M42" s="65">
        <f>IF(F42="","",ROUND((K42-J42)*24*60,0))</f>
      </c>
      <c r="N42" s="719"/>
      <c r="O42" s="29">
        <f>IF(F42="","",IF(N42="P","--","NO"))</f>
      </c>
      <c r="P42" s="423">
        <f>IF(H42=330,$H$16,IF(AND(H42&lt;=132,H42&gt;=66),$H$17,IF(AND(H42&lt;66,H42&gt;13.2),$H$18,$H$19)))</f>
        <v>20</v>
      </c>
      <c r="Q42" s="771" t="str">
        <f>IF(N42="P",I42*P42*ROUND(M42/60,2)*0.1,"--")</f>
        <v>--</v>
      </c>
      <c r="R42" s="402" t="str">
        <f>IF(AND(N42="F",O42="NO"),I42*P42,"--")</f>
        <v>--</v>
      </c>
      <c r="S42" s="403" t="str">
        <f>IF(N42="F",I42*P42*ROUND(M42/60,2),"--")</f>
        <v>--</v>
      </c>
      <c r="T42" s="433" t="str">
        <f>IF(N42="RF",I42*P42*ROUND(M42/60,2),"--")</f>
        <v>--</v>
      </c>
      <c r="U42" s="26">
        <f>IF(F42="","","SI")</f>
      </c>
      <c r="V42" s="66">
        <f>IF(F42="","",SUM(Q42:T42)*IF(U42="SI",1,2)*IF(H42="500/220",0,1))</f>
      </c>
      <c r="W42" s="39"/>
    </row>
    <row r="43" spans="2:23" s="12" customFormat="1" ht="16.5" customHeight="1">
      <c r="B43" s="45"/>
      <c r="C43" s="714"/>
      <c r="D43" s="699"/>
      <c r="E43" s="699"/>
      <c r="F43" s="715"/>
      <c r="G43" s="715"/>
      <c r="H43" s="716"/>
      <c r="I43" s="308">
        <f>IF(H43=330,$G$16,IF(AND(H43&lt;=132,H43&gt;=66),$G$17,IF(AND(H43&lt;66,H43&gt;=33),$G$18,$G$19)))</f>
        <v>8.497</v>
      </c>
      <c r="J43" s="717"/>
      <c r="K43" s="718"/>
      <c r="L43" s="36">
        <f>IF(F43="","",(K43-J43)*24)</f>
      </c>
      <c r="M43" s="65">
        <f>IF(F43="","",ROUND((K43-J43)*24*60,0))</f>
      </c>
      <c r="N43" s="719"/>
      <c r="O43" s="29">
        <f>IF(F43="","",IF(N43="P","--","NO"))</f>
      </c>
      <c r="P43" s="423">
        <f>IF(H43=330,$H$16,IF(AND(H43&lt;=132,H43&gt;=66),$H$17,IF(AND(H43&lt;66,H43&gt;13.2),$H$18,$H$19)))</f>
        <v>20</v>
      </c>
      <c r="Q43" s="771" t="str">
        <f>IF(N43="P",I43*P43*ROUND(M43/60,2)*0.1,"--")</f>
        <v>--</v>
      </c>
      <c r="R43" s="402" t="str">
        <f>IF(AND(N43="F",O43="NO"),I43*P43,"--")</f>
        <v>--</v>
      </c>
      <c r="S43" s="403" t="str">
        <f>IF(N43="F",I43*P43*ROUND(M43/60,2),"--")</f>
        <v>--</v>
      </c>
      <c r="T43" s="433" t="str">
        <f>IF(N43="RF",I43*P43*ROUND(M43/60,2),"--")</f>
        <v>--</v>
      </c>
      <c r="U43" s="26">
        <f>IF(F43="","","SI")</f>
      </c>
      <c r="V43" s="66">
        <f>IF(F43="","",SUM(Q43:T43)*IF(U43="SI",1,2)*IF(H43="500/220",0,1))</f>
      </c>
      <c r="W43" s="39"/>
    </row>
    <row r="44" spans="2:23" s="12" customFormat="1" ht="16.5" customHeight="1" thickBot="1">
      <c r="B44" s="45"/>
      <c r="C44" s="702"/>
      <c r="D44" s="702"/>
      <c r="E44" s="702"/>
      <c r="F44" s="702"/>
      <c r="G44" s="702"/>
      <c r="H44" s="702"/>
      <c r="I44" s="307"/>
      <c r="J44" s="702"/>
      <c r="K44" s="702"/>
      <c r="L44" s="30"/>
      <c r="M44" s="30"/>
      <c r="N44" s="702"/>
      <c r="O44" s="702"/>
      <c r="P44" s="720"/>
      <c r="Q44" s="721"/>
      <c r="R44" s="710"/>
      <c r="S44" s="711"/>
      <c r="T44" s="705"/>
      <c r="U44" s="702"/>
      <c r="V44" s="235"/>
      <c r="W44" s="39"/>
    </row>
    <row r="45" spans="2:23" s="12" customFormat="1" ht="16.5" customHeight="1" thickBot="1" thickTop="1">
      <c r="B45" s="45"/>
      <c r="C45" s="273" t="s">
        <v>63</v>
      </c>
      <c r="D45" s="777"/>
      <c r="E45" s="751"/>
      <c r="F45" s="27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34">
        <f>SUM(Q22:Q44)</f>
        <v>0</v>
      </c>
      <c r="R45" s="363">
        <f>SUM(R22:R44)</f>
        <v>1132</v>
      </c>
      <c r="S45" s="363">
        <f>SUM(S22:S44)</f>
        <v>605.62</v>
      </c>
      <c r="T45" s="435">
        <f>SUM(T22:T44)</f>
        <v>0</v>
      </c>
      <c r="U45" s="67"/>
      <c r="V45" s="289">
        <f>ROUND(SUM(V22:V44),2)</f>
        <v>1737.62</v>
      </c>
      <c r="W45" s="39"/>
    </row>
    <row r="46" spans="2:23" s="292" customFormat="1" ht="9.75" thickTop="1">
      <c r="B46" s="291"/>
      <c r="C46" s="275"/>
      <c r="D46" s="275"/>
      <c r="E46" s="275"/>
      <c r="F46" s="276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6"/>
      <c r="V46" s="297"/>
      <c r="W46" s="298"/>
    </row>
    <row r="47" spans="1:23" s="12" customFormat="1" ht="16.5" customHeight="1" thickBot="1">
      <c r="A47" s="13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1"/>
    </row>
    <row r="48" spans="1:23" ht="13.5" thickTop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3:6" ht="12.75">
      <c r="C49" s="8"/>
      <c r="D49" s="8"/>
      <c r="E49" s="8"/>
      <c r="F49" s="8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0" zoomScaleNormal="70" zoomScalePageLayoutView="0" workbookViewId="0" topLeftCell="A1">
      <selection activeCell="M16" sqref="M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24" customFormat="1" ht="26.25">
      <c r="W1" s="469"/>
    </row>
    <row r="2" spans="2:23" s="124" customFormat="1" ht="26.25">
      <c r="B2" s="125" t="str">
        <f>+'TOT-0115'!B2</f>
        <v>ANEXO I al Memorándum  D.T.E.E.  N°   326  / 2016              .-</v>
      </c>
      <c r="C2" s="126"/>
      <c r="D2" s="126"/>
      <c r="E2" s="126"/>
      <c r="F2" s="126"/>
      <c r="G2" s="12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="12" customFormat="1" ht="12.75"/>
    <row r="4" spans="1:4" s="127" customFormat="1" ht="11.25">
      <c r="A4" s="754" t="s">
        <v>16</v>
      </c>
      <c r="C4" s="753"/>
      <c r="D4" s="753"/>
    </row>
    <row r="5" spans="1:4" s="127" customFormat="1" ht="11.25">
      <c r="A5" s="754" t="s">
        <v>137</v>
      </c>
      <c r="C5" s="753"/>
      <c r="D5" s="753"/>
    </row>
    <row r="6" s="12" customFormat="1" ht="12.75"/>
    <row r="7" s="12" customFormat="1" ht="13.5" thickBot="1"/>
    <row r="8" spans="2:23" s="12" customFormat="1" ht="13.5" thickTop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</row>
    <row r="9" spans="2:23" s="129" customFormat="1" ht="20.25">
      <c r="B9" s="128"/>
      <c r="C9" s="22"/>
      <c r="D9" s="22"/>
      <c r="E9" s="22"/>
      <c r="F9" s="22" t="s">
        <v>39</v>
      </c>
      <c r="G9" s="87"/>
      <c r="H9" s="150"/>
      <c r="I9" s="149"/>
      <c r="J9" s="149"/>
      <c r="K9" s="149"/>
      <c r="L9" s="149"/>
      <c r="M9" s="149"/>
      <c r="N9" s="149"/>
      <c r="O9" s="150"/>
      <c r="P9" s="150"/>
      <c r="Q9" s="150"/>
      <c r="R9" s="150"/>
      <c r="S9" s="150"/>
      <c r="T9" s="150"/>
      <c r="U9" s="150"/>
      <c r="V9" s="150"/>
      <c r="W9" s="184"/>
    </row>
    <row r="10" spans="2:23" s="12" customFormat="1" ht="12.75">
      <c r="B10" s="4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</row>
    <row r="11" spans="2:23" s="129" customFormat="1" ht="20.25">
      <c r="B11" s="128"/>
      <c r="F11" s="22" t="s">
        <v>88</v>
      </c>
      <c r="H11" s="68"/>
      <c r="I11" s="131"/>
      <c r="J11" s="131"/>
      <c r="K11" s="131"/>
      <c r="L11" s="131"/>
      <c r="M11" s="131"/>
      <c r="N11" s="131"/>
      <c r="O11" s="131"/>
      <c r="P11" s="131"/>
      <c r="Q11" s="46"/>
      <c r="R11" s="46"/>
      <c r="S11" s="46"/>
      <c r="T11" s="46"/>
      <c r="U11" s="46"/>
      <c r="V11" s="46"/>
      <c r="W11" s="130"/>
    </row>
    <row r="12" spans="2:23" s="12" customFormat="1" ht="16.5" customHeight="1">
      <c r="B12" s="45"/>
      <c r="C12" s="10"/>
      <c r="D12" s="10"/>
      <c r="E12" s="10"/>
      <c r="F12" s="141"/>
      <c r="H12" s="151"/>
      <c r="I12" s="137"/>
      <c r="J12" s="137"/>
      <c r="K12" s="137"/>
      <c r="L12" s="137"/>
      <c r="M12" s="137"/>
      <c r="N12" s="137"/>
      <c r="O12" s="137"/>
      <c r="P12" s="137"/>
      <c r="Q12" s="10"/>
      <c r="R12" s="10"/>
      <c r="S12" s="10"/>
      <c r="T12" s="10"/>
      <c r="U12" s="10"/>
      <c r="V12" s="10"/>
      <c r="W12" s="13"/>
    </row>
    <row r="13" spans="2:23" s="136" customFormat="1" ht="16.5" customHeight="1">
      <c r="B13" s="102" t="str">
        <f>+'TOT-0115'!B14</f>
        <v>Desde el 01 al 31 de enero de 2015</v>
      </c>
      <c r="C13" s="132"/>
      <c r="D13" s="132"/>
      <c r="E13" s="132"/>
      <c r="F13" s="134"/>
      <c r="G13" s="134"/>
      <c r="H13" s="134"/>
      <c r="I13" s="134"/>
      <c r="J13" s="101"/>
      <c r="K13" s="134"/>
      <c r="L13" s="134"/>
      <c r="M13" s="134"/>
      <c r="N13" s="134"/>
      <c r="O13" s="134"/>
      <c r="P13" s="134"/>
      <c r="Q13" s="132"/>
      <c r="R13" s="132"/>
      <c r="S13" s="132"/>
      <c r="T13" s="132"/>
      <c r="U13" s="132"/>
      <c r="V13" s="132"/>
      <c r="W13" s="135"/>
    </row>
    <row r="14" spans="2:23" s="12" customFormat="1" ht="16.5" customHeight="1" thickBot="1">
      <c r="B14" s="4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Q14" s="10"/>
      <c r="R14" s="10"/>
      <c r="S14" s="10"/>
      <c r="T14" s="10"/>
      <c r="U14" s="10"/>
      <c r="V14" s="10"/>
      <c r="W14" s="13"/>
    </row>
    <row r="15" spans="2:23" s="12" customFormat="1" ht="16.5" customHeight="1" thickBot="1" thickTop="1">
      <c r="B15" s="45"/>
      <c r="C15" s="10"/>
      <c r="D15" s="10"/>
      <c r="E15" s="10"/>
      <c r="F15" s="240" t="s">
        <v>89</v>
      </c>
      <c r="G15" s="256"/>
      <c r="H15" s="257"/>
      <c r="I15" s="258"/>
      <c r="J15" s="463">
        <v>0.848</v>
      </c>
      <c r="K15" s="10"/>
      <c r="L15" s="10"/>
      <c r="M15" s="10"/>
      <c r="N15" s="10"/>
      <c r="P15" s="10"/>
      <c r="Q15" s="10"/>
      <c r="R15" s="10"/>
      <c r="S15" s="10"/>
      <c r="T15" s="10"/>
      <c r="U15" s="10"/>
      <c r="V15" s="10"/>
      <c r="W15" s="13"/>
    </row>
    <row r="16" spans="2:23" s="12" customFormat="1" ht="16.5" customHeight="1" thickBot="1" thickTop="1">
      <c r="B16" s="45"/>
      <c r="C16" s="10"/>
      <c r="D16" s="10"/>
      <c r="E16" s="10"/>
      <c r="F16" s="259" t="s">
        <v>68</v>
      </c>
      <c r="G16" s="260"/>
      <c r="H16" s="260"/>
      <c r="I16" s="258"/>
      <c r="J16" s="261">
        <f>6*'TOT-0115'!B13</f>
        <v>6</v>
      </c>
      <c r="K16" s="270"/>
      <c r="L16" s="10"/>
      <c r="M16" s="10"/>
      <c r="N16" s="10"/>
      <c r="P16" s="10"/>
      <c r="Q16" s="10"/>
      <c r="R16" s="10"/>
      <c r="S16" s="237"/>
      <c r="T16" s="237"/>
      <c r="U16" s="237"/>
      <c r="V16" s="237"/>
      <c r="W16" s="13"/>
    </row>
    <row r="17" spans="2:23" s="12" customFormat="1" ht="16.5" customHeight="1" thickTop="1">
      <c r="B17" s="4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</row>
    <row r="18" spans="2:23" s="783" customFormat="1" ht="16.5" customHeight="1" thickBot="1">
      <c r="B18" s="780"/>
      <c r="C18" s="781">
        <v>3</v>
      </c>
      <c r="D18" s="781">
        <v>4</v>
      </c>
      <c r="E18" s="781">
        <v>5</v>
      </c>
      <c r="F18" s="781">
        <v>6</v>
      </c>
      <c r="G18" s="781">
        <v>7</v>
      </c>
      <c r="H18" s="781">
        <v>8</v>
      </c>
      <c r="I18" s="781">
        <v>9</v>
      </c>
      <c r="J18" s="781">
        <v>10</v>
      </c>
      <c r="K18" s="781">
        <v>11</v>
      </c>
      <c r="L18" s="781">
        <v>12</v>
      </c>
      <c r="M18" s="781">
        <v>13</v>
      </c>
      <c r="N18" s="781">
        <v>14</v>
      </c>
      <c r="O18" s="781">
        <v>15</v>
      </c>
      <c r="P18" s="781">
        <v>16</v>
      </c>
      <c r="Q18" s="781">
        <v>17</v>
      </c>
      <c r="R18" s="781">
        <v>18</v>
      </c>
      <c r="S18" s="781">
        <v>19</v>
      </c>
      <c r="T18" s="781">
        <v>20</v>
      </c>
      <c r="U18" s="781">
        <v>21</v>
      </c>
      <c r="V18" s="781">
        <v>22</v>
      </c>
      <c r="W18" s="782"/>
    </row>
    <row r="19" spans="2:23" s="123" customFormat="1" ht="33.75" customHeight="1" thickBot="1" thickTop="1">
      <c r="B19" s="115"/>
      <c r="C19" s="116" t="s">
        <v>45</v>
      </c>
      <c r="D19" s="116" t="s">
        <v>136</v>
      </c>
      <c r="E19" s="116" t="s">
        <v>135</v>
      </c>
      <c r="F19" s="118" t="s">
        <v>69</v>
      </c>
      <c r="G19" s="117" t="s">
        <v>14</v>
      </c>
      <c r="H19" s="262" t="s">
        <v>90</v>
      </c>
      <c r="I19" s="300" t="s">
        <v>48</v>
      </c>
      <c r="J19" s="117" t="s">
        <v>49</v>
      </c>
      <c r="K19" s="117" t="s">
        <v>50</v>
      </c>
      <c r="L19" s="118" t="s">
        <v>73</v>
      </c>
      <c r="M19" s="118" t="s">
        <v>74</v>
      </c>
      <c r="N19" s="120" t="s">
        <v>53</v>
      </c>
      <c r="O19" s="117" t="s">
        <v>91</v>
      </c>
      <c r="P19" s="371" t="s">
        <v>92</v>
      </c>
      <c r="Q19" s="381" t="s">
        <v>55</v>
      </c>
      <c r="R19" s="450" t="s">
        <v>93</v>
      </c>
      <c r="S19" s="349"/>
      <c r="T19" s="356" t="s">
        <v>59</v>
      </c>
      <c r="U19" s="121" t="s">
        <v>61</v>
      </c>
      <c r="V19" s="263" t="s">
        <v>62</v>
      </c>
      <c r="W19" s="122"/>
    </row>
    <row r="20" spans="2:23" s="12" customFormat="1" ht="16.5" customHeight="1" thickTop="1">
      <c r="B20" s="45"/>
      <c r="C20" s="253"/>
      <c r="D20" s="749"/>
      <c r="E20" s="749"/>
      <c r="F20" s="749"/>
      <c r="G20" s="254"/>
      <c r="H20" s="254"/>
      <c r="I20" s="436"/>
      <c r="J20" s="255"/>
      <c r="K20" s="255"/>
      <c r="L20" s="253"/>
      <c r="M20" s="253"/>
      <c r="N20" s="254"/>
      <c r="O20" s="183"/>
      <c r="P20" s="443"/>
      <c r="Q20" s="444"/>
      <c r="R20" s="446"/>
      <c r="S20" s="451"/>
      <c r="T20" s="460"/>
      <c r="U20" s="453"/>
      <c r="V20" s="445"/>
      <c r="W20" s="13"/>
    </row>
    <row r="21" spans="2:23" s="12" customFormat="1" ht="16.5" customHeight="1">
      <c r="B21" s="45"/>
      <c r="C21" s="89"/>
      <c r="D21" s="89"/>
      <c r="E21" s="89"/>
      <c r="F21" s="91"/>
      <c r="G21" s="90"/>
      <c r="H21" s="91"/>
      <c r="I21" s="437"/>
      <c r="J21" s="93"/>
      <c r="K21" s="94"/>
      <c r="L21" s="95"/>
      <c r="M21" s="96"/>
      <c r="N21" s="97"/>
      <c r="O21" s="92"/>
      <c r="P21" s="440"/>
      <c r="Q21" s="441"/>
      <c r="R21" s="447"/>
      <c r="S21" s="452"/>
      <c r="T21" s="461"/>
      <c r="U21" s="92"/>
      <c r="V21" s="264"/>
      <c r="W21" s="13"/>
    </row>
    <row r="22" spans="2:23" s="12" customFormat="1" ht="16.5" customHeight="1">
      <c r="B22" s="45"/>
      <c r="C22" s="564">
        <v>18</v>
      </c>
      <c r="D22" s="564">
        <v>284428</v>
      </c>
      <c r="E22" s="564">
        <v>2630</v>
      </c>
      <c r="F22" s="723" t="s">
        <v>162</v>
      </c>
      <c r="G22" s="722" t="s">
        <v>163</v>
      </c>
      <c r="H22" s="723">
        <v>60</v>
      </c>
      <c r="I22" s="438">
        <f>H22*$J$15</f>
        <v>50.879999999999995</v>
      </c>
      <c r="J22" s="727">
        <v>42031.34166666667</v>
      </c>
      <c r="K22" s="728">
        <v>42031.575</v>
      </c>
      <c r="L22" s="98">
        <f>IF(F22="","",(K22-J22)*24)</f>
        <v>5.599999999918509</v>
      </c>
      <c r="M22" s="65">
        <f>IF(F22="","",ROUND((K22-J22)*24*60,0))</f>
        <v>336</v>
      </c>
      <c r="N22" s="730" t="s">
        <v>141</v>
      </c>
      <c r="O22" s="772" t="str">
        <f>IF(F22="","",IF(N22="P","--","NO"))</f>
        <v>--</v>
      </c>
      <c r="P22" s="773">
        <f>IF(OR(N22="P",N22="RP"),$J$16*0.1,$J$16)</f>
        <v>0.6000000000000001</v>
      </c>
      <c r="Q22" s="774">
        <f>IF(N22="P",I22*P22*ROUND(M22/60,2),"--")</f>
        <v>170.95680000000002</v>
      </c>
      <c r="R22" s="762" t="str">
        <f>IF(AND(N22="F",O22="NO"),I22*P22,"--")</f>
        <v>--</v>
      </c>
      <c r="S22" s="775" t="str">
        <f>IF(N22="F",I22*P22*ROUND(M22/60,2),"--")</f>
        <v>--</v>
      </c>
      <c r="T22" s="776" t="str">
        <f>IF(N22="RF",I22*P22*ROUND(M22/60,2),"--")</f>
        <v>--</v>
      </c>
      <c r="U22" s="772" t="str">
        <f>IF(F22="","","SI")</f>
        <v>SI</v>
      </c>
      <c r="V22" s="99">
        <f>IF(F22="","",SUM(Q22:T22)*IF(U22="SI",1,2))</f>
        <v>170.95680000000002</v>
      </c>
      <c r="W22" s="13"/>
    </row>
    <row r="23" spans="2:23" s="12" customFormat="1" ht="16.5" customHeight="1">
      <c r="B23" s="45"/>
      <c r="C23" s="564"/>
      <c r="D23" s="564"/>
      <c r="E23" s="564"/>
      <c r="F23" s="723"/>
      <c r="G23" s="722"/>
      <c r="H23" s="723"/>
      <c r="I23" s="438">
        <f aca="true" t="shared" si="0" ref="I23:I38">H23*$J$15</f>
        <v>0</v>
      </c>
      <c r="J23" s="727"/>
      <c r="K23" s="728"/>
      <c r="L23" s="98">
        <f aca="true" t="shared" si="1" ref="L23:L38">IF(F23="","",(K23-J23)*24)</f>
      </c>
      <c r="M23" s="65">
        <f aca="true" t="shared" si="2" ref="M23:M38">IF(F23="","",ROUND((K23-J23)*24*60,0))</f>
      </c>
      <c r="N23" s="730"/>
      <c r="O23" s="772">
        <f aca="true" t="shared" si="3" ref="O23:O38">IF(F23="","",IF(N23="P","--","NO"))</f>
      </c>
      <c r="P23" s="773">
        <f aca="true" t="shared" si="4" ref="P23:P38">IF(OR(N23="P",N23="RP"),$J$16*0.1,$J$16)</f>
        <v>6</v>
      </c>
      <c r="Q23" s="774" t="str">
        <f aca="true" t="shared" si="5" ref="Q23:Q38">IF(N23="P",I23*P23*ROUND(M23/60,2),"--")</f>
        <v>--</v>
      </c>
      <c r="R23" s="762" t="str">
        <f aca="true" t="shared" si="6" ref="R23:R38">IF(AND(N23="F",O23="NO"),I23*P23,"--")</f>
        <v>--</v>
      </c>
      <c r="S23" s="775" t="str">
        <f aca="true" t="shared" si="7" ref="S23:S38">IF(N23="F",I23*P23*ROUND(M23/60,2),"--")</f>
        <v>--</v>
      </c>
      <c r="T23" s="776" t="str">
        <f aca="true" t="shared" si="8" ref="T23:T38">IF(N23="RF",I23*P23*ROUND(M23/60,2),"--")</f>
        <v>--</v>
      </c>
      <c r="U23" s="772">
        <f aca="true" t="shared" si="9" ref="U23:U38">IF(F23="","","SI")</f>
      </c>
      <c r="V23" s="99">
        <f aca="true" t="shared" si="10" ref="V23:V38">IF(F23="","",SUM(Q23:T23)*IF(U23="SI",1,2))</f>
      </c>
      <c r="W23" s="13"/>
    </row>
    <row r="24" spans="2:23" s="12" customFormat="1" ht="16.5" customHeight="1">
      <c r="B24" s="45"/>
      <c r="C24" s="564"/>
      <c r="D24" s="564"/>
      <c r="E24" s="564"/>
      <c r="F24" s="723"/>
      <c r="G24" s="722"/>
      <c r="H24" s="723"/>
      <c r="I24" s="438">
        <f t="shared" si="0"/>
        <v>0</v>
      </c>
      <c r="J24" s="727"/>
      <c r="K24" s="728"/>
      <c r="L24" s="98">
        <f t="shared" si="1"/>
      </c>
      <c r="M24" s="65">
        <f t="shared" si="2"/>
      </c>
      <c r="N24" s="730"/>
      <c r="O24" s="772">
        <f t="shared" si="3"/>
      </c>
      <c r="P24" s="773">
        <f t="shared" si="4"/>
        <v>6</v>
      </c>
      <c r="Q24" s="774" t="str">
        <f t="shared" si="5"/>
        <v>--</v>
      </c>
      <c r="R24" s="762" t="str">
        <f t="shared" si="6"/>
        <v>--</v>
      </c>
      <c r="S24" s="775" t="str">
        <f t="shared" si="7"/>
        <v>--</v>
      </c>
      <c r="T24" s="776" t="str">
        <f t="shared" si="8"/>
        <v>--</v>
      </c>
      <c r="U24" s="772">
        <f t="shared" si="9"/>
      </c>
      <c r="V24" s="99">
        <f t="shared" si="10"/>
      </c>
      <c r="W24" s="13"/>
    </row>
    <row r="25" spans="2:23" s="12" customFormat="1" ht="16.5" customHeight="1">
      <c r="B25" s="45"/>
      <c r="C25" s="564"/>
      <c r="D25" s="564"/>
      <c r="E25" s="564"/>
      <c r="F25" s="723"/>
      <c r="G25" s="722"/>
      <c r="H25" s="723"/>
      <c r="I25" s="438">
        <f t="shared" si="0"/>
        <v>0</v>
      </c>
      <c r="J25" s="727"/>
      <c r="K25" s="728"/>
      <c r="L25" s="98">
        <f t="shared" si="1"/>
      </c>
      <c r="M25" s="65">
        <f t="shared" si="2"/>
      </c>
      <c r="N25" s="730"/>
      <c r="O25" s="772">
        <f t="shared" si="3"/>
      </c>
      <c r="P25" s="773">
        <f t="shared" si="4"/>
        <v>6</v>
      </c>
      <c r="Q25" s="774" t="str">
        <f t="shared" si="5"/>
        <v>--</v>
      </c>
      <c r="R25" s="762" t="str">
        <f t="shared" si="6"/>
        <v>--</v>
      </c>
      <c r="S25" s="775" t="str">
        <f t="shared" si="7"/>
        <v>--</v>
      </c>
      <c r="T25" s="776" t="str">
        <f t="shared" si="8"/>
        <v>--</v>
      </c>
      <c r="U25" s="772">
        <f t="shared" si="9"/>
      </c>
      <c r="V25" s="99">
        <f t="shared" si="10"/>
      </c>
      <c r="W25" s="251"/>
    </row>
    <row r="26" spans="2:23" s="12" customFormat="1" ht="16.5" customHeight="1">
      <c r="B26" s="45"/>
      <c r="C26" s="564"/>
      <c r="D26" s="564"/>
      <c r="E26" s="564"/>
      <c r="F26" s="723"/>
      <c r="G26" s="722"/>
      <c r="H26" s="723"/>
      <c r="I26" s="438">
        <f t="shared" si="0"/>
        <v>0</v>
      </c>
      <c r="J26" s="727"/>
      <c r="K26" s="728"/>
      <c r="L26" s="98">
        <f t="shared" si="1"/>
      </c>
      <c r="M26" s="65">
        <f t="shared" si="2"/>
      </c>
      <c r="N26" s="730"/>
      <c r="O26" s="772">
        <f t="shared" si="3"/>
      </c>
      <c r="P26" s="773">
        <f t="shared" si="4"/>
        <v>6</v>
      </c>
      <c r="Q26" s="774" t="str">
        <f t="shared" si="5"/>
        <v>--</v>
      </c>
      <c r="R26" s="762" t="str">
        <f t="shared" si="6"/>
        <v>--</v>
      </c>
      <c r="S26" s="775" t="str">
        <f t="shared" si="7"/>
        <v>--</v>
      </c>
      <c r="T26" s="776" t="str">
        <f t="shared" si="8"/>
        <v>--</v>
      </c>
      <c r="U26" s="772">
        <f t="shared" si="9"/>
      </c>
      <c r="V26" s="99">
        <f t="shared" si="10"/>
      </c>
      <c r="W26" s="251"/>
    </row>
    <row r="27" spans="2:23" s="12" customFormat="1" ht="16.5" customHeight="1">
      <c r="B27" s="45"/>
      <c r="C27" s="564"/>
      <c r="D27" s="564"/>
      <c r="E27" s="564"/>
      <c r="F27" s="723"/>
      <c r="G27" s="722"/>
      <c r="H27" s="723"/>
      <c r="I27" s="438">
        <f t="shared" si="0"/>
        <v>0</v>
      </c>
      <c r="J27" s="727"/>
      <c r="K27" s="728"/>
      <c r="L27" s="98">
        <f t="shared" si="1"/>
      </c>
      <c r="M27" s="65">
        <f t="shared" si="2"/>
      </c>
      <c r="N27" s="730"/>
      <c r="O27" s="772">
        <f t="shared" si="3"/>
      </c>
      <c r="P27" s="773">
        <f t="shared" si="4"/>
        <v>6</v>
      </c>
      <c r="Q27" s="774" t="str">
        <f t="shared" si="5"/>
        <v>--</v>
      </c>
      <c r="R27" s="762" t="str">
        <f t="shared" si="6"/>
        <v>--</v>
      </c>
      <c r="S27" s="775" t="str">
        <f t="shared" si="7"/>
        <v>--</v>
      </c>
      <c r="T27" s="776" t="str">
        <f t="shared" si="8"/>
        <v>--</v>
      </c>
      <c r="U27" s="772">
        <f t="shared" si="9"/>
      </c>
      <c r="V27" s="99">
        <f t="shared" si="10"/>
      </c>
      <c r="W27" s="251"/>
    </row>
    <row r="28" spans="2:23" s="12" customFormat="1" ht="16.5" customHeight="1">
      <c r="B28" s="45"/>
      <c r="C28" s="564"/>
      <c r="D28" s="564"/>
      <c r="E28" s="564"/>
      <c r="F28" s="723"/>
      <c r="G28" s="722"/>
      <c r="H28" s="723"/>
      <c r="I28" s="438">
        <f t="shared" si="0"/>
        <v>0</v>
      </c>
      <c r="J28" s="727"/>
      <c r="K28" s="728"/>
      <c r="L28" s="98">
        <f t="shared" si="1"/>
      </c>
      <c r="M28" s="65">
        <f t="shared" si="2"/>
      </c>
      <c r="N28" s="730"/>
      <c r="O28" s="772">
        <f t="shared" si="3"/>
      </c>
      <c r="P28" s="773">
        <f t="shared" si="4"/>
        <v>6</v>
      </c>
      <c r="Q28" s="774" t="str">
        <f t="shared" si="5"/>
        <v>--</v>
      </c>
      <c r="R28" s="762" t="str">
        <f t="shared" si="6"/>
        <v>--</v>
      </c>
      <c r="S28" s="775" t="str">
        <f t="shared" si="7"/>
        <v>--</v>
      </c>
      <c r="T28" s="776" t="str">
        <f t="shared" si="8"/>
        <v>--</v>
      </c>
      <c r="U28" s="772">
        <f t="shared" si="9"/>
      </c>
      <c r="V28" s="99">
        <f t="shared" si="10"/>
      </c>
      <c r="W28" s="251"/>
    </row>
    <row r="29" spans="2:23" s="12" customFormat="1" ht="16.5" customHeight="1">
      <c r="B29" s="45"/>
      <c r="C29" s="564"/>
      <c r="D29" s="564"/>
      <c r="E29" s="564"/>
      <c r="F29" s="723"/>
      <c r="G29" s="722"/>
      <c r="H29" s="723"/>
      <c r="I29" s="438">
        <f t="shared" si="0"/>
        <v>0</v>
      </c>
      <c r="J29" s="727"/>
      <c r="K29" s="728"/>
      <c r="L29" s="98">
        <f t="shared" si="1"/>
      </c>
      <c r="M29" s="65">
        <f t="shared" si="2"/>
      </c>
      <c r="N29" s="730"/>
      <c r="O29" s="772">
        <f t="shared" si="3"/>
      </c>
      <c r="P29" s="773">
        <f t="shared" si="4"/>
        <v>6</v>
      </c>
      <c r="Q29" s="774" t="str">
        <f t="shared" si="5"/>
        <v>--</v>
      </c>
      <c r="R29" s="762" t="str">
        <f t="shared" si="6"/>
        <v>--</v>
      </c>
      <c r="S29" s="775" t="str">
        <f t="shared" si="7"/>
        <v>--</v>
      </c>
      <c r="T29" s="776" t="str">
        <f t="shared" si="8"/>
        <v>--</v>
      </c>
      <c r="U29" s="772">
        <f t="shared" si="9"/>
      </c>
      <c r="V29" s="99">
        <f t="shared" si="10"/>
      </c>
      <c r="W29" s="251"/>
    </row>
    <row r="30" spans="2:23" s="12" customFormat="1" ht="16.5" customHeight="1">
      <c r="B30" s="45"/>
      <c r="C30" s="564"/>
      <c r="D30" s="564"/>
      <c r="E30" s="564"/>
      <c r="F30" s="723"/>
      <c r="G30" s="722"/>
      <c r="H30" s="723"/>
      <c r="I30" s="438">
        <f t="shared" si="0"/>
        <v>0</v>
      </c>
      <c r="J30" s="727"/>
      <c r="K30" s="728"/>
      <c r="L30" s="98">
        <f t="shared" si="1"/>
      </c>
      <c r="M30" s="65">
        <f t="shared" si="2"/>
      </c>
      <c r="N30" s="730"/>
      <c r="O30" s="772">
        <f t="shared" si="3"/>
      </c>
      <c r="P30" s="773">
        <f t="shared" si="4"/>
        <v>6</v>
      </c>
      <c r="Q30" s="774" t="str">
        <f t="shared" si="5"/>
        <v>--</v>
      </c>
      <c r="R30" s="762" t="str">
        <f t="shared" si="6"/>
        <v>--</v>
      </c>
      <c r="S30" s="775" t="str">
        <f t="shared" si="7"/>
        <v>--</v>
      </c>
      <c r="T30" s="776" t="str">
        <f t="shared" si="8"/>
        <v>--</v>
      </c>
      <c r="U30" s="772">
        <f t="shared" si="9"/>
      </c>
      <c r="V30" s="99">
        <f t="shared" si="10"/>
      </c>
      <c r="W30" s="251"/>
    </row>
    <row r="31" spans="2:23" s="12" customFormat="1" ht="16.5" customHeight="1">
      <c r="B31" s="45"/>
      <c r="C31" s="564"/>
      <c r="D31" s="564"/>
      <c r="E31" s="564"/>
      <c r="F31" s="723"/>
      <c r="G31" s="722"/>
      <c r="H31" s="723"/>
      <c r="I31" s="438">
        <f t="shared" si="0"/>
        <v>0</v>
      </c>
      <c r="J31" s="727"/>
      <c r="K31" s="728"/>
      <c r="L31" s="98">
        <f t="shared" si="1"/>
      </c>
      <c r="M31" s="65">
        <f t="shared" si="2"/>
      </c>
      <c r="N31" s="730"/>
      <c r="O31" s="772">
        <f t="shared" si="3"/>
      </c>
      <c r="P31" s="773">
        <f t="shared" si="4"/>
        <v>6</v>
      </c>
      <c r="Q31" s="774" t="str">
        <f t="shared" si="5"/>
        <v>--</v>
      </c>
      <c r="R31" s="762" t="str">
        <f t="shared" si="6"/>
        <v>--</v>
      </c>
      <c r="S31" s="775" t="str">
        <f t="shared" si="7"/>
        <v>--</v>
      </c>
      <c r="T31" s="776" t="str">
        <f t="shared" si="8"/>
        <v>--</v>
      </c>
      <c r="U31" s="772">
        <f t="shared" si="9"/>
      </c>
      <c r="V31" s="99">
        <f t="shared" si="10"/>
      </c>
      <c r="W31" s="13"/>
    </row>
    <row r="32" spans="2:23" s="12" customFormat="1" ht="16.5" customHeight="1">
      <c r="B32" s="45"/>
      <c r="C32" s="564"/>
      <c r="D32" s="564"/>
      <c r="E32" s="564"/>
      <c r="F32" s="723"/>
      <c r="G32" s="722"/>
      <c r="H32" s="723"/>
      <c r="I32" s="438">
        <f t="shared" si="0"/>
        <v>0</v>
      </c>
      <c r="J32" s="727"/>
      <c r="K32" s="728"/>
      <c r="L32" s="98">
        <f t="shared" si="1"/>
      </c>
      <c r="M32" s="65">
        <f t="shared" si="2"/>
      </c>
      <c r="N32" s="730"/>
      <c r="O32" s="772">
        <f t="shared" si="3"/>
      </c>
      <c r="P32" s="773">
        <f t="shared" si="4"/>
        <v>6</v>
      </c>
      <c r="Q32" s="774" t="str">
        <f t="shared" si="5"/>
        <v>--</v>
      </c>
      <c r="R32" s="762" t="str">
        <f t="shared" si="6"/>
        <v>--</v>
      </c>
      <c r="S32" s="775" t="str">
        <f t="shared" si="7"/>
        <v>--</v>
      </c>
      <c r="T32" s="776" t="str">
        <f t="shared" si="8"/>
        <v>--</v>
      </c>
      <c r="U32" s="772">
        <f t="shared" si="9"/>
      </c>
      <c r="V32" s="99">
        <f t="shared" si="10"/>
      </c>
      <c r="W32" s="13"/>
    </row>
    <row r="33" spans="2:23" s="12" customFormat="1" ht="16.5" customHeight="1">
      <c r="B33" s="45"/>
      <c r="C33" s="564"/>
      <c r="D33" s="564"/>
      <c r="E33" s="564"/>
      <c r="F33" s="723"/>
      <c r="G33" s="722"/>
      <c r="H33" s="723"/>
      <c r="I33" s="438">
        <f t="shared" si="0"/>
        <v>0</v>
      </c>
      <c r="J33" s="727"/>
      <c r="K33" s="728"/>
      <c r="L33" s="98">
        <f t="shared" si="1"/>
      </c>
      <c r="M33" s="65">
        <f t="shared" si="2"/>
      </c>
      <c r="N33" s="730"/>
      <c r="O33" s="772">
        <f t="shared" si="3"/>
      </c>
      <c r="P33" s="773">
        <f t="shared" si="4"/>
        <v>6</v>
      </c>
      <c r="Q33" s="774" t="str">
        <f t="shared" si="5"/>
        <v>--</v>
      </c>
      <c r="R33" s="762" t="str">
        <f t="shared" si="6"/>
        <v>--</v>
      </c>
      <c r="S33" s="775" t="str">
        <f t="shared" si="7"/>
        <v>--</v>
      </c>
      <c r="T33" s="776" t="str">
        <f t="shared" si="8"/>
        <v>--</v>
      </c>
      <c r="U33" s="772">
        <f t="shared" si="9"/>
      </c>
      <c r="V33" s="99">
        <f t="shared" si="10"/>
      </c>
      <c r="W33" s="13"/>
    </row>
    <row r="34" spans="2:23" s="12" customFormat="1" ht="16.5" customHeight="1">
      <c r="B34" s="45"/>
      <c r="C34" s="564"/>
      <c r="D34" s="564"/>
      <c r="E34" s="564"/>
      <c r="F34" s="723"/>
      <c r="G34" s="722"/>
      <c r="H34" s="723"/>
      <c r="I34" s="438">
        <f t="shared" si="0"/>
        <v>0</v>
      </c>
      <c r="J34" s="727"/>
      <c r="K34" s="728"/>
      <c r="L34" s="98">
        <f t="shared" si="1"/>
      </c>
      <c r="M34" s="65">
        <f t="shared" si="2"/>
      </c>
      <c r="N34" s="730"/>
      <c r="O34" s="772">
        <f t="shared" si="3"/>
      </c>
      <c r="P34" s="773">
        <f t="shared" si="4"/>
        <v>6</v>
      </c>
      <c r="Q34" s="774" t="str">
        <f t="shared" si="5"/>
        <v>--</v>
      </c>
      <c r="R34" s="762" t="str">
        <f t="shared" si="6"/>
        <v>--</v>
      </c>
      <c r="S34" s="775" t="str">
        <f t="shared" si="7"/>
        <v>--</v>
      </c>
      <c r="T34" s="776" t="str">
        <f t="shared" si="8"/>
        <v>--</v>
      </c>
      <c r="U34" s="772">
        <f t="shared" si="9"/>
      </c>
      <c r="V34" s="99">
        <f t="shared" si="10"/>
      </c>
      <c r="W34" s="13"/>
    </row>
    <row r="35" spans="2:23" s="12" customFormat="1" ht="16.5" customHeight="1">
      <c r="B35" s="45"/>
      <c r="C35" s="564"/>
      <c r="D35" s="564"/>
      <c r="E35" s="564"/>
      <c r="F35" s="723"/>
      <c r="G35" s="722"/>
      <c r="H35" s="723"/>
      <c r="I35" s="438">
        <f t="shared" si="0"/>
        <v>0</v>
      </c>
      <c r="J35" s="727"/>
      <c r="K35" s="728"/>
      <c r="L35" s="98">
        <f t="shared" si="1"/>
      </c>
      <c r="M35" s="65">
        <f t="shared" si="2"/>
      </c>
      <c r="N35" s="730"/>
      <c r="O35" s="772">
        <f t="shared" si="3"/>
      </c>
      <c r="P35" s="773">
        <f t="shared" si="4"/>
        <v>6</v>
      </c>
      <c r="Q35" s="774" t="str">
        <f t="shared" si="5"/>
        <v>--</v>
      </c>
      <c r="R35" s="762" t="str">
        <f t="shared" si="6"/>
        <v>--</v>
      </c>
      <c r="S35" s="775" t="str">
        <f t="shared" si="7"/>
        <v>--</v>
      </c>
      <c r="T35" s="776" t="str">
        <f t="shared" si="8"/>
        <v>--</v>
      </c>
      <c r="U35" s="772">
        <f t="shared" si="9"/>
      </c>
      <c r="V35" s="99">
        <f t="shared" si="10"/>
      </c>
      <c r="W35" s="13"/>
    </row>
    <row r="36" spans="2:23" s="12" customFormat="1" ht="16.5" customHeight="1">
      <c r="B36" s="45"/>
      <c r="C36" s="564"/>
      <c r="D36" s="564"/>
      <c r="E36" s="564"/>
      <c r="F36" s="723"/>
      <c r="G36" s="722"/>
      <c r="H36" s="723"/>
      <c r="I36" s="438">
        <f t="shared" si="0"/>
        <v>0</v>
      </c>
      <c r="J36" s="727"/>
      <c r="K36" s="728"/>
      <c r="L36" s="98">
        <f t="shared" si="1"/>
      </c>
      <c r="M36" s="65">
        <f t="shared" si="2"/>
      </c>
      <c r="N36" s="730"/>
      <c r="O36" s="772">
        <f t="shared" si="3"/>
      </c>
      <c r="P36" s="773">
        <f t="shared" si="4"/>
        <v>6</v>
      </c>
      <c r="Q36" s="774" t="str">
        <f t="shared" si="5"/>
        <v>--</v>
      </c>
      <c r="R36" s="762" t="str">
        <f t="shared" si="6"/>
        <v>--</v>
      </c>
      <c r="S36" s="775" t="str">
        <f t="shared" si="7"/>
        <v>--</v>
      </c>
      <c r="T36" s="776" t="str">
        <f t="shared" si="8"/>
        <v>--</v>
      </c>
      <c r="U36" s="772">
        <f t="shared" si="9"/>
      </c>
      <c r="V36" s="99">
        <f t="shared" si="10"/>
      </c>
      <c r="W36" s="13"/>
    </row>
    <row r="37" spans="2:23" s="12" customFormat="1" ht="16.5" customHeight="1">
      <c r="B37" s="45"/>
      <c r="C37" s="564"/>
      <c r="D37" s="564"/>
      <c r="E37" s="564"/>
      <c r="F37" s="723"/>
      <c r="G37" s="722"/>
      <c r="H37" s="723"/>
      <c r="I37" s="438">
        <f t="shared" si="0"/>
        <v>0</v>
      </c>
      <c r="J37" s="727"/>
      <c r="K37" s="728"/>
      <c r="L37" s="98">
        <f t="shared" si="1"/>
      </c>
      <c r="M37" s="65">
        <f t="shared" si="2"/>
      </c>
      <c r="N37" s="730"/>
      <c r="O37" s="772">
        <f t="shared" si="3"/>
      </c>
      <c r="P37" s="773">
        <f t="shared" si="4"/>
        <v>6</v>
      </c>
      <c r="Q37" s="774" t="str">
        <f t="shared" si="5"/>
        <v>--</v>
      </c>
      <c r="R37" s="762" t="str">
        <f t="shared" si="6"/>
        <v>--</v>
      </c>
      <c r="S37" s="775" t="str">
        <f t="shared" si="7"/>
        <v>--</v>
      </c>
      <c r="T37" s="776" t="str">
        <f t="shared" si="8"/>
        <v>--</v>
      </c>
      <c r="U37" s="772">
        <f t="shared" si="9"/>
      </c>
      <c r="V37" s="99">
        <f t="shared" si="10"/>
      </c>
      <c r="W37" s="13"/>
    </row>
    <row r="38" spans="2:23" s="12" customFormat="1" ht="16.5" customHeight="1">
      <c r="B38" s="45"/>
      <c r="C38" s="564"/>
      <c r="D38" s="564"/>
      <c r="E38" s="564"/>
      <c r="F38" s="723"/>
      <c r="G38" s="722"/>
      <c r="H38" s="723"/>
      <c r="I38" s="438">
        <f t="shared" si="0"/>
        <v>0</v>
      </c>
      <c r="J38" s="727"/>
      <c r="K38" s="728"/>
      <c r="L38" s="98">
        <f t="shared" si="1"/>
      </c>
      <c r="M38" s="65">
        <f t="shared" si="2"/>
      </c>
      <c r="N38" s="730"/>
      <c r="O38" s="772">
        <f t="shared" si="3"/>
      </c>
      <c r="P38" s="773">
        <f t="shared" si="4"/>
        <v>6</v>
      </c>
      <c r="Q38" s="774" t="str">
        <f t="shared" si="5"/>
        <v>--</v>
      </c>
      <c r="R38" s="762" t="str">
        <f t="shared" si="6"/>
        <v>--</v>
      </c>
      <c r="S38" s="775" t="str">
        <f t="shared" si="7"/>
        <v>--</v>
      </c>
      <c r="T38" s="776" t="str">
        <f t="shared" si="8"/>
        <v>--</v>
      </c>
      <c r="U38" s="772">
        <f t="shared" si="9"/>
      </c>
      <c r="V38" s="99">
        <f t="shared" si="10"/>
      </c>
      <c r="W38" s="13"/>
    </row>
    <row r="39" spans="2:23" s="12" customFormat="1" ht="16.5" customHeight="1">
      <c r="B39" s="45"/>
      <c r="C39" s="564"/>
      <c r="D39" s="564"/>
      <c r="E39" s="564"/>
      <c r="F39" s="723"/>
      <c r="G39" s="722"/>
      <c r="H39" s="723"/>
      <c r="I39" s="438">
        <f>H39*$J$15</f>
        <v>0</v>
      </c>
      <c r="J39" s="727"/>
      <c r="K39" s="728"/>
      <c r="L39" s="98">
        <f>IF(F39="","",(K39-J39)*24)</f>
      </c>
      <c r="M39" s="65">
        <f>IF(F39="","",ROUND((K39-J39)*24*60,0))</f>
      </c>
      <c r="N39" s="730"/>
      <c r="O39" s="772">
        <f>IF(F39="","",IF(N39="P","--","NO"))</f>
      </c>
      <c r="P39" s="773">
        <f>IF(OR(N39="P",N39="RP"),$J$16*0.1,$J$16)</f>
        <v>6</v>
      </c>
      <c r="Q39" s="774" t="str">
        <f>IF(N39="P",I39*P39*ROUND(M39/60,2),"--")</f>
        <v>--</v>
      </c>
      <c r="R39" s="762" t="str">
        <f>IF(AND(N39="F",O39="NO"),I39*P39,"--")</f>
        <v>--</v>
      </c>
      <c r="S39" s="775" t="str">
        <f>IF(N39="F",I39*P39*ROUND(M39/60,2),"--")</f>
        <v>--</v>
      </c>
      <c r="T39" s="776" t="str">
        <f>IF(N39="RF",I39*P39*ROUND(M39/60,2),"--")</f>
        <v>--</v>
      </c>
      <c r="U39" s="772">
        <f>IF(F39="","","SI")</f>
      </c>
      <c r="V39" s="99">
        <f>IF(F39="","",SUM(Q39:T39)*IF(U39="SI",1,2))</f>
      </c>
      <c r="W39" s="13"/>
    </row>
    <row r="40" spans="2:23" s="12" customFormat="1" ht="16.5" customHeight="1">
      <c r="B40" s="45"/>
      <c r="C40" s="564"/>
      <c r="D40" s="564"/>
      <c r="E40" s="564"/>
      <c r="F40" s="723"/>
      <c r="G40" s="722"/>
      <c r="H40" s="723"/>
      <c r="I40" s="438">
        <f>H40*$J$15</f>
        <v>0</v>
      </c>
      <c r="J40" s="727"/>
      <c r="K40" s="728"/>
      <c r="L40" s="98">
        <f>IF(F40="","",(K40-J40)*24)</f>
      </c>
      <c r="M40" s="65">
        <f>IF(F40="","",ROUND((K40-J40)*24*60,0))</f>
      </c>
      <c r="N40" s="730"/>
      <c r="O40" s="772">
        <f>IF(F40="","",IF(N40="P","--","NO"))</f>
      </c>
      <c r="P40" s="773">
        <f>IF(OR(N40="P",N40="RP"),$J$16*0.1,$J$16)</f>
        <v>6</v>
      </c>
      <c r="Q40" s="774" t="str">
        <f>IF(N40="P",I40*P40*ROUND(M40/60,2),"--")</f>
        <v>--</v>
      </c>
      <c r="R40" s="762" t="str">
        <f>IF(AND(N40="F",O40="NO"),I40*P40,"--")</f>
        <v>--</v>
      </c>
      <c r="S40" s="775" t="str">
        <f>IF(N40="F",I40*P40*ROUND(M40/60,2),"--")</f>
        <v>--</v>
      </c>
      <c r="T40" s="776" t="str">
        <f>IF(N40="RF",I40*P40*ROUND(M40/60,2),"--")</f>
        <v>--</v>
      </c>
      <c r="U40" s="772">
        <f>IF(F40="","","SI")</f>
      </c>
      <c r="V40" s="99">
        <f>IF(F40="","",SUM(Q40:T40)*IF(U40="SI",1,2))</f>
      </c>
      <c r="W40" s="13"/>
    </row>
    <row r="41" spans="2:23" s="12" customFormat="1" ht="16.5" customHeight="1">
      <c r="B41" s="45"/>
      <c r="C41" s="564"/>
      <c r="D41" s="564"/>
      <c r="E41" s="564"/>
      <c r="F41" s="723"/>
      <c r="G41" s="722"/>
      <c r="H41" s="723"/>
      <c r="I41" s="438">
        <f>H41*$J$15</f>
        <v>0</v>
      </c>
      <c r="J41" s="727"/>
      <c r="K41" s="728"/>
      <c r="L41" s="98">
        <f>IF(F41="","",(K41-J41)*24)</f>
      </c>
      <c r="M41" s="65">
        <f>IF(F41="","",ROUND((K41-J41)*24*60,0))</f>
      </c>
      <c r="N41" s="730"/>
      <c r="O41" s="772">
        <f>IF(F41="","",IF(N41="P","--","NO"))</f>
      </c>
      <c r="P41" s="773">
        <f>IF(OR(N41="P",N41="RP"),$J$16*0.1,$J$16)</f>
        <v>6</v>
      </c>
      <c r="Q41" s="774" t="str">
        <f>IF(N41="P",I41*P41*ROUND(M41/60,2),"--")</f>
        <v>--</v>
      </c>
      <c r="R41" s="762" t="str">
        <f>IF(AND(N41="F",O41="NO"),I41*P41,"--")</f>
        <v>--</v>
      </c>
      <c r="S41" s="775" t="str">
        <f>IF(N41="F",I41*P41*ROUND(M41/60,2),"--")</f>
        <v>--</v>
      </c>
      <c r="T41" s="776" t="str">
        <f>IF(N41="RF",I41*P41*ROUND(M41/60,2),"--")</f>
        <v>--</v>
      </c>
      <c r="U41" s="772">
        <f>IF(F41="","","SI")</f>
      </c>
      <c r="V41" s="99">
        <f>IF(F41="","",SUM(Q41:T41)*IF(U41="SI",1,2))</f>
      </c>
      <c r="W41" s="13"/>
    </row>
    <row r="42" spans="2:23" s="12" customFormat="1" ht="16.5" customHeight="1" thickBot="1">
      <c r="B42" s="45"/>
      <c r="C42" s="724"/>
      <c r="D42" s="724"/>
      <c r="E42" s="724"/>
      <c r="F42" s="726"/>
      <c r="G42" s="725"/>
      <c r="H42" s="726"/>
      <c r="I42" s="439"/>
      <c r="J42" s="729"/>
      <c r="K42" s="729"/>
      <c r="L42" s="100"/>
      <c r="M42" s="100"/>
      <c r="N42" s="729"/>
      <c r="O42" s="571"/>
      <c r="P42" s="731"/>
      <c r="Q42" s="732"/>
      <c r="R42" s="580"/>
      <c r="S42" s="733"/>
      <c r="T42" s="734"/>
      <c r="U42" s="571"/>
      <c r="V42" s="265"/>
      <c r="W42" s="13"/>
    </row>
    <row r="43" spans="2:23" s="12" customFormat="1" ht="16.5" customHeight="1" thickBot="1" thickTop="1">
      <c r="B43" s="45"/>
      <c r="C43" s="273" t="s">
        <v>63</v>
      </c>
      <c r="D43" s="777"/>
      <c r="E43" s="751"/>
      <c r="F43" s="274"/>
      <c r="G43"/>
      <c r="I43" s="10"/>
      <c r="J43" s="10"/>
      <c r="K43" s="10"/>
      <c r="L43" s="10"/>
      <c r="M43" s="10"/>
      <c r="N43" s="10"/>
      <c r="O43" s="10"/>
      <c r="P43" s="10"/>
      <c r="Q43" s="442">
        <f>SUM(Q20:Q42)</f>
        <v>170.95680000000002</v>
      </c>
      <c r="R43" s="448">
        <f>SUM(R20:R42)</f>
        <v>0</v>
      </c>
      <c r="S43" s="449">
        <f>SUM(S20:S42)</f>
        <v>0</v>
      </c>
      <c r="T43" s="462">
        <f>SUM(T20:T42)</f>
        <v>0</v>
      </c>
      <c r="V43" s="289">
        <f>ROUND(SUM(V20:V42),2)</f>
        <v>170.96</v>
      </c>
      <c r="W43" s="252"/>
    </row>
    <row r="44" spans="2:23" s="292" customFormat="1" ht="9.75" thickTop="1">
      <c r="B44" s="291"/>
      <c r="C44" s="290"/>
      <c r="D44" s="290"/>
      <c r="E44" s="290"/>
      <c r="F44" s="276"/>
      <c r="G44" s="288"/>
      <c r="I44" s="290"/>
      <c r="J44" s="290"/>
      <c r="K44" s="290"/>
      <c r="L44" s="290"/>
      <c r="M44" s="290"/>
      <c r="N44" s="290"/>
      <c r="O44" s="290"/>
      <c r="P44" s="290"/>
      <c r="Q44" s="310"/>
      <c r="R44" s="310"/>
      <c r="S44" s="310"/>
      <c r="T44" s="310"/>
      <c r="V44" s="297"/>
      <c r="W44" s="299"/>
    </row>
    <row r="45" spans="2:23" s="12" customFormat="1" ht="16.5" customHeight="1" thickBot="1"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="70" zoomScaleNormal="70" zoomScalePageLayoutView="0" workbookViewId="0" topLeftCell="A1">
      <selection activeCell="M19" sqref="M19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5.421875" style="0" customWidth="1"/>
    <col min="7" max="7" width="13.574218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10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24" customFormat="1" ht="39.75" customHeight="1">
      <c r="P1" s="469"/>
    </row>
    <row r="2" spans="1:16" s="124" customFormat="1" ht="26.25">
      <c r="A2" s="187"/>
      <c r="B2" s="125" t="str">
        <f>'TOT-0115'!B2</f>
        <v>ANEXO I al Memorándum  D.T.E.E.  N°   326  / 2016              .-</v>
      </c>
      <c r="C2" s="748"/>
      <c r="D2" s="748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4" s="127" customFormat="1" ht="12.75">
      <c r="A3" s="754" t="s">
        <v>139</v>
      </c>
      <c r="B3" s="12"/>
      <c r="C3" s="12"/>
      <c r="D3" s="12"/>
    </row>
    <row r="4" spans="1:4" s="127" customFormat="1" ht="11.25">
      <c r="A4" s="754" t="s">
        <v>138</v>
      </c>
      <c r="B4" s="250"/>
      <c r="C4" s="250"/>
      <c r="D4" s="250"/>
    </row>
    <row r="5" spans="1:4" s="12" customFormat="1" ht="13.5" thickBot="1">
      <c r="A5" s="754"/>
      <c r="B5" s="250"/>
      <c r="C5" s="250"/>
      <c r="D5" s="250"/>
    </row>
    <row r="6" spans="1:16" s="12" customFormat="1" ht="13.5" thickTop="1">
      <c r="A6" s="10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s="129" customFormat="1" ht="20.25">
      <c r="A7" s="46"/>
      <c r="B7" s="128"/>
      <c r="C7" s="46"/>
      <c r="D7" s="22" t="s">
        <v>39</v>
      </c>
      <c r="G7" s="46"/>
      <c r="H7" s="46"/>
      <c r="I7" s="46"/>
      <c r="J7" s="46"/>
      <c r="K7" s="46"/>
      <c r="L7" s="46"/>
      <c r="M7" s="46"/>
      <c r="N7" s="46"/>
      <c r="O7" s="46"/>
      <c r="P7" s="130"/>
    </row>
    <row r="8" spans="1:16" ht="15">
      <c r="A8" s="1"/>
      <c r="B8" s="311"/>
      <c r="C8" s="75"/>
      <c r="D8" s="470"/>
      <c r="E8" s="75"/>
      <c r="F8" s="73"/>
      <c r="G8" s="75"/>
      <c r="H8" s="75"/>
      <c r="I8" s="75"/>
      <c r="J8" s="75"/>
      <c r="K8" s="75"/>
      <c r="L8" s="75"/>
      <c r="M8" s="75"/>
      <c r="N8" s="75"/>
      <c r="O8" s="75"/>
      <c r="P8" s="315"/>
    </row>
    <row r="9" spans="1:19" s="129" customFormat="1" ht="20.25">
      <c r="A9" s="46"/>
      <c r="B9" s="471"/>
      <c r="C9"/>
      <c r="D9" s="23" t="s">
        <v>133</v>
      </c>
      <c r="E9" s="472"/>
      <c r="F9" s="472"/>
      <c r="G9" s="472"/>
      <c r="H9" s="473"/>
      <c r="I9" s="472"/>
      <c r="J9" s="472"/>
      <c r="K9" s="472"/>
      <c r="L9" s="472"/>
      <c r="M9" s="472"/>
      <c r="N9" s="472"/>
      <c r="O9" s="472"/>
      <c r="P9" s="474"/>
      <c r="Q9" s="266"/>
      <c r="R9" s="194"/>
      <c r="S9" s="194"/>
    </row>
    <row r="10" spans="1:19" s="12" customFormat="1" ht="12.75">
      <c r="A10" s="10"/>
      <c r="B10" s="45"/>
      <c r="C10" s="10"/>
      <c r="D10" s="69"/>
      <c r="E10" s="31"/>
      <c r="F10" s="31"/>
      <c r="G10" s="31"/>
      <c r="H10" s="186"/>
      <c r="I10" s="31"/>
      <c r="J10" s="31"/>
      <c r="K10" s="31"/>
      <c r="L10" s="31"/>
      <c r="M10" s="31"/>
      <c r="N10" s="31"/>
      <c r="O10" s="31"/>
      <c r="P10" s="39"/>
      <c r="Q10" s="31"/>
      <c r="R10" s="31"/>
      <c r="S10" s="193"/>
    </row>
    <row r="11" spans="1:19" s="136" customFormat="1" ht="19.5">
      <c r="A11" s="48"/>
      <c r="B11" s="269" t="str">
        <f>+'TOT-0115'!B14</f>
        <v>Desde el 01 al 31 de enero de 2015</v>
      </c>
      <c r="C11" s="158"/>
      <c r="D11" s="214"/>
      <c r="E11" s="214"/>
      <c r="F11" s="214"/>
      <c r="G11" s="214"/>
      <c r="H11" s="214"/>
      <c r="I11" s="158"/>
      <c r="J11" s="214"/>
      <c r="K11" s="214"/>
      <c r="L11" s="214"/>
      <c r="M11" s="214"/>
      <c r="N11" s="214"/>
      <c r="O11" s="214"/>
      <c r="P11" s="475"/>
      <c r="Q11" s="476"/>
      <c r="R11" s="476"/>
      <c r="S11" s="476"/>
    </row>
    <row r="12" spans="1:19" ht="15">
      <c r="A12" s="1"/>
      <c r="B12" s="311"/>
      <c r="C12" s="75"/>
      <c r="D12" s="71"/>
      <c r="E12" s="71"/>
      <c r="F12" s="71"/>
      <c r="G12" s="71"/>
      <c r="H12" s="477"/>
      <c r="I12" s="75"/>
      <c r="J12" s="71"/>
      <c r="K12" s="71"/>
      <c r="L12" s="71"/>
      <c r="M12" s="71"/>
      <c r="N12" s="71"/>
      <c r="O12" s="71"/>
      <c r="P12" s="72"/>
      <c r="Q12" s="6"/>
      <c r="R12" s="6"/>
      <c r="S12" s="478"/>
    </row>
    <row r="13" spans="1:19" ht="18" customHeight="1">
      <c r="A13" s="1"/>
      <c r="B13" s="311"/>
      <c r="C13" s="75"/>
      <c r="D13" s="71"/>
      <c r="E13" s="71"/>
      <c r="F13" s="71"/>
      <c r="G13" s="71"/>
      <c r="H13" s="83"/>
      <c r="I13" s="83"/>
      <c r="J13" s="71"/>
      <c r="K13" s="71"/>
      <c r="P13" s="72"/>
      <c r="Q13" s="6"/>
      <c r="R13" s="6"/>
      <c r="S13" s="478"/>
    </row>
    <row r="14" spans="1:19" ht="18" customHeight="1">
      <c r="A14" s="1"/>
      <c r="B14" s="311"/>
      <c r="C14" s="75"/>
      <c r="D14" s="70"/>
      <c r="E14" s="479"/>
      <c r="F14" s="71"/>
      <c r="G14" s="71"/>
      <c r="H14" s="83"/>
      <c r="I14" s="83"/>
      <c r="J14" s="71"/>
      <c r="K14" s="71"/>
      <c r="P14" s="72"/>
      <c r="Q14" s="6"/>
      <c r="R14" s="6"/>
      <c r="S14" s="478"/>
    </row>
    <row r="15" spans="1:16" ht="16.5" thickBot="1">
      <c r="A15" s="1"/>
      <c r="B15" s="311"/>
      <c r="C15" s="480" t="s">
        <v>94</v>
      </c>
      <c r="D15" s="73"/>
      <c r="E15" s="312"/>
      <c r="F15" s="313"/>
      <c r="G15" s="75"/>
      <c r="H15" s="75"/>
      <c r="I15" s="75"/>
      <c r="J15" s="74"/>
      <c r="K15" s="74"/>
      <c r="L15" s="314"/>
      <c r="M15" s="75"/>
      <c r="N15" s="75"/>
      <c r="O15" s="75"/>
      <c r="P15" s="315"/>
    </row>
    <row r="16" spans="1:16" ht="16.5" thickBot="1">
      <c r="A16" s="1"/>
      <c r="B16" s="311"/>
      <c r="C16" s="316"/>
      <c r="D16" s="73"/>
      <c r="E16" s="312"/>
      <c r="F16" s="313"/>
      <c r="G16" s="75"/>
      <c r="H16" s="75"/>
      <c r="L16" s="481" t="s">
        <v>84</v>
      </c>
      <c r="M16" s="482">
        <v>11.322</v>
      </c>
      <c r="N16" s="483"/>
      <c r="O16" s="75"/>
      <c r="P16" s="315"/>
    </row>
    <row r="17" spans="1:16" ht="15.75">
      <c r="A17" s="1"/>
      <c r="B17" s="311"/>
      <c r="C17" s="316"/>
      <c r="D17" s="74" t="s">
        <v>95</v>
      </c>
      <c r="E17" s="317">
        <f>MID(B11,16,2)*24</f>
        <v>744</v>
      </c>
      <c r="F17" s="75" t="s">
        <v>96</v>
      </c>
      <c r="G17" s="71"/>
      <c r="H17" s="484"/>
      <c r="I17" s="485" t="s">
        <v>97</v>
      </c>
      <c r="J17" s="486">
        <v>243.513</v>
      </c>
      <c r="K17" s="464"/>
      <c r="L17" s="487" t="s">
        <v>85</v>
      </c>
      <c r="M17" s="488">
        <v>8.497</v>
      </c>
      <c r="N17" s="489"/>
      <c r="O17" s="75"/>
      <c r="P17" s="315"/>
    </row>
    <row r="18" spans="1:16" ht="16.5" thickBot="1">
      <c r="A18" s="1"/>
      <c r="B18" s="311"/>
      <c r="C18" s="316"/>
      <c r="D18" s="74" t="s">
        <v>98</v>
      </c>
      <c r="E18" s="319">
        <v>0.025</v>
      </c>
      <c r="F18" s="71"/>
      <c r="G18" s="71"/>
      <c r="H18" s="490"/>
      <c r="I18" s="491" t="s">
        <v>99</v>
      </c>
      <c r="J18" s="492">
        <v>0.848</v>
      </c>
      <c r="K18" s="493"/>
      <c r="L18" s="494" t="s">
        <v>86</v>
      </c>
      <c r="M18" s="495">
        <v>8.497</v>
      </c>
      <c r="N18" s="496"/>
      <c r="O18" s="75"/>
      <c r="P18" s="315"/>
    </row>
    <row r="19" spans="1:16" ht="15.75">
      <c r="A19" s="1"/>
      <c r="B19" s="311"/>
      <c r="C19" s="316"/>
      <c r="D19" s="74"/>
      <c r="E19" s="319"/>
      <c r="F19" s="71"/>
      <c r="G19" s="71"/>
      <c r="H19" s="71"/>
      <c r="I19" s="71"/>
      <c r="L19" s="314"/>
      <c r="M19" s="75"/>
      <c r="N19" s="75"/>
      <c r="O19" s="75"/>
      <c r="P19" s="315"/>
    </row>
    <row r="20" spans="1:16" ht="15">
      <c r="A20" s="1"/>
      <c r="B20" s="311"/>
      <c r="C20" s="70" t="s">
        <v>100</v>
      </c>
      <c r="D20" s="78"/>
      <c r="E20" s="312"/>
      <c r="F20" s="313"/>
      <c r="G20" s="75"/>
      <c r="H20" s="75"/>
      <c r="I20" s="75"/>
      <c r="J20" s="74"/>
      <c r="K20" s="74"/>
      <c r="L20" s="314"/>
      <c r="M20" s="75"/>
      <c r="N20" s="75"/>
      <c r="O20" s="75"/>
      <c r="P20" s="315"/>
    </row>
    <row r="21" spans="1:16" ht="15">
      <c r="A21" s="1"/>
      <c r="B21" s="311"/>
      <c r="C21" s="75"/>
      <c r="D21" s="75"/>
      <c r="E21" s="75"/>
      <c r="F21" s="75"/>
      <c r="G21" s="75"/>
      <c r="H21" s="320"/>
      <c r="I21" s="75"/>
      <c r="J21" s="75"/>
      <c r="K21" s="75"/>
      <c r="L21" s="75"/>
      <c r="M21" s="75"/>
      <c r="N21" s="75"/>
      <c r="O21" s="75"/>
      <c r="P21" s="315"/>
    </row>
    <row r="22" spans="1:16" ht="15">
      <c r="A22" s="1"/>
      <c r="B22" s="311"/>
      <c r="C22" s="75"/>
      <c r="D22" s="74" t="s">
        <v>101</v>
      </c>
      <c r="E22" s="75"/>
      <c r="F22" s="320" t="s">
        <v>19</v>
      </c>
      <c r="G22" s="75"/>
      <c r="H22" s="73"/>
      <c r="I22" s="497">
        <v>49996.85</v>
      </c>
      <c r="J22" s="75"/>
      <c r="K22" s="75"/>
      <c r="L22" s="498"/>
      <c r="M22" s="75"/>
      <c r="N22" s="75"/>
      <c r="O22" s="75"/>
      <c r="P22" s="315"/>
    </row>
    <row r="23" spans="1:16" ht="15">
      <c r="A23" s="1"/>
      <c r="B23" s="311"/>
      <c r="C23" s="75"/>
      <c r="D23" s="75"/>
      <c r="E23" s="75"/>
      <c r="F23" s="320" t="s">
        <v>102</v>
      </c>
      <c r="G23" s="75"/>
      <c r="H23" s="73"/>
      <c r="I23" s="497">
        <v>1507.32</v>
      </c>
      <c r="J23" s="75"/>
      <c r="K23" s="75"/>
      <c r="L23" s="498"/>
      <c r="M23" s="75"/>
      <c r="N23" s="75"/>
      <c r="O23" s="75"/>
      <c r="P23" s="315"/>
    </row>
    <row r="24" spans="1:16" ht="15.75" thickBot="1">
      <c r="A24" s="1"/>
      <c r="B24" s="311"/>
      <c r="C24" s="75"/>
      <c r="D24" s="75"/>
      <c r="E24" s="75"/>
      <c r="F24" s="75"/>
      <c r="G24" s="75"/>
      <c r="H24" s="320"/>
      <c r="I24" s="75"/>
      <c r="J24" s="75"/>
      <c r="K24" s="75"/>
      <c r="L24" s="75"/>
      <c r="M24" s="75"/>
      <c r="N24" s="75"/>
      <c r="O24" s="75"/>
      <c r="P24" s="315"/>
    </row>
    <row r="25" spans="2:16" ht="20.25" thickBot="1" thickTop="1">
      <c r="B25" s="311"/>
      <c r="C25" s="82"/>
      <c r="H25" s="499" t="s">
        <v>103</v>
      </c>
      <c r="I25" s="171">
        <f>SUM(I22:I24)</f>
        <v>51504.17</v>
      </c>
      <c r="L25" s="79"/>
      <c r="M25" s="79"/>
      <c r="N25" s="80"/>
      <c r="O25" s="81"/>
      <c r="P25" s="321"/>
    </row>
    <row r="26" spans="2:16" ht="15.75" thickTop="1">
      <c r="B26" s="311"/>
      <c r="C26" s="82"/>
      <c r="D26" s="78"/>
      <c r="E26" s="78"/>
      <c r="F26" s="84"/>
      <c r="G26" s="79"/>
      <c r="H26" s="79"/>
      <c r="I26" s="79"/>
      <c r="J26" s="79"/>
      <c r="K26" s="79"/>
      <c r="L26" s="79"/>
      <c r="M26" s="79"/>
      <c r="N26" s="80"/>
      <c r="O26" s="81"/>
      <c r="P26" s="321"/>
    </row>
    <row r="27" spans="2:16" ht="15">
      <c r="B27" s="311"/>
      <c r="C27" s="70" t="s">
        <v>104</v>
      </c>
      <c r="D27" s="78"/>
      <c r="E27" s="78"/>
      <c r="F27" s="84"/>
      <c r="G27" s="79"/>
      <c r="H27" s="79"/>
      <c r="I27" s="79"/>
      <c r="J27" s="79"/>
      <c r="K27" s="79"/>
      <c r="L27" s="79"/>
      <c r="M27" s="79"/>
      <c r="N27" s="80"/>
      <c r="O27" s="81"/>
      <c r="P27" s="321"/>
    </row>
    <row r="28" spans="2:16" ht="15">
      <c r="B28" s="311"/>
      <c r="C28" s="82"/>
      <c r="D28" s="78"/>
      <c r="E28" s="78"/>
      <c r="F28" s="84"/>
      <c r="G28" s="79"/>
      <c r="H28" s="79"/>
      <c r="I28" s="79"/>
      <c r="J28" s="79"/>
      <c r="K28" s="79"/>
      <c r="L28" s="79"/>
      <c r="M28" s="79"/>
      <c r="N28" s="80"/>
      <c r="O28" s="81"/>
      <c r="P28" s="321"/>
    </row>
    <row r="29" spans="2:16" ht="15.75">
      <c r="B29" s="311"/>
      <c r="C29" s="82"/>
      <c r="D29" s="500" t="s">
        <v>105</v>
      </c>
      <c r="E29" s="501" t="s">
        <v>15</v>
      </c>
      <c r="F29" s="502" t="s">
        <v>106</v>
      </c>
      <c r="G29" s="503"/>
      <c r="H29" s="742" t="s">
        <v>131</v>
      </c>
      <c r="I29" s="741" t="s">
        <v>130</v>
      </c>
      <c r="J29" s="737"/>
      <c r="K29" s="526"/>
      <c r="L29" s="504" t="s">
        <v>2</v>
      </c>
      <c r="N29" s="80"/>
      <c r="O29" s="81"/>
      <c r="P29" s="321"/>
    </row>
    <row r="30" spans="2:16" ht="15.75">
      <c r="B30" s="311"/>
      <c r="C30" s="82"/>
      <c r="D30" s="505" t="s">
        <v>3</v>
      </c>
      <c r="E30" s="506">
        <v>132</v>
      </c>
      <c r="F30" s="507">
        <v>31</v>
      </c>
      <c r="G30" s="508"/>
      <c r="H30" s="509">
        <f>F30*$J$17*$E$17/100</f>
        <v>56163.83832</v>
      </c>
      <c r="I30" s="510">
        <v>0</v>
      </c>
      <c r="J30" s="739" t="s">
        <v>164</v>
      </c>
      <c r="K30" s="512"/>
      <c r="L30" s="513">
        <f>SUM(H30:K30)</f>
        <v>56163.83832</v>
      </c>
      <c r="M30" s="79"/>
      <c r="N30" s="80"/>
      <c r="O30" s="81"/>
      <c r="P30" s="321"/>
    </row>
    <row r="31" spans="2:16" ht="15.75">
      <c r="B31" s="311"/>
      <c r="C31" s="82"/>
      <c r="D31" s="533" t="s">
        <v>4</v>
      </c>
      <c r="E31" s="78">
        <v>132</v>
      </c>
      <c r="F31" s="84">
        <v>110.3</v>
      </c>
      <c r="G31" s="79"/>
      <c r="H31" s="326">
        <f>F31*$J$17*$E$17/100</f>
        <v>199834.560216</v>
      </c>
      <c r="I31" s="550">
        <v>12422</v>
      </c>
      <c r="J31" s="738" t="s">
        <v>164</v>
      </c>
      <c r="K31" s="318"/>
      <c r="L31" s="534">
        <f>SUM(H31:K31)</f>
        <v>212256.560216</v>
      </c>
      <c r="M31" s="79"/>
      <c r="N31" s="80"/>
      <c r="O31" s="81"/>
      <c r="P31" s="321"/>
    </row>
    <row r="32" spans="2:16" ht="15.75">
      <c r="B32" s="311"/>
      <c r="C32" s="82"/>
      <c r="D32" s="533" t="s">
        <v>5</v>
      </c>
      <c r="E32" s="78">
        <v>132</v>
      </c>
      <c r="F32" s="84">
        <v>185.6</v>
      </c>
      <c r="G32" s="79"/>
      <c r="H32" s="326">
        <f>F32*$J$17*$E$17/100</f>
        <v>336258.335232</v>
      </c>
      <c r="I32" s="550">
        <v>9989</v>
      </c>
      <c r="J32" s="738" t="s">
        <v>164</v>
      </c>
      <c r="K32" s="318"/>
      <c r="L32" s="534">
        <f>SUM(H32:K32)</f>
        <v>346247.335232</v>
      </c>
      <c r="M32" s="79"/>
      <c r="N32" s="80"/>
      <c r="O32" s="81"/>
      <c r="P32" s="321"/>
    </row>
    <row r="33" spans="2:16" ht="15.75">
      <c r="B33" s="311"/>
      <c r="C33" s="82"/>
      <c r="D33" s="514" t="s">
        <v>6</v>
      </c>
      <c r="E33" s="515">
        <v>132</v>
      </c>
      <c r="F33" s="516">
        <v>7</v>
      </c>
      <c r="G33" s="517"/>
      <c r="H33" s="518">
        <f>F33*$J$17*$E$17/100</f>
        <v>12682.157040000002</v>
      </c>
      <c r="I33" s="519">
        <v>0</v>
      </c>
      <c r="J33" s="740" t="s">
        <v>164</v>
      </c>
      <c r="K33" s="521"/>
      <c r="L33" s="522">
        <f>SUM(H33:K33)</f>
        <v>12682.157040000002</v>
      </c>
      <c r="M33" s="79"/>
      <c r="N33" s="80"/>
      <c r="O33" s="81"/>
      <c r="P33" s="321"/>
    </row>
    <row r="34" spans="2:16" ht="15">
      <c r="B34" s="311"/>
      <c r="C34" s="82"/>
      <c r="D34" s="78"/>
      <c r="E34" s="78"/>
      <c r="F34" s="322"/>
      <c r="G34" s="79"/>
      <c r="I34" s="85"/>
      <c r="J34" s="318"/>
      <c r="K34" s="318"/>
      <c r="L34" s="523">
        <f>SUM(L30:L33)</f>
        <v>627349.890808</v>
      </c>
      <c r="M34" s="79"/>
      <c r="N34" s="80"/>
      <c r="O34" s="81"/>
      <c r="P34" s="321"/>
    </row>
    <row r="35" spans="2:16" ht="15">
      <c r="B35" s="311"/>
      <c r="C35" s="82"/>
      <c r="D35" s="78"/>
      <c r="E35" s="78"/>
      <c r="F35" s="322"/>
      <c r="G35" s="79"/>
      <c r="I35" s="85"/>
      <c r="J35" s="318"/>
      <c r="K35" s="318"/>
      <c r="L35" s="323"/>
      <c r="M35" s="79"/>
      <c r="N35" s="80"/>
      <c r="O35" s="81"/>
      <c r="P35" s="321"/>
    </row>
    <row r="36" spans="2:16" ht="15.75">
      <c r="B36" s="311"/>
      <c r="C36" s="82"/>
      <c r="D36" s="500" t="s">
        <v>107</v>
      </c>
      <c r="E36" s="501" t="s">
        <v>108</v>
      </c>
      <c r="F36" s="551" t="s">
        <v>118</v>
      </c>
      <c r="G36" s="552"/>
      <c r="H36" s="743" t="s">
        <v>132</v>
      </c>
      <c r="J36" s="524" t="s">
        <v>109</v>
      </c>
      <c r="K36" s="525"/>
      <c r="L36" s="526" t="s">
        <v>49</v>
      </c>
      <c r="M36" s="501" t="s">
        <v>15</v>
      </c>
      <c r="N36" s="527" t="s">
        <v>110</v>
      </c>
      <c r="O36" s="528"/>
      <c r="P36" s="321"/>
    </row>
    <row r="37" spans="2:16" ht="15">
      <c r="B37" s="311"/>
      <c r="C37" s="82"/>
      <c r="D37" s="505" t="s">
        <v>9</v>
      </c>
      <c r="E37" s="506" t="s">
        <v>119</v>
      </c>
      <c r="F37" s="553">
        <v>30</v>
      </c>
      <c r="G37" s="554"/>
      <c r="H37" s="513">
        <f>+F37*$J$18*$E$17</f>
        <v>18927.359999999997</v>
      </c>
      <c r="J37" s="529" t="s">
        <v>120</v>
      </c>
      <c r="K37" s="511"/>
      <c r="L37" s="508" t="s">
        <v>121</v>
      </c>
      <c r="M37" s="530">
        <v>132</v>
      </c>
      <c r="N37" s="531">
        <f>M16*E17</f>
        <v>8423.568</v>
      </c>
      <c r="O37" s="532"/>
      <c r="P37" s="321"/>
    </row>
    <row r="38" spans="2:16" ht="15">
      <c r="B38" s="311"/>
      <c r="C38" s="82"/>
      <c r="D38" s="533" t="s">
        <v>12</v>
      </c>
      <c r="E38" s="78" t="s">
        <v>122</v>
      </c>
      <c r="F38" s="555">
        <v>88</v>
      </c>
      <c r="G38" s="556"/>
      <c r="H38" s="534">
        <f>+F38*$J$18*$E$17</f>
        <v>55520.255999999994</v>
      </c>
      <c r="J38" s="535" t="s">
        <v>10</v>
      </c>
      <c r="K38" s="536"/>
      <c r="L38" s="79" t="s">
        <v>123</v>
      </c>
      <c r="M38" s="80">
        <v>33</v>
      </c>
      <c r="N38" s="537">
        <f>+M17*E17*2</f>
        <v>12643.536</v>
      </c>
      <c r="O38" s="538"/>
      <c r="P38" s="321"/>
    </row>
    <row r="39" spans="2:16" ht="15">
      <c r="B39" s="311"/>
      <c r="C39" s="82"/>
      <c r="D39" s="533" t="s">
        <v>10</v>
      </c>
      <c r="E39" s="78" t="s">
        <v>8</v>
      </c>
      <c r="F39" s="555">
        <v>7.5</v>
      </c>
      <c r="G39" s="556"/>
      <c r="H39" s="534">
        <f>+F39*$J$18*$E$17</f>
        <v>4731.839999999999</v>
      </c>
      <c r="J39" s="535" t="s">
        <v>11</v>
      </c>
      <c r="K39" s="536"/>
      <c r="L39" s="79" t="s">
        <v>124</v>
      </c>
      <c r="M39" s="80">
        <v>33</v>
      </c>
      <c r="N39" s="537">
        <f>3*M17*E17</f>
        <v>18965.304</v>
      </c>
      <c r="O39" s="538"/>
      <c r="P39" s="321"/>
    </row>
    <row r="40" spans="2:16" ht="15">
      <c r="B40" s="311"/>
      <c r="C40" s="82"/>
      <c r="D40" s="533" t="s">
        <v>11</v>
      </c>
      <c r="E40" s="78" t="s">
        <v>8</v>
      </c>
      <c r="F40" s="555">
        <v>15</v>
      </c>
      <c r="G40" s="556"/>
      <c r="H40" s="534">
        <f>+F40*$J$18*$E$17</f>
        <v>9463.679999999998</v>
      </c>
      <c r="J40" s="535" t="s">
        <v>13</v>
      </c>
      <c r="K40" s="536"/>
      <c r="L40" s="79" t="s">
        <v>125</v>
      </c>
      <c r="M40" s="80">
        <v>13.2</v>
      </c>
      <c r="N40" s="537">
        <f>+M18*E17*6</f>
        <v>37930.608</v>
      </c>
      <c r="O40" s="538"/>
      <c r="P40" s="321"/>
    </row>
    <row r="41" spans="2:16" ht="15">
      <c r="B41" s="311"/>
      <c r="C41" s="82"/>
      <c r="D41" s="514" t="s">
        <v>13</v>
      </c>
      <c r="E41" s="515" t="s">
        <v>126</v>
      </c>
      <c r="F41" s="557">
        <v>30</v>
      </c>
      <c r="G41" s="558"/>
      <c r="H41" s="534">
        <f>+F41*$J$18*$E$17</f>
        <v>18927.359999999997</v>
      </c>
      <c r="J41" s="535" t="s">
        <v>9</v>
      </c>
      <c r="K41" s="536"/>
      <c r="L41" s="79" t="s">
        <v>127</v>
      </c>
      <c r="M41" s="80"/>
      <c r="N41" s="537">
        <f>+M17*E17+M18*E17*2</f>
        <v>18965.304</v>
      </c>
      <c r="O41" s="538"/>
      <c r="P41" s="321"/>
    </row>
    <row r="42" spans="2:16" ht="15">
      <c r="B42" s="311"/>
      <c r="C42" s="82"/>
      <c r="D42" s="78"/>
      <c r="E42" s="78"/>
      <c r="F42" s="322"/>
      <c r="G42" s="79"/>
      <c r="H42" s="523">
        <f>SUM(H37:H41)</f>
        <v>107570.49599999998</v>
      </c>
      <c r="J42" s="539" t="s">
        <v>12</v>
      </c>
      <c r="K42" s="520"/>
      <c r="L42" s="517" t="s">
        <v>128</v>
      </c>
      <c r="M42" s="540"/>
      <c r="N42" s="541">
        <f>(M16+M17+M18*5)*E17</f>
        <v>46354.176</v>
      </c>
      <c r="O42" s="542"/>
      <c r="P42" s="321"/>
    </row>
    <row r="43" spans="2:16" ht="15">
      <c r="B43" s="311"/>
      <c r="C43" s="82"/>
      <c r="D43" s="78"/>
      <c r="E43" s="78"/>
      <c r="F43" s="322"/>
      <c r="G43" s="79"/>
      <c r="I43" s="85"/>
      <c r="J43" s="318"/>
      <c r="K43" s="318"/>
      <c r="L43" s="323"/>
      <c r="M43" s="79"/>
      <c r="N43" s="543">
        <f>SUM(N37:N42)</f>
        <v>143282.496</v>
      </c>
      <c r="O43" s="528"/>
      <c r="P43" s="321"/>
    </row>
    <row r="44" spans="2:16" ht="12.75" customHeight="1" thickBot="1">
      <c r="B44" s="311"/>
      <c r="C44" s="82"/>
      <c r="D44" s="78"/>
      <c r="E44" s="78"/>
      <c r="F44" s="84"/>
      <c r="G44" s="79"/>
      <c r="H44" s="85"/>
      <c r="I44" s="78"/>
      <c r="J44" s="78"/>
      <c r="K44" s="78"/>
      <c r="L44" s="79"/>
      <c r="M44" s="79"/>
      <c r="N44" s="80"/>
      <c r="O44" s="81"/>
      <c r="P44" s="321"/>
    </row>
    <row r="45" spans="2:16" ht="20.25" thickBot="1" thickTop="1">
      <c r="B45" s="311"/>
      <c r="C45" s="82"/>
      <c r="D45" s="78"/>
      <c r="E45" s="78"/>
      <c r="F45" s="84"/>
      <c r="G45" s="79"/>
      <c r="H45" s="544" t="s">
        <v>111</v>
      </c>
      <c r="I45" s="545">
        <f>+H42+N43+L34</f>
        <v>878202.882808</v>
      </c>
      <c r="J45" s="78"/>
      <c r="K45" s="544" t="s">
        <v>169</v>
      </c>
      <c r="L45" s="545">
        <v>267469.17</v>
      </c>
      <c r="M45" s="79"/>
      <c r="N45" s="80"/>
      <c r="O45" s="81"/>
      <c r="P45" s="321"/>
    </row>
    <row r="46" spans="2:16" ht="15.75" thickTop="1">
      <c r="B46" s="311"/>
      <c r="C46" s="82"/>
      <c r="D46" s="78"/>
      <c r="E46" s="78"/>
      <c r="F46" s="84"/>
      <c r="G46" s="79"/>
      <c r="H46" s="85"/>
      <c r="I46" s="78"/>
      <c r="J46" s="78"/>
      <c r="K46" s="78"/>
      <c r="L46" s="79"/>
      <c r="M46" s="79"/>
      <c r="N46" s="80"/>
      <c r="O46" s="81"/>
      <c r="P46" s="321"/>
    </row>
    <row r="47" spans="2:16" ht="15.75">
      <c r="B47" s="311"/>
      <c r="C47" s="546" t="s">
        <v>112</v>
      </c>
      <c r="D47" s="78"/>
      <c r="E47" s="78"/>
      <c r="F47" s="84"/>
      <c r="G47" s="79"/>
      <c r="H47" s="85"/>
      <c r="I47" s="78"/>
      <c r="J47" s="78"/>
      <c r="K47" s="78"/>
      <c r="L47" s="79"/>
      <c r="M47" s="79"/>
      <c r="N47" s="80"/>
      <c r="O47" s="81"/>
      <c r="P47" s="321"/>
    </row>
    <row r="48" spans="2:16" ht="15.75" thickBot="1">
      <c r="B48" s="311"/>
      <c r="C48" s="82"/>
      <c r="D48" s="78"/>
      <c r="E48" s="78"/>
      <c r="F48" s="84"/>
      <c r="G48" s="79"/>
      <c r="H48" s="85"/>
      <c r="I48" s="78"/>
      <c r="J48" s="78"/>
      <c r="K48" s="78"/>
      <c r="L48" s="79"/>
      <c r="M48" s="79"/>
      <c r="N48" s="80"/>
      <c r="O48" s="81"/>
      <c r="P48" s="321"/>
    </row>
    <row r="49" spans="2:16" ht="20.25" thickBot="1" thickTop="1">
      <c r="B49" s="311"/>
      <c r="C49" s="82"/>
      <c r="D49" s="267" t="s">
        <v>113</v>
      </c>
      <c r="F49" s="324"/>
      <c r="G49" s="75"/>
      <c r="H49" s="170" t="s">
        <v>114</v>
      </c>
      <c r="I49" s="547">
        <f>E18*L45</f>
        <v>6686.72925</v>
      </c>
      <c r="J49" s="71"/>
      <c r="K49" s="71"/>
      <c r="O49" s="71"/>
      <c r="P49" s="321"/>
    </row>
    <row r="50" spans="2:16" ht="21.75" thickTop="1">
      <c r="B50" s="311"/>
      <c r="C50" s="82"/>
      <c r="F50" s="325"/>
      <c r="G50" s="46"/>
      <c r="I50" s="71"/>
      <c r="J50" s="71"/>
      <c r="K50" s="71"/>
      <c r="O50" s="71"/>
      <c r="P50" s="321"/>
    </row>
    <row r="51" spans="2:16" ht="15">
      <c r="B51" s="311"/>
      <c r="C51" s="70" t="s">
        <v>115</v>
      </c>
      <c r="E51" s="71"/>
      <c r="F51" s="71"/>
      <c r="G51" s="71"/>
      <c r="H51" s="71"/>
      <c r="I51" s="79"/>
      <c r="J51" s="79"/>
      <c r="K51" s="79"/>
      <c r="L51" s="79"/>
      <c r="M51" s="79"/>
      <c r="N51" s="80"/>
      <c r="O51" s="81"/>
      <c r="P51" s="321"/>
    </row>
    <row r="52" spans="2:16" ht="15">
      <c r="B52" s="311"/>
      <c r="C52" s="82"/>
      <c r="D52" s="77" t="s">
        <v>116</v>
      </c>
      <c r="E52" s="326">
        <f>10*I25*I49/I45</f>
        <v>3921.5817526673604</v>
      </c>
      <c r="F52" s="548"/>
      <c r="H52" s="71"/>
      <c r="I52" s="79"/>
      <c r="J52" s="79"/>
      <c r="K52" s="79"/>
      <c r="L52" s="79"/>
      <c r="M52" s="79"/>
      <c r="N52" s="80"/>
      <c r="O52" s="81"/>
      <c r="P52" s="321"/>
    </row>
    <row r="53" spans="2:16" ht="15">
      <c r="B53" s="311"/>
      <c r="C53" s="82"/>
      <c r="D53" s="71"/>
      <c r="E53" s="71"/>
      <c r="J53" s="79"/>
      <c r="K53" s="79"/>
      <c r="L53" s="79"/>
      <c r="M53" s="79"/>
      <c r="N53" s="80"/>
      <c r="O53" s="81"/>
      <c r="P53" s="321"/>
    </row>
    <row r="54" spans="2:16" ht="15">
      <c r="B54" s="311"/>
      <c r="C54" s="82"/>
      <c r="D54" s="71" t="s">
        <v>129</v>
      </c>
      <c r="E54" s="71"/>
      <c r="F54" s="71"/>
      <c r="G54" s="71"/>
      <c r="H54" s="71"/>
      <c r="M54" s="79"/>
      <c r="N54" s="80"/>
      <c r="O54" s="81"/>
      <c r="P54" s="321"/>
    </row>
    <row r="55" spans="2:16" ht="15.75" thickBot="1">
      <c r="B55" s="311"/>
      <c r="C55" s="82"/>
      <c r="D55" s="71"/>
      <c r="E55" s="71"/>
      <c r="F55" s="71"/>
      <c r="G55" s="71"/>
      <c r="H55" s="71"/>
      <c r="M55" s="79"/>
      <c r="N55" s="80"/>
      <c r="O55" s="81"/>
      <c r="P55" s="321"/>
    </row>
    <row r="56" spans="2:16" ht="20.25" thickBot="1" thickTop="1">
      <c r="B56" s="311"/>
      <c r="C56" s="82"/>
      <c r="D56" s="78"/>
      <c r="E56" s="78"/>
      <c r="F56" s="84"/>
      <c r="G56" s="79"/>
      <c r="H56" s="268" t="s">
        <v>117</v>
      </c>
      <c r="I56" s="549">
        <f>IF($E$52&gt;3*I49,3*I49,$E$52)</f>
        <v>3921.5817526673604</v>
      </c>
      <c r="J56" s="79"/>
      <c r="K56" s="79"/>
      <c r="L56" s="79"/>
      <c r="M56" s="79"/>
      <c r="N56" s="80"/>
      <c r="O56" s="81"/>
      <c r="P56" s="321"/>
    </row>
    <row r="57" spans="2:16" ht="16.5" thickBot="1" thickTop="1">
      <c r="B57" s="327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9"/>
    </row>
    <row r="58" spans="2:16" ht="13.5" thickTop="1">
      <c r="B58" s="1"/>
      <c r="P58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7" ht="12" customHeight="1"/>
    <row r="103" ht="12.75">
      <c r="B103" s="1"/>
    </row>
    <row r="109" ht="12.75">
      <c r="A109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2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Jaworski</cp:lastModifiedBy>
  <cp:lastPrinted>2016-08-18T15:02:45Z</cp:lastPrinted>
  <dcterms:created xsi:type="dcterms:W3CDTF">2000-10-04T20:14:32Z</dcterms:created>
  <dcterms:modified xsi:type="dcterms:W3CDTF">2016-08-18T15:12:33Z</dcterms:modified>
  <cp:category/>
  <cp:version/>
  <cp:contentType/>
  <cp:contentStatus/>
</cp:coreProperties>
</file>