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77" activeTab="0"/>
  </bookViews>
  <sheets>
    <sheet name="TOT-1212" sheetId="1" r:id="rId1"/>
    <sheet name="LI-12 (1)" sheetId="2" r:id="rId2"/>
    <sheet name="LI-12 (2)" sheetId="3" r:id="rId3"/>
    <sheet name="LI-12 (3)" sheetId="4" r:id="rId4"/>
    <sheet name="T-12 (1)" sheetId="5" r:id="rId5"/>
    <sheet name="T-12 (2)" sheetId="6" r:id="rId6"/>
    <sheet name="LI-EDESA-12 (1)" sheetId="7" r:id="rId7"/>
    <sheet name="SUP-EDESA" sheetId="8" r:id="rId8"/>
    <sheet name="TASA FALLA" sheetId="9" r:id="rId9"/>
    <sheet name="DATO" sheetId="10" r:id="rId10"/>
  </sheets>
  <externalReferences>
    <externalReference r:id="rId13"/>
    <externalReference r:id="rId14"/>
    <externalReference r:id="rId15"/>
  </externalReferences>
  <definedNames>
    <definedName name="_xlnm.Print_Area" localSheetId="8">'TASA FALLA'!$A$1:$T$130</definedName>
    <definedName name="DD" localSheetId="8">'TASA FALLA'!DD</definedName>
    <definedName name="DD">[0]!DD</definedName>
    <definedName name="DDD" localSheetId="8">'TASA FALLA'!DDD</definedName>
    <definedName name="DDD">[0]!DDD</definedName>
    <definedName name="DISTROCUYO" localSheetId="8">'TASA FALLA'!DISTROCUYO</definedName>
    <definedName name="DISTROCUYO">[0]!DISTROCUYO</definedName>
    <definedName name="f" localSheetId="8">'TASA FALLA'!f</definedName>
    <definedName name="f">[0]!f</definedName>
    <definedName name="ggggggggggggggg">#N/A</definedName>
    <definedName name="INICIO" localSheetId="8">'TASA FALLA'!INICIO</definedName>
    <definedName name="INICIO">[0]!INICIO</definedName>
    <definedName name="INICIOTI" localSheetId="8">'TASA FALLA'!INICIOTI</definedName>
    <definedName name="INICIOTI">[0]!INICIOTI</definedName>
    <definedName name="LINEAS" localSheetId="8">'TASA FALLA'!LINEAS</definedName>
    <definedName name="LINEAS">[0]!LINEAS</definedName>
    <definedName name="LINEASTI" localSheetId="8">'TASA FALLA'!LINEASTI</definedName>
    <definedName name="LINEASTI">[0]!LINEASTI</definedName>
    <definedName name="NAME_L" localSheetId="8">'TASA FALLA'!NAME_L</definedName>
    <definedName name="NAME_L">[0]!NAME_L</definedName>
    <definedName name="NAME_L_TI" localSheetId="8">'TASA FALLA'!NAME_L_TI</definedName>
    <definedName name="NAME_L_TI">[0]!NAME_L_TI</definedName>
    <definedName name="QITBA">#REF!</definedName>
    <definedName name="TRAN" localSheetId="8">'TASA FALLA'!TRAN</definedName>
    <definedName name="TRAN">[0]!TRAN</definedName>
    <definedName name="TRANSNEA1" localSheetId="8">'TASA FALLA'!TRANSNEA1</definedName>
    <definedName name="TRANSNEA1">[0]!TRANSNEA1</definedName>
    <definedName name="TRANSNEA2" localSheetId="8">'TASA FALLA'!TRANSNEA2</definedName>
    <definedName name="TRANSNEA2">[0]!TRANSNEA2</definedName>
    <definedName name="TRANSNEA3">#N/A</definedName>
    <definedName name="TRANSNEA4">#N/A</definedName>
    <definedName name="TRANSNEA5" localSheetId="8">'TASA FALLA'!TRANSNEA5</definedName>
    <definedName name="TRANSNEA5">[0]!TRANSNEA5</definedName>
    <definedName name="TRANSNEA6" localSheetId="8">'TASA FALLA'!TRANSNEA6</definedName>
    <definedName name="TRANSNEA6">[0]!TRANSNEA6</definedName>
    <definedName name="TRANSNOA" localSheetId="8">#N/A</definedName>
    <definedName name="TRANSNOA">[0]!TRANSNOA</definedName>
    <definedName name="TRANSPA" localSheetId="8">'TASA FALLA'!TRANSPA</definedName>
    <definedName name="TRANSPA">#N/A</definedName>
    <definedName name="x" localSheetId="8">'TASA FALLA'!x</definedName>
    <definedName name="x">[0]!x</definedName>
    <definedName name="XX" localSheetId="8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<sst xmlns="http://schemas.openxmlformats.org/spreadsheetml/2006/main" count="612" uniqueCount="257">
  <si>
    <t>SISTEMA DE TRANSPORTE DE ENERGÍA ELÉCTRICA POR DISTRIBUCIÓN TRONCAL</t>
  </si>
  <si>
    <t>TRANSNOA S.A.</t>
  </si>
  <si>
    <t>TOTAL</t>
  </si>
  <si>
    <t>LÍNEAS</t>
  </si>
  <si>
    <t>TRANSFORMACIÓN</t>
  </si>
  <si>
    <t>SALIDAS</t>
  </si>
  <si>
    <t>METAN - EL TUNAL</t>
  </si>
  <si>
    <t>EL TUNAL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</si>
  <si>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</si>
  <si>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</si>
  <si>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</si>
  <si>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</si>
  <si>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</si>
  <si>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</si>
  <si>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1.2.-</t>
  </si>
  <si>
    <t>Equipamiento del T.I. EDESA S.A.</t>
  </si>
  <si>
    <t>2.-</t>
  </si>
  <si>
    <t>CONEXIÓN</t>
  </si>
  <si>
    <t>2.1.-</t>
  </si>
  <si>
    <t>Transformación</t>
  </si>
  <si>
    <t>2.1.1.-</t>
  </si>
  <si>
    <t>SUPERVISIÓN del T.I. EDESA S.A.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</si>
  <si>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</si>
  <si>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</si>
  <si>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</si>
  <si>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</si>
  <si>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</si>
  <si>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</si>
  <si>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</si>
  <si>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</si>
  <si>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</si>
  <si>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</si>
  <si>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</si>
  <si>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</si>
  <si>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</si>
  <si>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</si>
  <si>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</si>
  <si>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</si>
  <si>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</si>
  <si>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</si>
  <si>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</si>
  <si>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</si>
  <si>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</si>
  <si>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</si>
  <si>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</si>
  <si>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</si>
  <si>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t>1.2.- Transportista Independiente EDESA S.A.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</si>
  <si>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</si>
  <si>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</si>
  <si>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</si>
  <si>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</si>
  <si>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</si>
  <si>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</si>
  <si>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</si>
  <si>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</si>
  <si>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</si>
  <si>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</si>
  <si>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</si>
  <si>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</si>
  <si>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</si>
  <si>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</si>
  <si>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</si>
  <si>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 xml:space="preserve">Salida en 132 kV o 66 kV = </t>
  </si>
  <si>
    <t xml:space="preserve">Salida en 33 kV </t>
  </si>
  <si>
    <t>Salida en 13,2 kV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</si>
  <si>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</si>
  <si>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</si>
  <si>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</si>
  <si>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</si>
  <si>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</si>
  <si>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</si>
  <si>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</si>
  <si>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</si>
  <si>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</si>
  <si>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</si>
  <si>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</si>
  <si>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</si>
  <si>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U [kV]</t>
  </si>
  <si>
    <t>Long [km]</t>
  </si>
  <si>
    <t>Cargo por C. T.</t>
  </si>
  <si>
    <t>EL TUNAL - J.V.GONZALEZ</t>
  </si>
  <si>
    <t>Cargo por Capacidad de Transformación</t>
  </si>
  <si>
    <t>Equipo</t>
  </si>
  <si>
    <t>Pot [MVA]</t>
  </si>
  <si>
    <t>E.T</t>
  </si>
  <si>
    <t>Cargo</t>
  </si>
  <si>
    <t>J.V. GONZALEZ</t>
  </si>
  <si>
    <t>T1</t>
  </si>
  <si>
    <t>Alimentador Tolloche</t>
  </si>
  <si>
    <t>T2</t>
  </si>
  <si>
    <t>Alimentador Lajitas</t>
  </si>
  <si>
    <t>Alimentador J. V. Gonzalez</t>
  </si>
  <si>
    <t>Alimentador El Tunal</t>
  </si>
  <si>
    <t>Alimentador Quebrachal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</si>
  <si>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</si>
  <si>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</si>
  <si>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</si>
  <si>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</si>
  <si>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</si>
  <si>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</si>
  <si>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TRANSNOA S.A. POR SUPERVISIÓN A  EDESA S.A.</t>
  </si>
  <si>
    <t>SANCIÓN 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</si>
  <si>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</si>
  <si>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</si>
  <si>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</si>
  <si>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</si>
  <si>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</si>
  <si>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</si>
  <si>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</si>
  <si>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</si>
  <si>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</si>
  <si>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</si>
  <si>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</si>
  <si>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</si>
  <si>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</si>
  <si>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</si>
  <si>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</si>
  <si>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</si>
  <si>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</si>
  <si>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</si>
  <si>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</si>
  <si>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</si>
  <si>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</si>
  <si>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</si>
  <si>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</si>
  <si>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</si>
  <si>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</si>
  <si>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</si>
  <si>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</si>
  <si>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</si>
  <si>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</si>
  <si>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</si>
  <si>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</si>
  <si>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</si>
  <si>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</si>
  <si>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</si>
  <si>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</si>
  <si>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</si>
  <si>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</si>
  <si>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</si>
  <si>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</si>
  <si>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</si>
  <si>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</si>
  <si>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</si>
  <si>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</si>
  <si>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</si>
  <si>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</si>
  <si>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</si>
  <si>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</si>
  <si>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</si>
  <si>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</si>
  <si>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MODELO L</t>
  </si>
  <si>
    <t>MODELO T</t>
  </si>
  <si>
    <t>MODELO S</t>
  </si>
  <si>
    <t>MODELO L EDESA</t>
  </si>
  <si>
    <t>MODELO T EDESA</t>
  </si>
  <si>
    <t>MODELO S EDESA</t>
  </si>
  <si>
    <t>MODELO VST</t>
  </si>
  <si>
    <t>TRANSNOA_CAUSAS_VST.XLS</t>
  </si>
  <si>
    <t>COL TSAL</t>
  </si>
  <si>
    <t>FILHTOTAL</t>
  </si>
  <si>
    <t>COLHTOTAL</t>
  </si>
  <si>
    <t>FILHCALC</t>
  </si>
  <si>
    <t>COLHCALC</t>
  </si>
  <si>
    <t>FILTRANSP</t>
  </si>
  <si>
    <t>COLTRANSP</t>
  </si>
  <si>
    <t>ID EQUIPO</t>
  </si>
  <si>
    <t>INDISP</t>
  </si>
  <si>
    <t xml:space="preserve"> ENTE NACIONAL REGULADOR </t>
  </si>
  <si>
    <t xml:space="preserve">       DE LA ELECTRICIDAD</t>
  </si>
  <si>
    <t>Total</t>
  </si>
  <si>
    <t>B14</t>
  </si>
  <si>
    <t>TRANSNOA_INDISPONIBILIDADES_LINEAS_TRANSNOA.XLS</t>
  </si>
  <si>
    <t>TRANSNOA_INDISPONIBILIDADES_TRAFOS_TRANSNOA.XLS</t>
  </si>
  <si>
    <t>TRANSNOA_INDISPONIBILIDADES_SALIDAS_TRANSNOA.XLS</t>
  </si>
  <si>
    <t>TRANSNOA_INDISPONIBILIDADES_LINEAS_EDESA.XLS</t>
  </si>
  <si>
    <t>TRANSNOA_INDISPONIBILIDADES_TRAFOS_EDESA.XLS</t>
  </si>
  <si>
    <t>TRANSNOA_INDISPONIBILIDADES_SALIDAS_EDESA.XLS</t>
  </si>
  <si>
    <t>MODELO L RIOJA</t>
  </si>
  <si>
    <t>TRANSNOA_INDISPONIBILIDADES_LINEAS_RIOJA.XLS</t>
  </si>
  <si>
    <t>3.1- SUPERVISIÓN - Transportista Independiente EDESA S.A.</t>
  </si>
  <si>
    <t>3.1.-</t>
  </si>
  <si>
    <t>Desde el 01 al 31 de diciembre de 2012</t>
  </si>
  <si>
    <t>VILLA QUINTEROS - ANDALGALA</t>
  </si>
  <si>
    <t>F</t>
  </si>
  <si>
    <t>SI</t>
  </si>
  <si>
    <t>BELEN - TINOGASTA</t>
  </si>
  <si>
    <t>AÑATUYA - BANDERA</t>
  </si>
  <si>
    <t>SALTA ESTE - SALTA SUR</t>
  </si>
  <si>
    <t>PAMPA GRANDE - CABRA CORRAL</t>
  </si>
  <si>
    <t>ESTATICA SUR - SARMIENTO NOA</t>
  </si>
  <si>
    <t>P</t>
  </si>
  <si>
    <t>C.H. RIO HONDO - LA BANDA</t>
  </si>
  <si>
    <t>AGUILARES - VILLA QUINTEROS</t>
  </si>
  <si>
    <t>EL BRACHO - LA BANDA</t>
  </si>
  <si>
    <t>TUCUMAN OESTE - TUCUMAN NORTE</t>
  </si>
  <si>
    <t>AGUILARES - ESCABA</t>
  </si>
  <si>
    <t>ROSARIO DE LA FRONTERA - COBOS</t>
  </si>
  <si>
    <t>AGUA BLANCA - INDEPENDENCIA TUC</t>
  </si>
  <si>
    <t>INDEPENDENCIA TUC. - EL BRACHO 2</t>
  </si>
  <si>
    <t>SARMIENTO - TUCUMAN NORTE (O.F.)</t>
  </si>
  <si>
    <t>TUCUMAN NORTE - EL BRACHO</t>
  </si>
  <si>
    <t>CEVIL POZO - TUCUMAN NORTE</t>
  </si>
  <si>
    <t>CATAMARCA - V. VIEJO - HUACRA</t>
  </si>
  <si>
    <t>METAN - TUCUMAN NORTE</t>
  </si>
  <si>
    <t>PALPALA - SAN JUANCITO</t>
  </si>
  <si>
    <t>SAN JUANCITO - SAN PEDRO JUJUY</t>
  </si>
  <si>
    <t>132/33/13,2</t>
  </si>
  <si>
    <t>0,000</t>
  </si>
  <si>
    <t>TRAFO 1</t>
  </si>
  <si>
    <t>TRP2</t>
  </si>
  <si>
    <t>BURRUYACU</t>
  </si>
  <si>
    <t>RP</t>
  </si>
  <si>
    <t>TRAFO 2</t>
  </si>
  <si>
    <t>TINOGASTA</t>
  </si>
  <si>
    <t>SALTA ESTE</t>
  </si>
  <si>
    <t>TRAFO</t>
  </si>
  <si>
    <t>132/13,2</t>
  </si>
  <si>
    <t>R</t>
  </si>
  <si>
    <t xml:space="preserve">C.H. RIO HONDO </t>
  </si>
  <si>
    <t xml:space="preserve">AGUA BLANCA </t>
  </si>
  <si>
    <t xml:space="preserve">SANTIAGO CENTRO </t>
  </si>
  <si>
    <t>TRAFO 3</t>
  </si>
  <si>
    <t xml:space="preserve">GÜEMES </t>
  </si>
  <si>
    <t>SALTA (SUR)</t>
  </si>
  <si>
    <t>EL TUNAL - JOAQUIN V. GONZALEZ</t>
  </si>
  <si>
    <t>J.V.GONZALEZ - APOLINARIO SARAVIA</t>
  </si>
  <si>
    <t>APOLINARIO SARAVIA</t>
  </si>
  <si>
    <t>VALLE VIEJO</t>
  </si>
  <si>
    <t>LULES</t>
  </si>
  <si>
    <t>INDEPENDENCIA TUC.</t>
  </si>
  <si>
    <t xml:space="preserve">P - PROGRAMADA  ; F - FORZADA 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</si>
  <si>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</si>
  <si>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 F - FORZADA </t>
  </si>
  <si>
    <t xml:space="preserve"> -</t>
  </si>
  <si>
    <t>RM * =</t>
  </si>
  <si>
    <r>
      <t>RM *</t>
    </r>
    <r>
      <rPr>
        <sz val="11"/>
        <rFont val="Times New Roman"/>
        <family val="1"/>
      </rPr>
      <t xml:space="preserve"> = VALOR EMPLEADO PARA CALCULAR </t>
    </r>
    <r>
      <rPr>
        <b/>
        <sz val="11"/>
        <rFont val="Times New Roman"/>
        <family val="1"/>
      </rPr>
      <t>CS</t>
    </r>
  </si>
  <si>
    <t xml:space="preserve">SISTEMA DE TRANSPORTE DE ENERGÍA ELÉCTRICA POR DISTRIBUCIÓN TRONCAL </t>
  </si>
  <si>
    <t>INDISPONIBILIDADES FORZADAS DE LÍNEAS - TASA DE FALLA</t>
  </si>
  <si>
    <t>y</t>
  </si>
  <si>
    <t xml:space="preserve">Longitud Total    </t>
  </si>
  <si>
    <t xml:space="preserve">Indisponibilidades Forzadas  </t>
  </si>
  <si>
    <t xml:space="preserve">TASA DE FALLA  </t>
  </si>
  <si>
    <t>XXX</t>
  </si>
  <si>
    <t xml:space="preserve">  Línea no computada en el mes</t>
  </si>
  <si>
    <t>TASA DE FALLA</t>
  </si>
  <si>
    <t>SALIDAS x AÑO / 100 km</t>
  </si>
  <si>
    <t>TOTAL DE PENALIZACIONES A APLICAR</t>
  </si>
  <si>
    <t>Valores remuneratorios según Acuerdo Instrumental del Acta Acuerdo UNIREN - TRANSNOA S.A. (Decreto PEN N° 1245/2007)</t>
  </si>
  <si>
    <t>39b</t>
  </si>
  <si>
    <t>RF</t>
  </si>
  <si>
    <t>NO</t>
  </si>
  <si>
    <t>P - PROGRAMADA  ; F - FORZADA  ; RP - REDUCCION PROGRAMADA  ; R - REDUCCION FORZADA  ; RF - RESTANTE FORZADA</t>
  </si>
  <si>
    <t>47b</t>
  </si>
  <si>
    <t>P - PROGRAMADA  ; F - FORZADA    ; R - REDUCCION FORZADA  ; RF - RESTANTE FORZADA</t>
  </si>
  <si>
    <t>Correspondiente al mes diciembre de 2012</t>
  </si>
  <si>
    <t>ANEXO III al Memorándum  D.T.E.E.  N°  261/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</si>
</sst>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d/m/yy\ h:mm"/>
    <numFmt numFmtId="218" formatCode="&quot;$&quot;\ #,##0.000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\a\.m\./\p\.m\."/>
    <numFmt numFmtId="227" formatCode="&quot;$&quot;\ #,##0.0;[Red]&quot;$&quot;\ \-#,##0.0"/>
  </numFmts>
  <fonts count="1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sz val="10"/>
      <color indexed="50"/>
      <name val="MS Sans Serif"/>
      <family val="2"/>
    </font>
    <font>
      <sz val="8"/>
      <name val="MS Sans Serif"/>
      <family val="2"/>
    </font>
    <font>
      <sz val="9"/>
      <name val="Times New Roman"/>
      <family val="1"/>
    </font>
    <font>
      <sz val="9"/>
      <name val="Wingdings"/>
      <family val="0"/>
    </font>
    <font>
      <sz val="8"/>
      <color indexed="9"/>
      <name val="Arial"/>
      <family val="2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i/>
      <u val="single"/>
      <sz val="14"/>
      <color indexed="9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sz val="9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0" applyNumberFormat="0" applyBorder="0" applyAlignment="0" applyProtection="0"/>
    <xf numFmtId="0" fontId="105" fillId="21" borderId="1" applyNumberFormat="0" applyAlignment="0" applyProtection="0"/>
    <xf numFmtId="0" fontId="106" fillId="22" borderId="2" applyNumberFormat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0" applyNumberFormat="0" applyFill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10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3" fillId="21" borderId="6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7" applyNumberFormat="0" applyFill="0" applyAlignment="0" applyProtection="0"/>
    <xf numFmtId="0" fontId="109" fillId="0" borderId="8" applyNumberFormat="0" applyFill="0" applyAlignment="0" applyProtection="0"/>
    <xf numFmtId="0" fontId="118" fillId="0" borderId="9" applyNumberFormat="0" applyFill="0" applyAlignment="0" applyProtection="0"/>
  </cellStyleXfs>
  <cellXfs count="60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 quotePrefix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8" fontId="7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0" fontId="7" fillId="0" borderId="10" xfId="0" applyFont="1" applyFill="1" applyBorder="1" applyAlignment="1">
      <alignment/>
    </xf>
    <xf numFmtId="8" fontId="10" fillId="0" borderId="14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 horizontal="center"/>
    </xf>
    <xf numFmtId="7" fontId="26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30" fillId="0" borderId="26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center" vertical="center"/>
      <protection/>
    </xf>
    <xf numFmtId="0" fontId="30" fillId="0" borderId="26" xfId="0" applyFont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6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30" fillId="0" borderId="26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Fill="1" applyBorder="1" applyAlignment="1" applyProtection="1" quotePrefix="1">
      <alignment horizontal="center" vertical="center" wrapText="1"/>
      <protection/>
    </xf>
    <xf numFmtId="0" fontId="30" fillId="0" borderId="26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5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7" fontId="13" fillId="0" borderId="26" xfId="0" applyNumberFormat="1" applyFont="1" applyBorder="1" applyAlignment="1">
      <alignment horizontal="right"/>
    </xf>
    <xf numFmtId="0" fontId="36" fillId="33" borderId="26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>
      <alignment/>
    </xf>
    <xf numFmtId="168" fontId="37" fillId="33" borderId="11" xfId="0" applyNumberFormat="1" applyFont="1" applyFill="1" applyBorder="1" applyAlignment="1" applyProtection="1">
      <alignment horizontal="center"/>
      <protection/>
    </xf>
    <xf numFmtId="168" fontId="37" fillId="33" borderId="13" xfId="0" applyNumberFormat="1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0" fillId="0" borderId="26" xfId="0" applyFont="1" applyBorder="1" applyAlignment="1">
      <alignment horizontal="center" vertical="center" wrapText="1"/>
    </xf>
    <xf numFmtId="7" fontId="10" fillId="0" borderId="14" xfId="0" applyNumberFormat="1" applyFont="1" applyBorder="1" applyAlignment="1">
      <alignment horizontal="right"/>
    </xf>
    <xf numFmtId="167" fontId="7" fillId="0" borderId="20" xfId="0" applyNumberFormat="1" applyFont="1" applyBorder="1" applyAlignment="1">
      <alignment horizontal="centerContinuous"/>
    </xf>
    <xf numFmtId="0" fontId="37" fillId="33" borderId="14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2" fontId="42" fillId="34" borderId="11" xfId="0" applyNumberFormat="1" applyFont="1" applyFill="1" applyBorder="1" applyAlignment="1">
      <alignment horizontal="center"/>
    </xf>
    <xf numFmtId="2" fontId="42" fillId="34" borderId="13" xfId="0" applyNumberFormat="1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/>
    </xf>
    <xf numFmtId="2" fontId="44" fillId="35" borderId="11" xfId="0" applyNumberFormat="1" applyFont="1" applyFill="1" applyBorder="1" applyAlignment="1" applyProtection="1">
      <alignment horizontal="center"/>
      <protection/>
    </xf>
    <xf numFmtId="2" fontId="44" fillId="35" borderId="13" xfId="0" applyNumberFormat="1" applyFont="1" applyFill="1" applyBorder="1" applyAlignment="1">
      <alignment horizontal="center"/>
    </xf>
    <xf numFmtId="0" fontId="39" fillId="36" borderId="19" xfId="0" applyFont="1" applyFill="1" applyBorder="1" applyAlignment="1" applyProtection="1">
      <alignment horizontal="centerContinuous" vertical="center" wrapText="1"/>
      <protection/>
    </xf>
    <xf numFmtId="0" fontId="40" fillId="36" borderId="27" xfId="0" applyFont="1" applyFill="1" applyBorder="1" applyAlignment="1">
      <alignment horizontal="centerContinuous"/>
    </xf>
    <xf numFmtId="0" fontId="39" fillId="36" borderId="20" xfId="0" applyFont="1" applyFill="1" applyBorder="1" applyAlignment="1">
      <alignment horizontal="centerContinuous" vertical="center"/>
    </xf>
    <xf numFmtId="168" fontId="38" fillId="36" borderId="30" xfId="0" applyNumberFormat="1" applyFont="1" applyFill="1" applyBorder="1" applyAlignment="1" applyProtection="1" quotePrefix="1">
      <alignment horizontal="center"/>
      <protection/>
    </xf>
    <xf numFmtId="168" fontId="38" fillId="36" borderId="31" xfId="0" applyNumberFormat="1" applyFont="1" applyFill="1" applyBorder="1" applyAlignment="1" applyProtection="1" quotePrefix="1">
      <alignment horizontal="center"/>
      <protection/>
    </xf>
    <xf numFmtId="4" fontId="38" fillId="36" borderId="15" xfId="0" applyNumberFormat="1" applyFont="1" applyFill="1" applyBorder="1" applyAlignment="1">
      <alignment horizontal="center"/>
    </xf>
    <xf numFmtId="168" fontId="38" fillId="36" borderId="32" xfId="0" applyNumberFormat="1" applyFont="1" applyFill="1" applyBorder="1" applyAlignment="1" applyProtection="1" quotePrefix="1">
      <alignment horizontal="center"/>
      <protection/>
    </xf>
    <xf numFmtId="168" fontId="38" fillId="36" borderId="33" xfId="0" applyNumberFormat="1" applyFont="1" applyFill="1" applyBorder="1" applyAlignment="1" applyProtection="1" quotePrefix="1">
      <alignment horizontal="center"/>
      <protection/>
    </xf>
    <xf numFmtId="4" fontId="38" fillId="36" borderId="34" xfId="0" applyNumberFormat="1" applyFont="1" applyFill="1" applyBorder="1" applyAlignment="1">
      <alignment horizontal="center"/>
    </xf>
    <xf numFmtId="0" fontId="38" fillId="36" borderId="35" xfId="0" applyFont="1" applyFill="1" applyBorder="1" applyAlignment="1">
      <alignment/>
    </xf>
    <xf numFmtId="0" fontId="38" fillId="36" borderId="36" xfId="0" applyFont="1" applyFill="1" applyBorder="1" applyAlignment="1">
      <alignment/>
    </xf>
    <xf numFmtId="2" fontId="42" fillId="34" borderId="26" xfId="0" applyNumberFormat="1" applyFont="1" applyFill="1" applyBorder="1" applyAlignment="1">
      <alignment horizontal="center"/>
    </xf>
    <xf numFmtId="2" fontId="44" fillId="35" borderId="26" xfId="0" applyNumberFormat="1" applyFont="1" applyFill="1" applyBorder="1" applyAlignment="1">
      <alignment horizontal="center"/>
    </xf>
    <xf numFmtId="0" fontId="45" fillId="37" borderId="19" xfId="0" applyFont="1" applyFill="1" applyBorder="1" applyAlignment="1">
      <alignment horizontal="centerContinuous" vertical="center" wrapText="1"/>
    </xf>
    <xf numFmtId="0" fontId="46" fillId="37" borderId="27" xfId="0" applyFont="1" applyFill="1" applyBorder="1" applyAlignment="1">
      <alignment horizontal="centerContinuous"/>
    </xf>
    <xf numFmtId="0" fontId="45" fillId="37" borderId="20" xfId="0" applyFont="1" applyFill="1" applyBorder="1" applyAlignment="1">
      <alignment horizontal="centerContinuous" vertical="center"/>
    </xf>
    <xf numFmtId="0" fontId="47" fillId="37" borderId="37" xfId="0" applyFont="1" applyFill="1" applyBorder="1" applyAlignment="1">
      <alignment horizontal="left"/>
    </xf>
    <xf numFmtId="0" fontId="47" fillId="37" borderId="38" xfId="0" applyFont="1" applyFill="1" applyBorder="1" applyAlignment="1">
      <alignment/>
    </xf>
    <xf numFmtId="4" fontId="47" fillId="37" borderId="30" xfId="0" applyNumberFormat="1" applyFont="1" applyFill="1" applyBorder="1" applyAlignment="1" applyProtection="1">
      <alignment horizontal="center"/>
      <protection/>
    </xf>
    <xf numFmtId="4" fontId="47" fillId="37" borderId="32" xfId="0" applyNumberFormat="1" applyFont="1" applyFill="1" applyBorder="1" applyAlignment="1">
      <alignment horizontal="center"/>
    </xf>
    <xf numFmtId="0" fontId="47" fillId="37" borderId="39" xfId="0" applyFont="1" applyFill="1" applyBorder="1" applyAlignment="1">
      <alignment horizontal="left"/>
    </xf>
    <xf numFmtId="0" fontId="47" fillId="37" borderId="40" xfId="0" applyFont="1" applyFill="1" applyBorder="1" applyAlignment="1">
      <alignment/>
    </xf>
    <xf numFmtId="168" fontId="47" fillId="37" borderId="41" xfId="0" applyNumberFormat="1" applyFont="1" applyFill="1" applyBorder="1" applyAlignment="1" applyProtection="1" quotePrefix="1">
      <alignment horizontal="center"/>
      <protection/>
    </xf>
    <xf numFmtId="4" fontId="47" fillId="37" borderId="42" xfId="0" applyNumberFormat="1" applyFont="1" applyFill="1" applyBorder="1" applyAlignment="1">
      <alignment horizontal="center"/>
    </xf>
    <xf numFmtId="0" fontId="47" fillId="37" borderId="43" xfId="0" applyFont="1" applyFill="1" applyBorder="1" applyAlignment="1">
      <alignment horizontal="left"/>
    </xf>
    <xf numFmtId="0" fontId="47" fillId="37" borderId="44" xfId="0" applyFont="1" applyFill="1" applyBorder="1" applyAlignment="1">
      <alignment/>
    </xf>
    <xf numFmtId="4" fontId="47" fillId="37" borderId="45" xfId="0" applyNumberFormat="1" applyFont="1" applyFill="1" applyBorder="1" applyAlignment="1">
      <alignment horizontal="center"/>
    </xf>
    <xf numFmtId="4" fontId="47" fillId="37" borderId="46" xfId="0" applyNumberFormat="1" applyFont="1" applyFill="1" applyBorder="1" applyAlignment="1">
      <alignment horizontal="center"/>
    </xf>
    <xf numFmtId="0" fontId="45" fillId="38" borderId="26" xfId="0" applyFont="1" applyFill="1" applyBorder="1" applyAlignment="1">
      <alignment horizontal="center" vertical="center" wrapText="1"/>
    </xf>
    <xf numFmtId="0" fontId="47" fillId="38" borderId="14" xfId="0" applyFont="1" applyFill="1" applyBorder="1" applyAlignment="1">
      <alignment horizontal="left"/>
    </xf>
    <xf numFmtId="0" fontId="47" fillId="38" borderId="12" xfId="0" applyFont="1" applyFill="1" applyBorder="1" applyAlignment="1">
      <alignment/>
    </xf>
    <xf numFmtId="4" fontId="47" fillId="38" borderId="11" xfId="0" applyNumberFormat="1" applyFont="1" applyFill="1" applyBorder="1" applyAlignment="1">
      <alignment horizontal="center"/>
    </xf>
    <xf numFmtId="4" fontId="47" fillId="38" borderId="13" xfId="0" applyNumberFormat="1" applyFont="1" applyFill="1" applyBorder="1" applyAlignment="1">
      <alignment horizontal="center"/>
    </xf>
    <xf numFmtId="0" fontId="49" fillId="39" borderId="26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left"/>
    </xf>
    <xf numFmtId="0" fontId="50" fillId="39" borderId="12" xfId="0" applyFont="1" applyFill="1" applyBorder="1" applyAlignment="1">
      <alignment/>
    </xf>
    <xf numFmtId="4" fontId="50" fillId="39" borderId="11" xfId="0" applyNumberFormat="1" applyFont="1" applyFill="1" applyBorder="1" applyAlignment="1">
      <alignment horizontal="center"/>
    </xf>
    <xf numFmtId="4" fontId="50" fillId="39" borderId="13" xfId="0" applyNumberFormat="1" applyFont="1" applyFill="1" applyBorder="1" applyAlignment="1">
      <alignment horizontal="center"/>
    </xf>
    <xf numFmtId="2" fontId="38" fillId="36" borderId="26" xfId="0" applyNumberFormat="1" applyFont="1" applyFill="1" applyBorder="1" applyAlignment="1">
      <alignment horizontal="center"/>
    </xf>
    <xf numFmtId="2" fontId="47" fillId="37" borderId="26" xfId="0" applyNumberFormat="1" applyFont="1" applyFill="1" applyBorder="1" applyAlignment="1">
      <alignment horizontal="center"/>
    </xf>
    <xf numFmtId="2" fontId="47" fillId="38" borderId="26" xfId="0" applyNumberFormat="1" applyFont="1" applyFill="1" applyBorder="1" applyAlignment="1">
      <alignment horizontal="center"/>
    </xf>
    <xf numFmtId="2" fontId="50" fillId="39" borderId="26" xfId="0" applyNumberFormat="1" applyFont="1" applyFill="1" applyBorder="1" applyAlignment="1">
      <alignment horizontal="center"/>
    </xf>
    <xf numFmtId="0" fontId="48" fillId="40" borderId="13" xfId="0" applyFont="1" applyFill="1" applyBorder="1" applyAlignment="1">
      <alignment/>
    </xf>
    <xf numFmtId="0" fontId="45" fillId="40" borderId="26" xfId="0" applyFont="1" applyFill="1" applyBorder="1" applyAlignment="1" applyProtection="1">
      <alignment horizontal="center" vertical="center"/>
      <protection/>
    </xf>
    <xf numFmtId="0" fontId="48" fillId="40" borderId="14" xfId="0" applyFont="1" applyFill="1" applyBorder="1" applyAlignment="1">
      <alignment/>
    </xf>
    <xf numFmtId="0" fontId="48" fillId="40" borderId="11" xfId="0" applyFont="1" applyFill="1" applyBorder="1" applyAlignment="1">
      <alignment/>
    </xf>
    <xf numFmtId="4" fontId="48" fillId="40" borderId="11" xfId="0" applyNumberFormat="1" applyFont="1" applyFill="1" applyBorder="1" applyAlignment="1" applyProtection="1">
      <alignment horizontal="center"/>
      <protection/>
    </xf>
    <xf numFmtId="0" fontId="45" fillId="34" borderId="26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2" fontId="47" fillId="34" borderId="11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/>
    </xf>
    <xf numFmtId="7" fontId="47" fillId="34" borderId="26" xfId="0" applyNumberFormat="1" applyFont="1" applyFill="1" applyBorder="1" applyAlignment="1">
      <alignment horizontal="center"/>
    </xf>
    <xf numFmtId="0" fontId="45" fillId="41" borderId="26" xfId="0" applyFont="1" applyFill="1" applyBorder="1" applyAlignment="1">
      <alignment horizontal="center" vertical="center" wrapText="1"/>
    </xf>
    <xf numFmtId="0" fontId="47" fillId="41" borderId="14" xfId="0" applyFont="1" applyFill="1" applyBorder="1" applyAlignment="1">
      <alignment/>
    </xf>
    <xf numFmtId="0" fontId="47" fillId="41" borderId="11" xfId="0" applyFont="1" applyFill="1" applyBorder="1" applyAlignment="1">
      <alignment/>
    </xf>
    <xf numFmtId="2" fontId="47" fillId="41" borderId="11" xfId="0" applyNumberFormat="1" applyFont="1" applyFill="1" applyBorder="1" applyAlignment="1">
      <alignment horizontal="center"/>
    </xf>
    <xf numFmtId="0" fontId="47" fillId="41" borderId="13" xfId="0" applyFont="1" applyFill="1" applyBorder="1" applyAlignment="1">
      <alignment/>
    </xf>
    <xf numFmtId="7" fontId="48" fillId="41" borderId="26" xfId="0" applyNumberFormat="1" applyFont="1" applyFill="1" applyBorder="1" applyAlignment="1">
      <alignment horizontal="center"/>
    </xf>
    <xf numFmtId="0" fontId="38" fillId="36" borderId="47" xfId="0" applyFont="1" applyFill="1" applyBorder="1" applyAlignment="1">
      <alignment/>
    </xf>
    <xf numFmtId="0" fontId="38" fillId="36" borderId="32" xfId="0" applyFont="1" applyFill="1" applyBorder="1" applyAlignment="1">
      <alignment/>
    </xf>
    <xf numFmtId="0" fontId="38" fillId="36" borderId="46" xfId="0" applyFont="1" applyFill="1" applyBorder="1" applyAlignment="1">
      <alignment/>
    </xf>
    <xf numFmtId="7" fontId="38" fillId="36" borderId="26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/>
    </xf>
    <xf numFmtId="168" fontId="38" fillId="36" borderId="45" xfId="0" applyNumberFormat="1" applyFont="1" applyFill="1" applyBorder="1" applyAlignment="1" applyProtection="1" quotePrefix="1">
      <alignment horizontal="center"/>
      <protection/>
    </xf>
    <xf numFmtId="0" fontId="38" fillId="36" borderId="37" xfId="0" applyFont="1" applyFill="1" applyBorder="1" applyAlignment="1">
      <alignment horizontal="center"/>
    </xf>
    <xf numFmtId="0" fontId="38" fillId="36" borderId="30" xfId="0" applyFont="1" applyFill="1" applyBorder="1" applyAlignment="1">
      <alignment horizontal="center"/>
    </xf>
    <xf numFmtId="0" fontId="49" fillId="37" borderId="19" xfId="0" applyFont="1" applyFill="1" applyBorder="1" applyAlignment="1" applyProtection="1">
      <alignment horizontal="centerContinuous" vertical="center" wrapText="1"/>
      <protection/>
    </xf>
    <xf numFmtId="0" fontId="49" fillId="37" borderId="20" xfId="0" applyFont="1" applyFill="1" applyBorder="1" applyAlignment="1">
      <alignment horizontal="centerContinuous" vertical="center"/>
    </xf>
    <xf numFmtId="0" fontId="50" fillId="37" borderId="37" xfId="0" applyFont="1" applyFill="1" applyBorder="1" applyAlignment="1">
      <alignment horizontal="center"/>
    </xf>
    <xf numFmtId="0" fontId="50" fillId="37" borderId="47" xfId="0" applyFont="1" applyFill="1" applyBorder="1" applyAlignment="1">
      <alignment/>
    </xf>
    <xf numFmtId="0" fontId="50" fillId="37" borderId="30" xfId="0" applyFont="1" applyFill="1" applyBorder="1" applyAlignment="1">
      <alignment horizontal="center"/>
    </xf>
    <xf numFmtId="0" fontId="50" fillId="37" borderId="15" xfId="0" applyFont="1" applyFill="1" applyBorder="1" applyAlignment="1">
      <alignment/>
    </xf>
    <xf numFmtId="168" fontId="50" fillId="37" borderId="30" xfId="0" applyNumberFormat="1" applyFont="1" applyFill="1" applyBorder="1" applyAlignment="1" applyProtection="1" quotePrefix="1">
      <alignment horizontal="center"/>
      <protection/>
    </xf>
    <xf numFmtId="168" fontId="50" fillId="37" borderId="45" xfId="0" applyNumberFormat="1" applyFont="1" applyFill="1" applyBorder="1" applyAlignment="1" applyProtection="1" quotePrefix="1">
      <alignment horizontal="center"/>
      <protection/>
    </xf>
    <xf numFmtId="0" fontId="50" fillId="37" borderId="32" xfId="0" applyFont="1" applyFill="1" applyBorder="1" applyAlignment="1">
      <alignment/>
    </xf>
    <xf numFmtId="0" fontId="50" fillId="37" borderId="46" xfId="0" applyFont="1" applyFill="1" applyBorder="1" applyAlignment="1">
      <alignment/>
    </xf>
    <xf numFmtId="7" fontId="50" fillId="37" borderId="26" xfId="0" applyNumberFormat="1" applyFont="1" applyFill="1" applyBorder="1" applyAlignment="1">
      <alignment horizontal="center"/>
    </xf>
    <xf numFmtId="0" fontId="49" fillId="38" borderId="26" xfId="0" applyFont="1" applyFill="1" applyBorder="1" applyAlignment="1">
      <alignment horizontal="center" vertical="center" wrapText="1"/>
    </xf>
    <xf numFmtId="0" fontId="50" fillId="38" borderId="14" xfId="0" applyFont="1" applyFill="1" applyBorder="1" applyAlignment="1">
      <alignment/>
    </xf>
    <xf numFmtId="0" fontId="50" fillId="38" borderId="11" xfId="0" applyFont="1" applyFill="1" applyBorder="1" applyAlignment="1">
      <alignment/>
    </xf>
    <xf numFmtId="168" fontId="50" fillId="38" borderId="11" xfId="0" applyNumberFormat="1" applyFont="1" applyFill="1" applyBorder="1" applyAlignment="1" applyProtection="1" quotePrefix="1">
      <alignment horizontal="center"/>
      <protection/>
    </xf>
    <xf numFmtId="0" fontId="50" fillId="38" borderId="13" xfId="0" applyFont="1" applyFill="1" applyBorder="1" applyAlignment="1">
      <alignment/>
    </xf>
    <xf numFmtId="7" fontId="50" fillId="38" borderId="26" xfId="0" applyNumberFormat="1" applyFont="1" applyFill="1" applyBorder="1" applyAlignment="1">
      <alignment horizontal="center"/>
    </xf>
    <xf numFmtId="0" fontId="51" fillId="42" borderId="26" xfId="0" applyFont="1" applyFill="1" applyBorder="1" applyAlignment="1">
      <alignment horizontal="center" vertical="center" wrapText="1"/>
    </xf>
    <xf numFmtId="0" fontId="52" fillId="42" borderId="14" xfId="0" applyFont="1" applyFill="1" applyBorder="1" applyAlignment="1">
      <alignment/>
    </xf>
    <xf numFmtId="0" fontId="52" fillId="42" borderId="11" xfId="0" applyFont="1" applyFill="1" applyBorder="1" applyAlignment="1">
      <alignment/>
    </xf>
    <xf numFmtId="168" fontId="52" fillId="42" borderId="11" xfId="0" applyNumberFormat="1" applyFont="1" applyFill="1" applyBorder="1" applyAlignment="1" applyProtection="1" quotePrefix="1">
      <alignment horizontal="center"/>
      <protection/>
    </xf>
    <xf numFmtId="0" fontId="52" fillId="42" borderId="13" xfId="0" applyFont="1" applyFill="1" applyBorder="1" applyAlignment="1">
      <alignment/>
    </xf>
    <xf numFmtId="7" fontId="52" fillId="42" borderId="26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19" xfId="0" applyNumberFormat="1" applyFont="1" applyBorder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1" fillId="0" borderId="18" xfId="0" applyFont="1" applyBorder="1" applyAlignment="1">
      <alignment horizontal="centerContinuous"/>
    </xf>
    <xf numFmtId="0" fontId="54" fillId="0" borderId="0" xfId="0" applyFont="1" applyFill="1" applyBorder="1" applyAlignment="1">
      <alignment horizontal="centerContinuous"/>
    </xf>
    <xf numFmtId="0" fontId="54" fillId="0" borderId="0" xfId="0" applyFont="1" applyFill="1" applyAlignment="1">
      <alignment horizontal="centerContinuous"/>
    </xf>
    <xf numFmtId="0" fontId="54" fillId="0" borderId="10" xfId="0" applyFont="1" applyFill="1" applyBorder="1" applyAlignment="1">
      <alignment horizontal="centerContinuous"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5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1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74" fontId="10" fillId="0" borderId="0" xfId="0" applyNumberFormat="1" applyFont="1" applyBorder="1" applyAlignment="1">
      <alignment horizontal="center"/>
    </xf>
    <xf numFmtId="10" fontId="31" fillId="0" borderId="0" xfId="0" applyNumberFormat="1" applyFont="1" applyFill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16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26" fillId="0" borderId="19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59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right"/>
      <protection/>
    </xf>
    <xf numFmtId="5" fontId="10" fillId="0" borderId="0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>
      <alignment horizontal="right"/>
    </xf>
    <xf numFmtId="5" fontId="26" fillId="0" borderId="19" xfId="0" applyNumberFormat="1" applyFont="1" applyBorder="1" applyAlignment="1" applyProtection="1">
      <alignment horizontal="center"/>
      <protection/>
    </xf>
    <xf numFmtId="7" fontId="26" fillId="0" borderId="2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7" fontId="60" fillId="0" borderId="20" xfId="0" applyNumberFormat="1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7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8" fontId="26" fillId="0" borderId="20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7" fontId="10" fillId="0" borderId="48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 horizontal="right" vertical="top"/>
    </xf>
    <xf numFmtId="171" fontId="10" fillId="0" borderId="0" xfId="0" applyNumberFormat="1" applyFont="1" applyBorder="1" applyAlignment="1">
      <alignment horizontal="center"/>
    </xf>
    <xf numFmtId="171" fontId="29" fillId="0" borderId="49" xfId="0" applyNumberFormat="1" applyFont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7" fontId="10" fillId="0" borderId="0" xfId="0" applyNumberFormat="1" applyFont="1" applyBorder="1" applyAlignment="1">
      <alignment horizontal="center"/>
    </xf>
    <xf numFmtId="7" fontId="10" fillId="0" borderId="48" xfId="0" applyNumberFormat="1" applyFont="1" applyBorder="1" applyAlignment="1">
      <alignment horizontal="center"/>
    </xf>
    <xf numFmtId="0" fontId="0" fillId="0" borderId="50" xfId="0" applyFont="1" applyBorder="1" applyAlignment="1" applyProtection="1">
      <alignment horizontal="left"/>
      <protection/>
    </xf>
    <xf numFmtId="171" fontId="0" fillId="0" borderId="51" xfId="0" applyNumberFormat="1" applyFont="1" applyBorder="1" applyAlignment="1" applyProtection="1">
      <alignment horizontal="centerContinuous"/>
      <protection/>
    </xf>
    <xf numFmtId="0" fontId="10" fillId="0" borderId="52" xfId="0" applyFont="1" applyBorder="1" applyAlignment="1">
      <alignment horizontal="centerContinuous"/>
    </xf>
    <xf numFmtId="0" fontId="0" fillId="0" borderId="53" xfId="0" applyFont="1" applyBorder="1" applyAlignment="1">
      <alignment/>
    </xf>
    <xf numFmtId="0" fontId="10" fillId="0" borderId="54" xfId="0" applyFont="1" applyBorder="1" applyAlignment="1">
      <alignment horizontal="centerContinuous"/>
    </xf>
    <xf numFmtId="0" fontId="0" fillId="0" borderId="55" xfId="0" applyFont="1" applyBorder="1" applyAlignment="1">
      <alignment horizontal="left"/>
    </xf>
    <xf numFmtId="171" fontId="29" fillId="0" borderId="56" xfId="0" applyNumberFormat="1" applyFont="1" applyBorder="1" applyAlignment="1">
      <alignment horizontal="centerContinuous"/>
    </xf>
    <xf numFmtId="0" fontId="10" fillId="0" borderId="57" xfId="0" applyFont="1" applyBorder="1" applyAlignment="1">
      <alignment horizontal="centerContinuous"/>
    </xf>
    <xf numFmtId="0" fontId="10" fillId="0" borderId="58" xfId="0" applyFont="1" applyFill="1" applyBorder="1" applyAlignment="1">
      <alignment/>
    </xf>
    <xf numFmtId="0" fontId="10" fillId="0" borderId="59" xfId="0" applyFont="1" applyBorder="1" applyAlignment="1" applyProtection="1">
      <alignment horizontal="right"/>
      <protection/>
    </xf>
    <xf numFmtId="0" fontId="10" fillId="0" borderId="60" xfId="0" applyFont="1" applyFill="1" applyBorder="1" applyAlignment="1">
      <alignment/>
    </xf>
    <xf numFmtId="168" fontId="10" fillId="0" borderId="56" xfId="0" applyNumberFormat="1" applyFont="1" applyBorder="1" applyAlignment="1" applyProtection="1">
      <alignment horizontal="right"/>
      <protection/>
    </xf>
    <xf numFmtId="174" fontId="10" fillId="0" borderId="61" xfId="0" applyNumberFormat="1" applyFont="1" applyBorder="1" applyAlignment="1">
      <alignment horizontal="center"/>
    </xf>
    <xf numFmtId="171" fontId="10" fillId="0" borderId="62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0" fontId="15" fillId="0" borderId="0" xfId="0" applyFont="1" applyBorder="1" applyAlignment="1" applyProtection="1">
      <alignment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2" fontId="10" fillId="0" borderId="49" xfId="0" applyNumberFormat="1" applyFont="1" applyBorder="1" applyAlignment="1" applyProtection="1">
      <alignment horizontal="center"/>
      <protection/>
    </xf>
    <xf numFmtId="168" fontId="10" fillId="0" borderId="49" xfId="0" applyNumberFormat="1" applyFont="1" applyBorder="1" applyAlignment="1" applyProtection="1">
      <alignment horizontal="center"/>
      <protection/>
    </xf>
    <xf numFmtId="168" fontId="62" fillId="0" borderId="49" xfId="0" applyNumberFormat="1" applyFont="1" applyBorder="1" applyAlignment="1" applyProtection="1" quotePrefix="1">
      <alignment horizontal="centerContinuous"/>
      <protection/>
    </xf>
    <xf numFmtId="0" fontId="0" fillId="0" borderId="49" xfId="0" applyBorder="1" applyAlignment="1">
      <alignment horizontal="centerContinuous"/>
    </xf>
    <xf numFmtId="0" fontId="0" fillId="0" borderId="49" xfId="0" applyBorder="1" applyAlignment="1">
      <alignment/>
    </xf>
    <xf numFmtId="7" fontId="53" fillId="0" borderId="40" xfId="0" applyNumberFormat="1" applyFont="1" applyBorder="1" applyAlignment="1">
      <alignment horizontal="center"/>
    </xf>
    <xf numFmtId="0" fontId="10" fillId="0" borderId="65" xfId="0" applyFont="1" applyBorder="1" applyAlignment="1" applyProtection="1">
      <alignment horizontal="center"/>
      <protection/>
    </xf>
    <xf numFmtId="0" fontId="10" fillId="0" borderId="66" xfId="0" applyFont="1" applyBorder="1" applyAlignment="1" applyProtection="1">
      <alignment horizontal="center"/>
      <protection/>
    </xf>
    <xf numFmtId="2" fontId="10" fillId="0" borderId="66" xfId="0" applyNumberFormat="1" applyFont="1" applyBorder="1" applyAlignment="1" applyProtection="1">
      <alignment horizontal="center"/>
      <protection/>
    </xf>
    <xf numFmtId="168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right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2" fontId="10" fillId="0" borderId="48" xfId="0" applyNumberFormat="1" applyFont="1" applyBorder="1" applyAlignment="1" applyProtection="1">
      <alignment horizontal="center"/>
      <protection/>
    </xf>
    <xf numFmtId="168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right"/>
      <protection/>
    </xf>
    <xf numFmtId="7" fontId="10" fillId="0" borderId="41" xfId="0" applyNumberFormat="1" applyFont="1" applyBorder="1" applyAlignment="1" applyProtection="1">
      <alignment horizontal="center"/>
      <protection/>
    </xf>
    <xf numFmtId="7" fontId="10" fillId="0" borderId="40" xfId="0" applyNumberFormat="1" applyFont="1" applyBorder="1" applyAlignment="1" applyProtection="1">
      <alignment horizontal="center"/>
      <protection/>
    </xf>
    <xf numFmtId="0" fontId="0" fillId="0" borderId="64" xfId="0" applyBorder="1" applyAlignment="1">
      <alignment horizontal="centerContinuous"/>
    </xf>
    <xf numFmtId="0" fontId="10" fillId="0" borderId="49" xfId="0" applyFont="1" applyBorder="1" applyAlignment="1" applyProtection="1">
      <alignment horizontal="centerContinuous"/>
      <protection/>
    </xf>
    <xf numFmtId="0" fontId="0" fillId="0" borderId="49" xfId="0" applyBorder="1" applyAlignment="1">
      <alignment horizontal="center"/>
    </xf>
    <xf numFmtId="168" fontId="10" fillId="0" borderId="64" xfId="0" applyNumberFormat="1" applyFont="1" applyBorder="1" applyAlignment="1" applyProtection="1">
      <alignment horizontal="centerContinuous"/>
      <protection/>
    </xf>
    <xf numFmtId="2" fontId="59" fillId="0" borderId="35" xfId="0" applyNumberFormat="1" applyFont="1" applyBorder="1" applyAlignment="1">
      <alignment horizontal="centerContinuous"/>
    </xf>
    <xf numFmtId="7" fontId="10" fillId="0" borderId="65" xfId="0" applyNumberFormat="1" applyFont="1" applyBorder="1" applyAlignment="1">
      <alignment horizontal="centerContinuous"/>
    </xf>
    <xf numFmtId="168" fontId="10" fillId="0" borderId="66" xfId="0" applyNumberFormat="1" applyFont="1" applyBorder="1" applyAlignment="1" applyProtection="1" quotePrefix="1">
      <alignment horizontal="center"/>
      <protection/>
    </xf>
    <xf numFmtId="7" fontId="10" fillId="0" borderId="65" xfId="0" applyNumberFormat="1" applyFont="1" applyBorder="1" applyAlignment="1" applyProtection="1">
      <alignment horizontal="centerContinuous"/>
      <protection/>
    </xf>
    <xf numFmtId="2" fontId="59" fillId="0" borderId="69" xfId="0" applyNumberFormat="1" applyFont="1" applyBorder="1" applyAlignment="1">
      <alignment horizontal="centerContinuous"/>
    </xf>
    <xf numFmtId="7" fontId="10" fillId="0" borderId="63" xfId="0" applyNumberFormat="1" applyFont="1" applyBorder="1" applyAlignment="1">
      <alignment horizontal="centerContinuous"/>
    </xf>
    <xf numFmtId="2" fontId="59" fillId="0" borderId="70" xfId="0" applyNumberFormat="1" applyFont="1" applyBorder="1" applyAlignment="1">
      <alignment horizontal="centerContinuous"/>
    </xf>
    <xf numFmtId="7" fontId="10" fillId="0" borderId="68" xfId="0" applyNumberFormat="1" applyFont="1" applyBorder="1" applyAlignment="1">
      <alignment horizontal="centerContinuous"/>
    </xf>
    <xf numFmtId="168" fontId="10" fillId="0" borderId="48" xfId="0" applyNumberFormat="1" applyFont="1" applyBorder="1" applyAlignment="1" applyProtection="1" quotePrefix="1">
      <alignment horizontal="center"/>
      <protection/>
    </xf>
    <xf numFmtId="7" fontId="10" fillId="0" borderId="68" xfId="0" applyNumberFormat="1" applyFont="1" applyBorder="1" applyAlignment="1" applyProtection="1">
      <alignment horizontal="centerContinuous"/>
      <protection/>
    </xf>
    <xf numFmtId="2" fontId="59" fillId="0" borderId="31" xfId="0" applyNumberFormat="1" applyFont="1" applyBorder="1" applyAlignment="1">
      <alignment horizontal="centerContinuous"/>
    </xf>
    <xf numFmtId="7" fontId="10" fillId="0" borderId="64" xfId="0" applyNumberFormat="1" applyFont="1" applyBorder="1" applyAlignment="1" applyProtection="1">
      <alignment horizontal="centerContinuous"/>
      <protection/>
    </xf>
    <xf numFmtId="168" fontId="10" fillId="0" borderId="40" xfId="0" applyNumberFormat="1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7" fontId="10" fillId="0" borderId="71" xfId="0" applyNumberFormat="1" applyFont="1" applyBorder="1" applyAlignment="1" applyProtection="1">
      <alignment horizontal="center"/>
      <protection/>
    </xf>
    <xf numFmtId="7" fontId="0" fillId="0" borderId="40" xfId="0" applyNumberFormat="1" applyBorder="1" applyAlignment="1">
      <alignment horizontal="center"/>
    </xf>
    <xf numFmtId="0" fontId="53" fillId="0" borderId="0" xfId="0" applyFont="1" applyBorder="1" applyAlignment="1" applyProtection="1">
      <alignment horizontal="left"/>
      <protection/>
    </xf>
    <xf numFmtId="0" fontId="63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4" fontId="0" fillId="0" borderId="59" xfId="0" applyNumberFormat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73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74" xfId="0" applyFont="1" applyBorder="1" applyAlignment="1" applyProtection="1">
      <alignment/>
      <protection locked="0"/>
    </xf>
    <xf numFmtId="0" fontId="12" fillId="0" borderId="74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39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 quotePrefix="1">
      <alignment horizontal="center"/>
      <protection locked="0"/>
    </xf>
    <xf numFmtId="168" fontId="7" fillId="0" borderId="13" xfId="0" applyNumberFormat="1" applyFont="1" applyBorder="1" applyAlignment="1" applyProtection="1" quotePrefix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9" fillId="0" borderId="34" xfId="0" applyNumberFormat="1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Continuous"/>
      <protection locked="0"/>
    </xf>
    <xf numFmtId="0" fontId="7" fillId="0" borderId="72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165" fontId="7" fillId="0" borderId="12" xfId="0" applyNumberFormat="1" applyFont="1" applyBorder="1" applyAlignment="1" applyProtection="1" quotePrefix="1">
      <alignment horizontal="center"/>
      <protection locked="0"/>
    </xf>
    <xf numFmtId="2" fontId="7" fillId="0" borderId="12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 quotePrefix="1">
      <alignment horizontal="center"/>
      <protection locked="0"/>
    </xf>
    <xf numFmtId="0" fontId="21" fillId="0" borderId="18" xfId="0" applyFont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66" fillId="0" borderId="0" xfId="54" applyNumberFormat="1" applyFont="1" applyBorder="1" applyAlignment="1">
      <alignment horizontal="left"/>
      <protection/>
    </xf>
    <xf numFmtId="0" fontId="0" fillId="33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 quotePrefix="1">
      <alignment/>
    </xf>
    <xf numFmtId="0" fontId="0" fillId="43" borderId="0" xfId="0" applyFont="1" applyFill="1" applyAlignment="1">
      <alignment/>
    </xf>
    <xf numFmtId="0" fontId="0" fillId="43" borderId="0" xfId="0" applyNumberFormat="1" applyFont="1" applyFill="1" applyAlignment="1">
      <alignment/>
    </xf>
    <xf numFmtId="0" fontId="0" fillId="43" borderId="0" xfId="54" applyFont="1" applyFill="1" applyAlignment="1">
      <alignment/>
      <protection/>
    </xf>
    <xf numFmtId="0" fontId="40" fillId="0" borderId="40" xfId="0" applyFont="1" applyBorder="1" applyAlignment="1">
      <alignment/>
    </xf>
    <xf numFmtId="0" fontId="40" fillId="0" borderId="40" xfId="0" applyFont="1" applyFill="1" applyBorder="1" applyAlignment="1">
      <alignment/>
    </xf>
    <xf numFmtId="0" fontId="40" fillId="0" borderId="41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40" xfId="0" applyFont="1" applyFill="1" applyBorder="1" applyAlignment="1">
      <alignment/>
    </xf>
    <xf numFmtId="0" fontId="68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72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left"/>
      <protection/>
    </xf>
    <xf numFmtId="0" fontId="69" fillId="33" borderId="40" xfId="0" applyFont="1" applyFill="1" applyBorder="1" applyAlignment="1">
      <alignment horizontal="center"/>
    </xf>
    <xf numFmtId="0" fontId="69" fillId="0" borderId="4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65" fontId="7" fillId="0" borderId="12" xfId="0" applyNumberFormat="1" applyFont="1" applyBorder="1" applyAlignment="1" applyProtection="1">
      <alignment horizontal="center"/>
      <protection locked="0"/>
    </xf>
    <xf numFmtId="168" fontId="37" fillId="33" borderId="12" xfId="0" applyNumberFormat="1" applyFont="1" applyFill="1" applyBorder="1" applyAlignment="1" applyProtection="1">
      <alignment horizontal="center"/>
      <protection/>
    </xf>
    <xf numFmtId="22" fontId="7" fillId="0" borderId="12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 quotePrefix="1">
      <alignment horizontal="center"/>
      <protection locked="0"/>
    </xf>
    <xf numFmtId="2" fontId="42" fillId="34" borderId="12" xfId="0" applyNumberFormat="1" applyFont="1" applyFill="1" applyBorder="1" applyAlignment="1">
      <alignment horizontal="center"/>
    </xf>
    <xf numFmtId="2" fontId="44" fillId="35" borderId="12" xfId="0" applyNumberFormat="1" applyFont="1" applyFill="1" applyBorder="1" applyAlignment="1" applyProtection="1">
      <alignment horizontal="center"/>
      <protection/>
    </xf>
    <xf numFmtId="168" fontId="38" fillId="36" borderId="12" xfId="0" applyNumberFormat="1" applyFont="1" applyFill="1" applyBorder="1" applyAlignment="1" applyProtection="1" quotePrefix="1">
      <alignment horizontal="center"/>
      <protection/>
    </xf>
    <xf numFmtId="4" fontId="38" fillId="36" borderId="12" xfId="0" applyNumberFormat="1" applyFont="1" applyFill="1" applyBorder="1" applyAlignment="1">
      <alignment horizontal="center"/>
    </xf>
    <xf numFmtId="4" fontId="47" fillId="37" borderId="12" xfId="0" applyNumberFormat="1" applyFont="1" applyFill="1" applyBorder="1" applyAlignment="1" applyProtection="1">
      <alignment horizontal="center"/>
      <protection/>
    </xf>
    <xf numFmtId="168" fontId="47" fillId="37" borderId="12" xfId="0" applyNumberFormat="1" applyFont="1" applyFill="1" applyBorder="1" applyAlignment="1" applyProtection="1" quotePrefix="1">
      <alignment horizontal="center"/>
      <protection/>
    </xf>
    <xf numFmtId="4" fontId="47" fillId="37" borderId="12" xfId="0" applyNumberFormat="1" applyFont="1" applyFill="1" applyBorder="1" applyAlignment="1">
      <alignment horizontal="center"/>
    </xf>
    <xf numFmtId="4" fontId="47" fillId="38" borderId="12" xfId="0" applyNumberFormat="1" applyFont="1" applyFill="1" applyBorder="1" applyAlignment="1">
      <alignment horizontal="center"/>
    </xf>
    <xf numFmtId="4" fontId="50" fillId="39" borderId="12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 applyProtection="1">
      <alignment horizontal="center"/>
      <protection locked="0"/>
    </xf>
    <xf numFmtId="4" fontId="14" fillId="0" borderId="12" xfId="0" applyNumberFormat="1" applyFont="1" applyBorder="1" applyAlignment="1">
      <alignment horizontal="right"/>
    </xf>
    <xf numFmtId="0" fontId="7" fillId="0" borderId="73" xfId="0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4" fontId="48" fillId="40" borderId="12" xfId="0" applyNumberFormat="1" applyFont="1" applyFill="1" applyBorder="1" applyAlignment="1" applyProtection="1">
      <alignment horizontal="center"/>
      <protection/>
    </xf>
    <xf numFmtId="2" fontId="47" fillId="34" borderId="12" xfId="0" applyNumberFormat="1" applyFont="1" applyFill="1" applyBorder="1" applyAlignment="1">
      <alignment horizontal="center"/>
    </xf>
    <xf numFmtId="2" fontId="47" fillId="41" borderId="12" xfId="0" applyNumberFormat="1" applyFont="1" applyFill="1" applyBorder="1" applyAlignment="1">
      <alignment horizontal="center"/>
    </xf>
    <xf numFmtId="168" fontId="38" fillId="36" borderId="38" xfId="0" applyNumberFormat="1" applyFont="1" applyFill="1" applyBorder="1" applyAlignment="1" applyProtection="1" quotePrefix="1">
      <alignment horizontal="center"/>
      <protection/>
    </xf>
    <xf numFmtId="168" fontId="38" fillId="36" borderId="44" xfId="0" applyNumberFormat="1" applyFont="1" applyFill="1" applyBorder="1" applyAlignment="1" applyProtection="1" quotePrefix="1">
      <alignment horizontal="center"/>
      <protection/>
    </xf>
    <xf numFmtId="168" fontId="50" fillId="37" borderId="38" xfId="0" applyNumberFormat="1" applyFont="1" applyFill="1" applyBorder="1" applyAlignment="1" applyProtection="1" quotePrefix="1">
      <alignment horizontal="center"/>
      <protection/>
    </xf>
    <xf numFmtId="168" fontId="50" fillId="37" borderId="44" xfId="0" applyNumberFormat="1" applyFont="1" applyFill="1" applyBorder="1" applyAlignment="1" applyProtection="1" quotePrefix="1">
      <alignment horizontal="center"/>
      <protection/>
    </xf>
    <xf numFmtId="168" fontId="50" fillId="38" borderId="12" xfId="0" applyNumberFormat="1" applyFont="1" applyFill="1" applyBorder="1" applyAlignment="1" applyProtection="1" quotePrefix="1">
      <alignment horizontal="center"/>
      <protection/>
    </xf>
    <xf numFmtId="168" fontId="52" fillId="42" borderId="12" xfId="0" applyNumberFormat="1" applyFont="1" applyFill="1" applyBorder="1" applyAlignment="1" applyProtection="1" quotePrefix="1">
      <alignment horizontal="center"/>
      <protection/>
    </xf>
    <xf numFmtId="168" fontId="7" fillId="0" borderId="12" xfId="0" applyNumberFormat="1" applyFont="1" applyFill="1" applyBorder="1" applyAlignment="1" applyProtection="1">
      <alignment horizontal="center"/>
      <protection/>
    </xf>
    <xf numFmtId="4" fontId="10" fillId="0" borderId="36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left"/>
    </xf>
    <xf numFmtId="0" fontId="70" fillId="0" borderId="28" xfId="0" applyFont="1" applyBorder="1" applyAlignment="1">
      <alignment horizontal="center"/>
    </xf>
    <xf numFmtId="168" fontId="53" fillId="0" borderId="0" xfId="0" applyNumberFormat="1" applyFont="1" applyBorder="1" applyAlignment="1" applyProtection="1">
      <alignment horizontal="left"/>
      <protection/>
    </xf>
    <xf numFmtId="0" fontId="72" fillId="0" borderId="24" xfId="0" applyFont="1" applyBorder="1" applyAlignment="1">
      <alignment horizontal="center"/>
    </xf>
    <xf numFmtId="0" fontId="73" fillId="0" borderId="0" xfId="0" applyFont="1" applyAlignment="1">
      <alignment horizontal="right" vertical="top"/>
    </xf>
    <xf numFmtId="0" fontId="74" fillId="0" borderId="0" xfId="0" applyFont="1" applyAlignment="1">
      <alignment/>
    </xf>
    <xf numFmtId="14" fontId="75" fillId="0" borderId="0" xfId="0" applyNumberFormat="1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6" fillId="0" borderId="0" xfId="0" applyFont="1" applyBorder="1" applyAlignment="1">
      <alignment horizontal="centerContinuous"/>
    </xf>
    <xf numFmtId="0" fontId="77" fillId="0" borderId="0" xfId="0" applyFont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8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7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80" fillId="0" borderId="18" xfId="0" applyFont="1" applyBorder="1" applyAlignment="1">
      <alignment horizontal="centerContinuous"/>
    </xf>
    <xf numFmtId="0" fontId="80" fillId="0" borderId="0" xfId="0" applyFont="1" applyBorder="1" applyAlignment="1">
      <alignment horizontal="centerContinuous"/>
    </xf>
    <xf numFmtId="0" fontId="7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75" xfId="0" applyBorder="1" applyAlignment="1">
      <alignment/>
    </xf>
    <xf numFmtId="0" fontId="79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0" fillId="0" borderId="76" xfId="0" applyFont="1" applyBorder="1" applyAlignment="1" applyProtection="1">
      <alignment horizontal="centerContinuous" vertical="center"/>
      <protection/>
    </xf>
    <xf numFmtId="0" fontId="30" fillId="0" borderId="76" xfId="0" applyFont="1" applyBorder="1" applyAlignment="1" applyProtection="1">
      <alignment horizontal="centerContinuous" vertical="center" wrapText="1"/>
      <protection/>
    </xf>
    <xf numFmtId="168" fontId="30" fillId="0" borderId="26" xfId="0" applyNumberFormat="1" applyFont="1" applyBorder="1" applyAlignment="1" applyProtection="1">
      <alignment horizontal="centerContinuous" vertical="center" wrapText="1"/>
      <protection/>
    </xf>
    <xf numFmtId="17" fontId="30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72" xfId="0" applyFont="1" applyBorder="1" applyAlignment="1">
      <alignment vertical="center"/>
    </xf>
    <xf numFmtId="0" fontId="81" fillId="0" borderId="77" xfId="0" applyFont="1" applyBorder="1" applyAlignment="1">
      <alignment vertical="center"/>
    </xf>
    <xf numFmtId="0" fontId="81" fillId="0" borderId="78" xfId="0" applyFont="1" applyBorder="1" applyAlignment="1">
      <alignment vertical="center"/>
    </xf>
    <xf numFmtId="0" fontId="81" fillId="44" borderId="36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1" fillId="1" borderId="72" xfId="0" applyFont="1" applyFill="1" applyBorder="1" applyAlignment="1">
      <alignment horizontal="center" vertical="center"/>
    </xf>
    <xf numFmtId="0" fontId="81" fillId="0" borderId="29" xfId="0" applyFont="1" applyBorder="1" applyAlignment="1">
      <alignment vertical="center"/>
    </xf>
    <xf numFmtId="0" fontId="81" fillId="1" borderId="11" xfId="0" applyFont="1" applyFill="1" applyBorder="1" applyAlignment="1">
      <alignment horizontal="center" vertical="center"/>
    </xf>
    <xf numFmtId="0" fontId="81" fillId="0" borderId="79" xfId="0" applyFont="1" applyFill="1" applyBorder="1" applyAlignment="1">
      <alignment horizontal="center" vertical="center"/>
    </xf>
    <xf numFmtId="0" fontId="81" fillId="0" borderId="80" xfId="0" applyFont="1" applyFill="1" applyBorder="1" applyAlignment="1" applyProtection="1">
      <alignment horizontal="center" vertical="center"/>
      <protection/>
    </xf>
    <xf numFmtId="0" fontId="81" fillId="0" borderId="38" xfId="0" applyFont="1" applyFill="1" applyBorder="1" applyAlignment="1" applyProtection="1">
      <alignment horizontal="center" vertical="center"/>
      <protection/>
    </xf>
    <xf numFmtId="2" fontId="8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right"/>
      <protection/>
    </xf>
    <xf numFmtId="2" fontId="13" fillId="0" borderId="26" xfId="0" applyNumberFormat="1" applyFont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right"/>
    </xf>
    <xf numFmtId="2" fontId="81" fillId="44" borderId="26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2" fontId="82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8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2" fontId="84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0" xfId="0" applyBorder="1" applyAlignment="1">
      <alignment/>
    </xf>
    <xf numFmtId="0" fontId="83" fillId="0" borderId="21" xfId="0" applyFont="1" applyBorder="1" applyAlignment="1">
      <alignment/>
    </xf>
    <xf numFmtId="0" fontId="5" fillId="0" borderId="22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3" fillId="0" borderId="0" xfId="0" applyFont="1" applyBorder="1" applyAlignment="1" applyProtection="1">
      <alignment horizontal="left"/>
      <protection/>
    </xf>
    <xf numFmtId="168" fontId="79" fillId="0" borderId="0" xfId="0" applyNumberFormat="1" applyFont="1" applyBorder="1" applyAlignment="1" applyProtection="1">
      <alignment horizontal="left"/>
      <protection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79" fillId="0" borderId="0" xfId="0" applyFont="1" applyBorder="1" applyAlignment="1" applyProtection="1">
      <alignment horizontal="left"/>
      <protection/>
    </xf>
    <xf numFmtId="1" fontId="79" fillId="0" borderId="0" xfId="0" applyNumberFormat="1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fill"/>
      <protection/>
    </xf>
    <xf numFmtId="1" fontId="81" fillId="0" borderId="81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3</xdr:col>
      <xdr:colOff>428625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81025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428625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715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419100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0</xdr:rowOff>
    </xdr:from>
    <xdr:to>
      <xdr:col>3</xdr:col>
      <xdr:colOff>466725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2428875</xdr:colOff>
      <xdr:row>0</xdr:row>
      <xdr:rowOff>0</xdr:rowOff>
    </xdr:from>
    <xdr:to>
      <xdr:col>0</xdr:col>
      <xdr:colOff>2933700</xdr:colOff>
      <xdr:row>1</xdr:row>
      <xdr:rowOff>371475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50482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TBAS2NO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Transporte\ARCHIVOS.XLS\P-TRSNOA\TBAS2NO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  <sheetName val="Gráfico1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HI19" t="str">
            <v>XXXX</v>
          </cell>
          <cell r="HJ19" t="str">
            <v>XXXX</v>
          </cell>
          <cell r="HK19" t="str">
            <v>XXXX</v>
          </cell>
          <cell r="HL19" t="str">
            <v>XXXX</v>
          </cell>
          <cell r="HM19" t="str">
            <v>XXXX</v>
          </cell>
          <cell r="HN19" t="str">
            <v>XXXX</v>
          </cell>
          <cell r="HO19" t="str">
            <v>XXXX</v>
          </cell>
          <cell r="HP19" t="str">
            <v>XXXX</v>
          </cell>
          <cell r="HQ19" t="str">
            <v>XXXX</v>
          </cell>
          <cell r="HR19" t="str">
            <v>XXXX</v>
          </cell>
          <cell r="HS19" t="str">
            <v>XXXX</v>
          </cell>
          <cell r="HT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  <cell r="HK20">
            <v>1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HI21" t="str">
            <v>XXXX</v>
          </cell>
          <cell r="HJ21" t="str">
            <v>XXXX</v>
          </cell>
          <cell r="HK21" t="str">
            <v>XXXX</v>
          </cell>
          <cell r="HL21" t="str">
            <v>XXXX</v>
          </cell>
          <cell r="HM21" t="str">
            <v>XXXX</v>
          </cell>
          <cell r="HN21" t="str">
            <v>XXXX</v>
          </cell>
          <cell r="HO21" t="str">
            <v>XXXX</v>
          </cell>
          <cell r="HP21" t="str">
            <v>XXXX</v>
          </cell>
          <cell r="HQ21" t="str">
            <v>XXXX</v>
          </cell>
          <cell r="HR21" t="str">
            <v>XXXX</v>
          </cell>
          <cell r="HS21" t="str">
            <v>XXXX</v>
          </cell>
          <cell r="HT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HI22" t="str">
            <v>XXXX</v>
          </cell>
          <cell r="HJ22" t="str">
            <v>XXXX</v>
          </cell>
          <cell r="HK22" t="str">
            <v>XXXX</v>
          </cell>
          <cell r="HL22" t="str">
            <v>XXXX</v>
          </cell>
          <cell r="HM22" t="str">
            <v>XXXX</v>
          </cell>
          <cell r="HN22" t="str">
            <v>XXXX</v>
          </cell>
          <cell r="HO22" t="str">
            <v>XXXX</v>
          </cell>
          <cell r="HP22" t="str">
            <v>XXXX</v>
          </cell>
          <cell r="HQ22" t="str">
            <v>XXXX</v>
          </cell>
          <cell r="HR22" t="str">
            <v>XXXX</v>
          </cell>
          <cell r="HS22" t="str">
            <v>XXXX</v>
          </cell>
          <cell r="HT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HI26" t="str">
            <v>XXXX</v>
          </cell>
          <cell r="HJ26" t="str">
            <v>XXXX</v>
          </cell>
          <cell r="HK26" t="str">
            <v>XXXX</v>
          </cell>
          <cell r="HL26" t="str">
            <v>XXXX</v>
          </cell>
          <cell r="HM26" t="str">
            <v>XXXX</v>
          </cell>
          <cell r="HN26" t="str">
            <v>XXXX</v>
          </cell>
          <cell r="HO26" t="str">
            <v>XXXX</v>
          </cell>
          <cell r="HP26" t="str">
            <v>XXXX</v>
          </cell>
          <cell r="HQ26" t="str">
            <v>XXXX</v>
          </cell>
          <cell r="HR26" t="str">
            <v>XXXX</v>
          </cell>
          <cell r="HS26" t="str">
            <v>XXXX</v>
          </cell>
          <cell r="HT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HI27" t="str">
            <v>XXXX</v>
          </cell>
          <cell r="HJ27" t="str">
            <v>XXXX</v>
          </cell>
          <cell r="HK27" t="str">
            <v>XXXX</v>
          </cell>
          <cell r="HL27" t="str">
            <v>XXXX</v>
          </cell>
          <cell r="HM27" t="str">
            <v>XXXX</v>
          </cell>
          <cell r="HN27" t="str">
            <v>XXXX</v>
          </cell>
          <cell r="HO27" t="str">
            <v>XXXX</v>
          </cell>
          <cell r="HP27" t="str">
            <v>XXXX</v>
          </cell>
          <cell r="HQ27" t="str">
            <v>XXXX</v>
          </cell>
          <cell r="HR27" t="str">
            <v>XXXX</v>
          </cell>
          <cell r="HS27" t="str">
            <v>XXXX</v>
          </cell>
          <cell r="HT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HI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  <cell r="HS29">
            <v>1</v>
          </cell>
          <cell r="HT29">
            <v>1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HL30">
            <v>2</v>
          </cell>
          <cell r="HM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HL31">
            <v>2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  <cell r="HJ32">
            <v>1</v>
          </cell>
          <cell r="HK32">
            <v>1</v>
          </cell>
          <cell r="HR32">
            <v>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HL34">
            <v>2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HJ36">
            <v>1</v>
          </cell>
          <cell r="HK36">
            <v>2</v>
          </cell>
          <cell r="HN36">
            <v>2</v>
          </cell>
          <cell r="HP36">
            <v>1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HI37" t="str">
            <v>XXXX</v>
          </cell>
          <cell r="HJ37" t="str">
            <v>XXXX</v>
          </cell>
          <cell r="HK37" t="str">
            <v>XXXX</v>
          </cell>
          <cell r="HL37" t="str">
            <v>XXXX</v>
          </cell>
          <cell r="HM37" t="str">
            <v>XXXX</v>
          </cell>
          <cell r="HN37" t="str">
            <v>XXXX</v>
          </cell>
          <cell r="HO37" t="str">
            <v>XXXX</v>
          </cell>
          <cell r="HP37" t="str">
            <v>XXXX</v>
          </cell>
          <cell r="HQ37" t="str">
            <v>XXXX</v>
          </cell>
          <cell r="HR37" t="str">
            <v>XXXX</v>
          </cell>
          <cell r="HS37" t="str">
            <v>XXXX</v>
          </cell>
          <cell r="HT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  <cell r="HL38">
            <v>1</v>
          </cell>
          <cell r="HM38">
            <v>1</v>
          </cell>
          <cell r="HS38">
            <v>1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HI39" t="str">
            <v>XXXX</v>
          </cell>
          <cell r="HJ39" t="str">
            <v>XXXX</v>
          </cell>
          <cell r="HK39" t="str">
            <v>XXXX</v>
          </cell>
          <cell r="HL39" t="str">
            <v>XXXX</v>
          </cell>
          <cell r="HM39" t="str">
            <v>XXXX</v>
          </cell>
          <cell r="HN39" t="str">
            <v>XXXX</v>
          </cell>
          <cell r="HO39" t="str">
            <v>XXXX</v>
          </cell>
          <cell r="HP39" t="str">
            <v>XXXX</v>
          </cell>
          <cell r="HQ39" t="str">
            <v>XXXX</v>
          </cell>
          <cell r="HR39" t="str">
            <v>XXXX</v>
          </cell>
          <cell r="HS39" t="str">
            <v>XXXX</v>
          </cell>
          <cell r="HT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HI40">
            <v>1</v>
          </cell>
          <cell r="HJ40" t="str">
            <v>XXXX</v>
          </cell>
          <cell r="HK40" t="str">
            <v>XXXX</v>
          </cell>
          <cell r="HL40" t="str">
            <v>XXXX</v>
          </cell>
          <cell r="HM40" t="str">
            <v>XXXX</v>
          </cell>
          <cell r="HN40" t="str">
            <v>XXXX</v>
          </cell>
          <cell r="HO40" t="str">
            <v>XXXX</v>
          </cell>
          <cell r="HP40" t="str">
            <v>XXXX</v>
          </cell>
          <cell r="HQ40" t="str">
            <v>XXXX</v>
          </cell>
          <cell r="HR40" t="str">
            <v>XXXX</v>
          </cell>
          <cell r="HS40" t="str">
            <v>XXXX</v>
          </cell>
          <cell r="HT40" t="str">
            <v>XXXX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  <cell r="HR41">
            <v>1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HP42">
            <v>1</v>
          </cell>
          <cell r="HQ42">
            <v>1</v>
          </cell>
          <cell r="HS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HI43" t="str">
            <v>XXXX</v>
          </cell>
          <cell r="HJ43" t="str">
            <v>XXXX</v>
          </cell>
          <cell r="HK43" t="str">
            <v>XXXX</v>
          </cell>
          <cell r="HL43" t="str">
            <v>XXXX</v>
          </cell>
          <cell r="HM43" t="str">
            <v>XXXX</v>
          </cell>
          <cell r="HN43" t="str">
            <v>XXXX</v>
          </cell>
          <cell r="HO43" t="str">
            <v>XXXX</v>
          </cell>
          <cell r="HP43" t="str">
            <v>XXXX</v>
          </cell>
          <cell r="HQ43" t="str">
            <v>XXXX</v>
          </cell>
          <cell r="HR43" t="str">
            <v>XXXX</v>
          </cell>
          <cell r="HS43" t="str">
            <v>XXXX</v>
          </cell>
          <cell r="HT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HI44" t="str">
            <v>XXXX</v>
          </cell>
          <cell r="HJ44" t="str">
            <v>XXXX</v>
          </cell>
          <cell r="HK44" t="str">
            <v>XXXX</v>
          </cell>
          <cell r="HL44" t="str">
            <v>XXXX</v>
          </cell>
          <cell r="HM44" t="str">
            <v>XXXX</v>
          </cell>
          <cell r="HN44" t="str">
            <v>XXXX</v>
          </cell>
          <cell r="HO44" t="str">
            <v>XXXX</v>
          </cell>
          <cell r="HP44" t="str">
            <v>XXXX</v>
          </cell>
          <cell r="HQ44" t="str">
            <v>XXXX</v>
          </cell>
          <cell r="HR44" t="str">
            <v>XXXX</v>
          </cell>
          <cell r="HS44" t="str">
            <v>XXXX</v>
          </cell>
          <cell r="HT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HK45">
            <v>1</v>
          </cell>
          <cell r="HM45">
            <v>1</v>
          </cell>
          <cell r="HP45">
            <v>1</v>
          </cell>
          <cell r="HR45">
            <v>1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HQ46">
            <v>2</v>
          </cell>
          <cell r="HT46">
            <v>1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HI47" t="str">
            <v>XXXX</v>
          </cell>
          <cell r="HJ47" t="str">
            <v>XXXX</v>
          </cell>
          <cell r="HK47" t="str">
            <v>XXXX</v>
          </cell>
          <cell r="HL47" t="str">
            <v>XXXX</v>
          </cell>
          <cell r="HM47" t="str">
            <v>XXXX</v>
          </cell>
          <cell r="HN47" t="str">
            <v>XXXX</v>
          </cell>
          <cell r="HO47" t="str">
            <v>XXXX</v>
          </cell>
          <cell r="HP47" t="str">
            <v>XXXX</v>
          </cell>
          <cell r="HQ47" t="str">
            <v>XXXX</v>
          </cell>
          <cell r="HR47" t="str">
            <v>XXXX</v>
          </cell>
          <cell r="HS47" t="str">
            <v>XXXX</v>
          </cell>
          <cell r="HT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HI48" t="str">
            <v>XXXX</v>
          </cell>
          <cell r="HJ48" t="str">
            <v>XXXX</v>
          </cell>
          <cell r="HK48" t="str">
            <v>XXXX</v>
          </cell>
          <cell r="HL48" t="str">
            <v>XXXX</v>
          </cell>
          <cell r="HM48" t="str">
            <v>XXXX</v>
          </cell>
          <cell r="HN48" t="str">
            <v>XXXX</v>
          </cell>
          <cell r="HO48" t="str">
            <v>XXXX</v>
          </cell>
          <cell r="HP48" t="str">
            <v>XXXX</v>
          </cell>
          <cell r="HQ48" t="str">
            <v>XXXX</v>
          </cell>
          <cell r="HR48" t="str">
            <v>XXXX</v>
          </cell>
          <cell r="HS48" t="str">
            <v>XXXX</v>
          </cell>
          <cell r="HT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HI49" t="str">
            <v>XXXX</v>
          </cell>
          <cell r="HJ49" t="str">
            <v>XXXX</v>
          </cell>
          <cell r="HK49" t="str">
            <v>XXXX</v>
          </cell>
          <cell r="HL49" t="str">
            <v>XXXX</v>
          </cell>
          <cell r="HM49" t="str">
            <v>XXXX</v>
          </cell>
          <cell r="HN49" t="str">
            <v>XXXX</v>
          </cell>
          <cell r="HO49" t="str">
            <v>XXXX</v>
          </cell>
          <cell r="HP49" t="str">
            <v>XXXX</v>
          </cell>
          <cell r="HQ49" t="str">
            <v>XXXX</v>
          </cell>
          <cell r="HR49" t="str">
            <v>XXXX</v>
          </cell>
          <cell r="HS49" t="str">
            <v>XXXX</v>
          </cell>
          <cell r="HT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HR50">
            <v>1</v>
          </cell>
          <cell r="HT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HJ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HI53" t="str">
            <v>XXXX</v>
          </cell>
          <cell r="HJ53" t="str">
            <v>XXXX</v>
          </cell>
          <cell r="HK53" t="str">
            <v>XXXX</v>
          </cell>
          <cell r="HL53" t="str">
            <v>XXXX</v>
          </cell>
          <cell r="HM53" t="str">
            <v>XXXX</v>
          </cell>
          <cell r="HN53" t="str">
            <v>XXXX</v>
          </cell>
          <cell r="HO53" t="str">
            <v>XXXX</v>
          </cell>
          <cell r="HP53" t="str">
            <v>XXXX</v>
          </cell>
          <cell r="HQ53" t="str">
            <v>XXXX</v>
          </cell>
          <cell r="HR53" t="str">
            <v>XXXX</v>
          </cell>
          <cell r="HS53" t="str">
            <v>XXXX</v>
          </cell>
          <cell r="HT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HK54">
            <v>1</v>
          </cell>
          <cell r="HL54">
            <v>1</v>
          </cell>
          <cell r="HM54">
            <v>1</v>
          </cell>
          <cell r="HO54">
            <v>1</v>
          </cell>
          <cell r="HR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HN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HL59">
            <v>1</v>
          </cell>
          <cell r="HR59">
            <v>1</v>
          </cell>
          <cell r="HT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HI60" t="str">
            <v>XXXX</v>
          </cell>
          <cell r="HJ60" t="str">
            <v>XXXX</v>
          </cell>
          <cell r="HK60" t="str">
            <v>XXXX</v>
          </cell>
          <cell r="HL60" t="str">
            <v>XXXX</v>
          </cell>
          <cell r="HM60" t="str">
            <v>XXXX</v>
          </cell>
          <cell r="HN60" t="str">
            <v>XXXX</v>
          </cell>
          <cell r="HO60" t="str">
            <v>XXXX</v>
          </cell>
          <cell r="HP60" t="str">
            <v>XXXX</v>
          </cell>
          <cell r="HQ60" t="str">
            <v>XXXX</v>
          </cell>
          <cell r="HR60" t="str">
            <v>XXXX</v>
          </cell>
          <cell r="HS60" t="str">
            <v>XXXX</v>
          </cell>
          <cell r="HT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HJ61">
            <v>1</v>
          </cell>
          <cell r="HP61">
            <v>2</v>
          </cell>
          <cell r="HR61">
            <v>3</v>
          </cell>
          <cell r="HS61">
            <v>1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  <cell r="HP62">
            <v>1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  <cell r="HJ63">
            <v>2</v>
          </cell>
          <cell r="HM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HI65" t="str">
            <v>XXXX</v>
          </cell>
          <cell r="HJ65" t="str">
            <v>XXXX</v>
          </cell>
          <cell r="HK65" t="str">
            <v>XXXX</v>
          </cell>
          <cell r="HL65" t="str">
            <v>XXXX</v>
          </cell>
          <cell r="HM65" t="str">
            <v>XXXX</v>
          </cell>
          <cell r="HN65" t="str">
            <v>XXXX</v>
          </cell>
          <cell r="HO65" t="str">
            <v>XXXX</v>
          </cell>
          <cell r="HP65" t="str">
            <v>XXXX</v>
          </cell>
          <cell r="HQ65" t="str">
            <v>XXXX</v>
          </cell>
          <cell r="HR65" t="str">
            <v>XXXX</v>
          </cell>
          <cell r="HS65" t="str">
            <v>XXXX</v>
          </cell>
          <cell r="HT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  <cell r="HP66">
            <v>1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  <cell r="HI69">
            <v>1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  <cell r="HL73">
            <v>1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HR75">
            <v>2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  <cell r="HP76">
            <v>1</v>
          </cell>
          <cell r="HR76">
            <v>1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  <cell r="HQ77">
            <v>1</v>
          </cell>
          <cell r="HT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HK79">
            <v>1</v>
          </cell>
          <cell r="HR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HI80" t="str">
            <v>XXXX</v>
          </cell>
          <cell r="HJ80" t="str">
            <v>XXXX</v>
          </cell>
          <cell r="HK80" t="str">
            <v>XXXX</v>
          </cell>
          <cell r="HL80" t="str">
            <v>XXXX</v>
          </cell>
          <cell r="HM80" t="str">
            <v>XXXX</v>
          </cell>
          <cell r="HN80" t="str">
            <v>XXXX</v>
          </cell>
          <cell r="HO80" t="str">
            <v>XXXX</v>
          </cell>
          <cell r="HP80" t="str">
            <v>XXXX</v>
          </cell>
          <cell r="HQ80" t="str">
            <v>XXXX</v>
          </cell>
          <cell r="HR80" t="str">
            <v>XXXX</v>
          </cell>
          <cell r="HS80" t="str">
            <v>XXXX</v>
          </cell>
          <cell r="HT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HL81">
            <v>1</v>
          </cell>
          <cell r="HM81">
            <v>1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HK82">
            <v>1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HJ83">
            <v>1</v>
          </cell>
          <cell r="HP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HI84" t="str">
            <v>XXXX</v>
          </cell>
          <cell r="HJ84" t="str">
            <v>XXXX</v>
          </cell>
          <cell r="HK84" t="str">
            <v>XXXX</v>
          </cell>
          <cell r="HL84" t="str">
            <v>XXXX</v>
          </cell>
          <cell r="HM84" t="str">
            <v>XXXX</v>
          </cell>
          <cell r="HN84" t="str">
            <v>XXXX</v>
          </cell>
          <cell r="HO84" t="str">
            <v>XXXX</v>
          </cell>
          <cell r="HP84" t="str">
            <v>XXXX</v>
          </cell>
          <cell r="HQ84" t="str">
            <v>XXXX</v>
          </cell>
          <cell r="HR84" t="str">
            <v>XXXX</v>
          </cell>
          <cell r="HS84" t="str">
            <v>XXXX</v>
          </cell>
          <cell r="HT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33.55</v>
          </cell>
          <cell r="HJ89">
            <v>1</v>
          </cell>
          <cell r="HK89">
            <v>1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HK90">
            <v>1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  <cell r="HR91">
            <v>1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  <cell r="HT92">
            <v>1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HJ93">
            <v>2</v>
          </cell>
          <cell r="HL93">
            <v>1</v>
          </cell>
          <cell r="HM93">
            <v>1</v>
          </cell>
        </row>
        <row r="94">
          <cell r="C94">
            <v>76</v>
          </cell>
          <cell r="D94" t="str">
            <v>SUNCHO CORRAL - ANATUYA</v>
          </cell>
          <cell r="E94">
            <v>132</v>
          </cell>
          <cell r="F94">
            <v>81</v>
          </cell>
        </row>
        <row r="95">
          <cell r="C95">
            <v>77</v>
          </cell>
          <cell r="D95" t="str">
            <v>LAS MADERAS - GÜEMES SALTA</v>
          </cell>
          <cell r="E95">
            <v>132</v>
          </cell>
          <cell r="F95">
            <v>42</v>
          </cell>
          <cell r="HP95">
            <v>1</v>
          </cell>
        </row>
        <row r="96">
          <cell r="C96">
            <v>78</v>
          </cell>
          <cell r="D96" t="str">
            <v>INDEPENDENCIA - EL BRACHO 2</v>
          </cell>
          <cell r="E96">
            <v>132</v>
          </cell>
          <cell r="F96">
            <v>17.1</v>
          </cell>
          <cell r="HJ96">
            <v>1</v>
          </cell>
          <cell r="HK96">
            <v>1</v>
          </cell>
        </row>
        <row r="97">
          <cell r="C97">
            <v>79</v>
          </cell>
          <cell r="D97" t="str">
            <v>GÜEMES - SALTA SUR</v>
          </cell>
          <cell r="E97">
            <v>132</v>
          </cell>
          <cell r="F97">
            <v>47.6</v>
          </cell>
          <cell r="HP97">
            <v>1</v>
          </cell>
        </row>
        <row r="98">
          <cell r="C98">
            <v>80</v>
          </cell>
          <cell r="D98" t="str">
            <v>BURRUYACU - COBOS</v>
          </cell>
          <cell r="E98">
            <v>132</v>
          </cell>
          <cell r="F98">
            <v>229.5</v>
          </cell>
          <cell r="HI98" t="str">
            <v>XXXX</v>
          </cell>
          <cell r="HJ98" t="str">
            <v>XXXX</v>
          </cell>
          <cell r="HK98" t="str">
            <v>XXXX</v>
          </cell>
          <cell r="HL98" t="str">
            <v>XXXX</v>
          </cell>
          <cell r="HM98" t="str">
            <v>XXXX</v>
          </cell>
          <cell r="HN98" t="str">
            <v>XXXX</v>
          </cell>
          <cell r="HO98" t="str">
            <v>XXXX</v>
          </cell>
          <cell r="HP98" t="str">
            <v>XXXX</v>
          </cell>
          <cell r="HQ98" t="str">
            <v>XXXX</v>
          </cell>
          <cell r="HR98" t="str">
            <v>XXXX</v>
          </cell>
          <cell r="HS98" t="str">
            <v>XXXX</v>
          </cell>
          <cell r="HT98" t="str">
            <v>XXXX</v>
          </cell>
        </row>
        <row r="99">
          <cell r="C99">
            <v>81</v>
          </cell>
          <cell r="D99" t="str">
            <v>METAN - COBOS</v>
          </cell>
          <cell r="E99">
            <v>132</v>
          </cell>
          <cell r="F99">
            <v>89.2</v>
          </cell>
        </row>
        <row r="100">
          <cell r="C100">
            <v>82</v>
          </cell>
          <cell r="D100" t="str">
            <v>AÑATUYA - BANDERA</v>
          </cell>
          <cell r="E100">
            <v>132</v>
          </cell>
          <cell r="F100">
            <v>76</v>
          </cell>
          <cell r="HI100">
            <v>1</v>
          </cell>
          <cell r="HL100">
            <v>1</v>
          </cell>
          <cell r="HQ100">
            <v>2</v>
          </cell>
          <cell r="HT100">
            <v>1</v>
          </cell>
        </row>
        <row r="101">
          <cell r="C101">
            <v>84</v>
          </cell>
          <cell r="D101" t="str">
            <v>GÜEMES SALTA - COBOS 1</v>
          </cell>
          <cell r="E101">
            <v>132</v>
          </cell>
          <cell r="F101">
            <v>12.1</v>
          </cell>
          <cell r="HK101">
            <v>1</v>
          </cell>
        </row>
        <row r="102">
          <cell r="C102">
            <v>85</v>
          </cell>
          <cell r="D102" t="str">
            <v>GÜEMES SALTA - COBOS 2</v>
          </cell>
          <cell r="E102">
            <v>132</v>
          </cell>
          <cell r="F102">
            <v>12.1</v>
          </cell>
        </row>
        <row r="103">
          <cell r="C103">
            <v>86</v>
          </cell>
          <cell r="D103" t="str">
            <v>EL BRACHO - LA BANDA</v>
          </cell>
          <cell r="E103">
            <v>132</v>
          </cell>
          <cell r="F103">
            <v>133.5</v>
          </cell>
          <cell r="HJ103">
            <v>2</v>
          </cell>
          <cell r="HR103">
            <v>1</v>
          </cell>
        </row>
        <row r="104">
          <cell r="C104">
            <v>87</v>
          </cell>
          <cell r="D104" t="str">
            <v>SANTIAGO OESTE - SANTIAGO SUR </v>
          </cell>
          <cell r="E104">
            <v>132</v>
          </cell>
          <cell r="F104">
            <v>10.6</v>
          </cell>
        </row>
        <row r="105">
          <cell r="C105">
            <v>88</v>
          </cell>
          <cell r="D105" t="str">
            <v>SANTIAGO SUR - SANTIAGO CENTRO</v>
          </cell>
          <cell r="E105">
            <v>132</v>
          </cell>
          <cell r="F105">
            <v>4</v>
          </cell>
        </row>
        <row r="106">
          <cell r="C106">
            <v>89</v>
          </cell>
          <cell r="D106" t="str">
            <v>C.H. RIO HONDO - SANTIAGO OESTE</v>
          </cell>
          <cell r="E106">
            <v>132</v>
          </cell>
          <cell r="F106">
            <v>69.8</v>
          </cell>
          <cell r="HJ106">
            <v>1</v>
          </cell>
        </row>
        <row r="107">
          <cell r="C107">
            <v>90</v>
          </cell>
          <cell r="D107" t="str">
            <v>GÜEMES - MINETTI</v>
          </cell>
          <cell r="E107">
            <v>132</v>
          </cell>
          <cell r="F107">
            <v>41.4</v>
          </cell>
          <cell r="HL107">
            <v>1</v>
          </cell>
          <cell r="HR107">
            <v>1</v>
          </cell>
          <cell r="HS107">
            <v>1</v>
          </cell>
          <cell r="HT107">
            <v>1</v>
          </cell>
        </row>
        <row r="108">
          <cell r="C108">
            <v>91</v>
          </cell>
          <cell r="D108" t="str">
            <v>GÜEMES - SALTA NORTE</v>
          </cell>
          <cell r="E108">
            <v>132</v>
          </cell>
          <cell r="F108">
            <v>38.97</v>
          </cell>
        </row>
        <row r="109">
          <cell r="C109">
            <v>92</v>
          </cell>
          <cell r="D109" t="str">
            <v>BURRUYACU - R. DE LA FRONTERA</v>
          </cell>
          <cell r="E109">
            <v>132</v>
          </cell>
          <cell r="F109">
            <v>99.1</v>
          </cell>
          <cell r="HO109">
            <v>1</v>
          </cell>
        </row>
        <row r="110">
          <cell r="C110">
            <v>93</v>
          </cell>
          <cell r="D110" t="str">
            <v>R. DE LA FRONTERA - COBOS</v>
          </cell>
          <cell r="E110">
            <v>132</v>
          </cell>
          <cell r="F110">
            <v>130.4</v>
          </cell>
          <cell r="HR110">
            <v>1</v>
          </cell>
          <cell r="HS110">
            <v>1</v>
          </cell>
        </row>
        <row r="111">
          <cell r="C111">
            <v>94</v>
          </cell>
          <cell r="D111" t="str">
            <v>J.V. GONZALEZ - APOLINARIO SARAVIA</v>
          </cell>
          <cell r="E111">
            <v>132</v>
          </cell>
          <cell r="F111">
            <v>94</v>
          </cell>
          <cell r="HL111">
            <v>1</v>
          </cell>
        </row>
        <row r="112">
          <cell r="C112">
            <v>95</v>
          </cell>
          <cell r="D112" t="str">
            <v>ANDALGALA - SAULIL</v>
          </cell>
          <cell r="E112">
            <v>132</v>
          </cell>
          <cell r="F112">
            <v>76</v>
          </cell>
        </row>
        <row r="113">
          <cell r="C113">
            <v>96</v>
          </cell>
          <cell r="D113" t="str">
            <v>SANTIAGO OESTE - SANT. SUR  - SANT. CENTRO</v>
          </cell>
          <cell r="E113">
            <v>132</v>
          </cell>
          <cell r="F113">
            <v>14.6</v>
          </cell>
          <cell r="HI113" t="str">
            <v>XXXX</v>
          </cell>
          <cell r="HJ113" t="str">
            <v>XXXX</v>
          </cell>
          <cell r="HK113" t="str">
            <v>XXXX</v>
          </cell>
          <cell r="HL113" t="str">
            <v>XXXX</v>
          </cell>
          <cell r="HM113" t="str">
            <v>XXXX</v>
          </cell>
          <cell r="HN113" t="str">
            <v>XXXX</v>
          </cell>
          <cell r="HO113" t="str">
            <v>XXXX</v>
          </cell>
          <cell r="HP113" t="str">
            <v>XXXX</v>
          </cell>
          <cell r="HQ113" t="str">
            <v>XXXX</v>
          </cell>
          <cell r="HR113" t="str">
            <v>XXXX</v>
          </cell>
          <cell r="HS113" t="str">
            <v>XXXX</v>
          </cell>
          <cell r="HT113" t="str">
            <v>XXXX</v>
          </cell>
        </row>
        <row r="114">
          <cell r="C114">
            <v>97</v>
          </cell>
          <cell r="D114" t="str">
            <v>LA RIOJA SUR - PI LA RIOJA  </v>
          </cell>
          <cell r="E114">
            <v>132</v>
          </cell>
          <cell r="F114">
            <v>40</v>
          </cell>
        </row>
        <row r="115">
          <cell r="C115">
            <v>98</v>
          </cell>
          <cell r="D115" t="str">
            <v>LA RIOJA SUR - PI. PATQUIA</v>
          </cell>
          <cell r="E115">
            <v>132</v>
          </cell>
          <cell r="F115">
            <v>40</v>
          </cell>
        </row>
        <row r="116">
          <cell r="C116">
            <v>99</v>
          </cell>
          <cell r="D116" t="str">
            <v>SUNCHO CORRAL - QUIMILI</v>
          </cell>
          <cell r="E116">
            <v>132</v>
          </cell>
          <cell r="F116">
            <v>108</v>
          </cell>
          <cell r="HO116">
            <v>1</v>
          </cell>
        </row>
        <row r="117">
          <cell r="C117">
            <v>100</v>
          </cell>
          <cell r="D117" t="str">
            <v>EL BRACHO - LA BANDA ESTE</v>
          </cell>
          <cell r="E117">
            <v>132</v>
          </cell>
          <cell r="F117">
            <v>140.9</v>
          </cell>
          <cell r="HI117" t="str">
            <v>XXXX</v>
          </cell>
          <cell r="HJ117" t="str">
            <v>XXXX</v>
          </cell>
          <cell r="HK117" t="str">
            <v>XXXX</v>
          </cell>
          <cell r="HL117" t="str">
            <v>XXXX</v>
          </cell>
          <cell r="HM117" t="str">
            <v>XXXX</v>
          </cell>
          <cell r="HN117" t="str">
            <v>XXXX</v>
          </cell>
          <cell r="HO117" t="str">
            <v>XXXX</v>
          </cell>
          <cell r="HP117" t="str">
            <v>XXXX</v>
          </cell>
          <cell r="HQ117" t="str">
            <v>XXXX</v>
          </cell>
          <cell r="HR117" t="str">
            <v>XXXX</v>
          </cell>
          <cell r="HS117" t="str">
            <v>XXXX</v>
          </cell>
          <cell r="HT117" t="str">
            <v>XXXX</v>
          </cell>
        </row>
        <row r="118">
          <cell r="C118">
            <v>101</v>
          </cell>
          <cell r="D118" t="str">
            <v>LA BANDA ESTE - LA BANDA</v>
          </cell>
          <cell r="E118">
            <v>132</v>
          </cell>
          <cell r="F118">
            <v>16.2</v>
          </cell>
          <cell r="HI118" t="str">
            <v>XXXX</v>
          </cell>
          <cell r="HJ118" t="str">
            <v>XXXX</v>
          </cell>
          <cell r="HK118" t="str">
            <v>XXXX</v>
          </cell>
          <cell r="HL118" t="str">
            <v>XXXX</v>
          </cell>
          <cell r="HM118" t="str">
            <v>XXXX</v>
          </cell>
          <cell r="HN118" t="str">
            <v>XXXX</v>
          </cell>
          <cell r="HO118" t="str">
            <v>XXXX</v>
          </cell>
          <cell r="HP118" t="str">
            <v>XXXX</v>
          </cell>
          <cell r="HQ118" t="str">
            <v>XXXX</v>
          </cell>
          <cell r="HR118" t="str">
            <v>XXXX</v>
          </cell>
          <cell r="HS118" t="str">
            <v>XXXX</v>
          </cell>
          <cell r="HT118" t="str">
            <v>XXXX</v>
          </cell>
        </row>
        <row r="119">
          <cell r="C119">
            <v>102</v>
          </cell>
          <cell r="D119" t="str">
            <v>TABACAL - PICHANAL</v>
          </cell>
          <cell r="E119">
            <v>132</v>
          </cell>
          <cell r="F119">
            <v>7</v>
          </cell>
          <cell r="HI119" t="str">
            <v>XXXX</v>
          </cell>
        </row>
        <row r="120">
          <cell r="C120">
            <v>103</v>
          </cell>
          <cell r="D120" t="str">
            <v>ORAN - TABACAL</v>
          </cell>
          <cell r="E120">
            <v>132</v>
          </cell>
          <cell r="F120">
            <v>10</v>
          </cell>
          <cell r="HI120" t="str">
            <v>XXXX</v>
          </cell>
        </row>
        <row r="121">
          <cell r="C121">
            <v>104</v>
          </cell>
          <cell r="D121" t="str">
            <v>MONTE QUEMADO -COPO - QUIMILI</v>
          </cell>
          <cell r="E121">
            <v>132</v>
          </cell>
          <cell r="F121">
            <v>218</v>
          </cell>
          <cell r="HI121" t="str">
            <v>XXXX</v>
          </cell>
          <cell r="HJ121" t="str">
            <v>XXXX</v>
          </cell>
          <cell r="HK121" t="str">
            <v>XXXX</v>
          </cell>
          <cell r="HL121" t="str">
            <v>XXXX</v>
          </cell>
          <cell r="HM121" t="str">
            <v>XXXX</v>
          </cell>
          <cell r="HN121" t="str">
            <v>XXXX</v>
          </cell>
          <cell r="HO121" t="str">
            <v>XXXX</v>
          </cell>
          <cell r="HP121" t="str">
            <v>XXXX</v>
          </cell>
          <cell r="HQ121" t="str">
            <v>XXXX</v>
          </cell>
          <cell r="HR121" t="str">
            <v>XXXX</v>
          </cell>
          <cell r="HS121" t="str">
            <v>XXXX</v>
          </cell>
          <cell r="HT121" t="str">
            <v>XXXX</v>
          </cell>
        </row>
        <row r="129">
          <cell r="HI129">
            <v>2.04</v>
          </cell>
          <cell r="HJ129">
            <v>1.85</v>
          </cell>
          <cell r="HK129">
            <v>1.92</v>
          </cell>
          <cell r="HL129">
            <v>2.04</v>
          </cell>
          <cell r="HM129">
            <v>2.35</v>
          </cell>
          <cell r="HN129">
            <v>2.37</v>
          </cell>
          <cell r="HO129">
            <v>2.44</v>
          </cell>
          <cell r="HP129">
            <v>2.4</v>
          </cell>
          <cell r="HQ129">
            <v>2.52</v>
          </cell>
          <cell r="HR129">
            <v>2.4</v>
          </cell>
          <cell r="HS129">
            <v>2.49</v>
          </cell>
          <cell r="HT129">
            <v>2.47</v>
          </cell>
          <cell r="HU129">
            <v>2.52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4"/>
  <sheetViews>
    <sheetView tabSelected="1" zoomScale="70" zoomScaleNormal="70" zoomScalePageLayoutView="0" workbookViewId="0" topLeftCell="A1">
      <selection activeCell="P30" sqref="P30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421875" style="7" customWidth="1"/>
    <col min="4" max="5" width="9.00390625" style="7" customWidth="1"/>
    <col min="6" max="6" width="3.7109375" style="7" customWidth="1"/>
    <col min="7" max="8" width="20.7109375" style="7" customWidth="1"/>
    <col min="9" max="9" width="6.28125" style="7" customWidth="1"/>
    <col min="10" max="10" width="15.7109375" style="7" customWidth="1"/>
    <col min="11" max="11" width="14.8515625" style="7" customWidth="1"/>
    <col min="12" max="12" width="15.7109375" style="7" customWidth="1"/>
    <col min="13" max="14" width="11.421875" style="7" customWidth="1"/>
    <col min="15" max="15" width="14.140625" style="7" customWidth="1"/>
    <col min="16" max="16" width="11.421875" style="7" customWidth="1"/>
    <col min="17" max="17" width="14.7109375" style="7" customWidth="1"/>
    <col min="18" max="18" width="11.421875" style="7" customWidth="1"/>
    <col min="19" max="19" width="12.00390625" style="7" customWidth="1"/>
    <col min="20" max="16384" width="11.421875" style="7" customWidth="1"/>
  </cols>
  <sheetData>
    <row r="1" spans="2:12" s="32" customFormat="1" ht="26.25">
      <c r="B1" s="33"/>
      <c r="L1" s="346"/>
    </row>
    <row r="2" spans="2:11" s="32" customFormat="1" ht="26.25">
      <c r="B2" s="33" t="s">
        <v>256</v>
      </c>
      <c r="C2" s="34"/>
      <c r="D2" s="35"/>
      <c r="E2" s="35"/>
      <c r="F2" s="35"/>
      <c r="G2" s="35"/>
      <c r="H2" s="35"/>
      <c r="I2" s="35"/>
      <c r="J2" s="35"/>
      <c r="K2" s="35"/>
    </row>
    <row r="3" spans="3:20" ht="12.75">
      <c r="C3"/>
      <c r="D3" s="36"/>
      <c r="E3" s="36"/>
      <c r="F3" s="36"/>
      <c r="G3" s="36"/>
      <c r="H3" s="36"/>
      <c r="I3" s="36"/>
      <c r="J3" s="36"/>
      <c r="K3" s="36"/>
      <c r="Q3" s="6"/>
      <c r="R3" s="6"/>
      <c r="S3" s="6"/>
      <c r="T3" s="6"/>
    </row>
    <row r="4" spans="1:20" s="39" customFormat="1" ht="11.25">
      <c r="A4" s="37" t="s">
        <v>8</v>
      </c>
      <c r="B4" s="38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39" customFormat="1" ht="11.25">
      <c r="A5" s="37" t="s">
        <v>9</v>
      </c>
      <c r="B5" s="38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s="32" customFormat="1" ht="6" customHeight="1">
      <c r="B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2:20" s="50" customFormat="1" ht="19.5">
      <c r="B7" s="106" t="s">
        <v>0</v>
      </c>
      <c r="C7" s="162"/>
      <c r="D7" s="163"/>
      <c r="E7" s="163"/>
      <c r="F7" s="163"/>
      <c r="G7" s="55"/>
      <c r="H7" s="55"/>
      <c r="I7" s="55"/>
      <c r="J7" s="55"/>
      <c r="K7" s="55"/>
      <c r="L7" s="57"/>
      <c r="M7" s="57"/>
      <c r="N7" s="57"/>
      <c r="O7" s="57"/>
      <c r="P7" s="57"/>
      <c r="Q7" s="57"/>
      <c r="R7" s="57"/>
      <c r="S7" s="57"/>
      <c r="T7" s="57"/>
    </row>
    <row r="8" spans="10:20" ht="12.75"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50" customFormat="1" ht="19.5">
      <c r="B9" s="106" t="s">
        <v>1</v>
      </c>
      <c r="C9" s="162"/>
      <c r="D9" s="163"/>
      <c r="E9" s="163"/>
      <c r="F9" s="163"/>
      <c r="G9" s="55"/>
      <c r="H9" s="55"/>
      <c r="I9" s="55"/>
      <c r="J9" s="55"/>
      <c r="K9" s="55"/>
      <c r="L9" s="57"/>
      <c r="M9" s="57"/>
      <c r="N9" s="57"/>
      <c r="O9" s="57"/>
      <c r="P9" s="57"/>
      <c r="Q9" s="57"/>
      <c r="R9" s="57"/>
      <c r="S9" s="57"/>
      <c r="T9" s="57"/>
    </row>
    <row r="10" spans="4:20" ht="12.75">
      <c r="D10" s="45"/>
      <c r="E10" s="45"/>
      <c r="F10" s="4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50" customFormat="1" ht="19.5">
      <c r="B11" s="106" t="s">
        <v>247</v>
      </c>
      <c r="C11" s="162"/>
      <c r="D11" s="163"/>
      <c r="E11" s="163"/>
      <c r="F11" s="163"/>
      <c r="G11" s="55"/>
      <c r="H11" s="55"/>
      <c r="I11" s="55"/>
      <c r="J11" s="55"/>
      <c r="K11" s="55"/>
      <c r="L11" s="57"/>
      <c r="M11" s="57"/>
      <c r="N11" s="57"/>
      <c r="O11" s="57"/>
      <c r="P11" s="57"/>
      <c r="Q11" s="57"/>
      <c r="R11" s="57"/>
      <c r="S11" s="57"/>
      <c r="T11" s="57"/>
    </row>
    <row r="12" spans="4:20" s="46" customFormat="1" ht="16.5" thickBot="1">
      <c r="D12" s="5"/>
      <c r="E12" s="5"/>
      <c r="F12" s="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s="46" customFormat="1" ht="16.5" thickTop="1">
      <c r="B13" s="519">
        <v>1</v>
      </c>
      <c r="C13" s="472"/>
      <c r="D13" s="48"/>
      <c r="E13" s="48"/>
      <c r="F13" s="48"/>
      <c r="G13" s="48"/>
      <c r="H13" s="48"/>
      <c r="I13" s="48"/>
      <c r="J13" s="48"/>
      <c r="K13" s="49"/>
      <c r="L13" s="47"/>
      <c r="M13" s="47"/>
      <c r="N13" s="47"/>
      <c r="O13" s="47"/>
      <c r="P13" s="47"/>
      <c r="Q13" s="47"/>
      <c r="R13" s="47"/>
      <c r="S13" s="47"/>
      <c r="T13" s="47"/>
    </row>
    <row r="14" spans="2:20" s="50" customFormat="1" ht="19.5">
      <c r="B14" s="51" t="s">
        <v>182</v>
      </c>
      <c r="C14" s="52"/>
      <c r="D14" s="53"/>
      <c r="E14" s="54"/>
      <c r="F14" s="54"/>
      <c r="G14" s="54"/>
      <c r="H14" s="54"/>
      <c r="I14" s="54"/>
      <c r="J14" s="55"/>
      <c r="K14" s="56"/>
      <c r="L14" s="57"/>
      <c r="M14" s="57"/>
      <c r="N14" s="57"/>
      <c r="O14" s="57"/>
      <c r="P14" s="57"/>
      <c r="Q14" s="57"/>
      <c r="R14" s="57"/>
      <c r="S14" s="57"/>
      <c r="T14" s="57"/>
    </row>
    <row r="15" spans="2:20" s="50" customFormat="1" ht="19.5" hidden="1">
      <c r="B15" s="58"/>
      <c r="C15" s="59"/>
      <c r="D15" s="59"/>
      <c r="E15" s="57"/>
      <c r="F15" s="57"/>
      <c r="G15" s="60"/>
      <c r="H15" s="60"/>
      <c r="I15" s="60"/>
      <c r="J15" s="57"/>
      <c r="K15" s="61"/>
      <c r="L15" s="57"/>
      <c r="M15" s="57"/>
      <c r="N15" s="57"/>
      <c r="O15" s="57"/>
      <c r="P15" s="57"/>
      <c r="Q15" s="57"/>
      <c r="R15" s="57"/>
      <c r="S15" s="57"/>
      <c r="T15" s="57"/>
    </row>
    <row r="16" spans="2:20" s="50" customFormat="1" ht="19.5" hidden="1">
      <c r="B16" s="51" t="s">
        <v>10</v>
      </c>
      <c r="C16" s="160"/>
      <c r="D16" s="160"/>
      <c r="E16" s="55"/>
      <c r="F16" s="55"/>
      <c r="G16" s="54"/>
      <c r="H16" s="54"/>
      <c r="I16" s="54"/>
      <c r="J16" s="55"/>
      <c r="K16" s="56"/>
      <c r="L16"/>
      <c r="M16" s="57"/>
      <c r="N16" s="57"/>
      <c r="O16" s="57"/>
      <c r="P16" s="57"/>
      <c r="Q16" s="57"/>
      <c r="R16" s="57"/>
      <c r="S16" s="57"/>
      <c r="T16" s="57"/>
    </row>
    <row r="17" spans="2:20" s="50" customFormat="1" ht="19.5">
      <c r="B17" s="58"/>
      <c r="C17" s="59"/>
      <c r="D17" s="59"/>
      <c r="E17" s="57"/>
      <c r="F17" s="57"/>
      <c r="G17" s="60"/>
      <c r="H17" s="60"/>
      <c r="I17" s="60"/>
      <c r="J17" s="57"/>
      <c r="K17" s="61"/>
      <c r="L17"/>
      <c r="M17" s="57"/>
      <c r="N17" s="57"/>
      <c r="O17" s="57"/>
      <c r="P17" s="57"/>
      <c r="Q17" s="57"/>
      <c r="R17" s="57"/>
      <c r="S17" s="57"/>
      <c r="T17" s="57"/>
    </row>
    <row r="18" spans="2:20" s="50" customFormat="1" ht="19.5">
      <c r="B18" s="58"/>
      <c r="C18" s="62" t="s">
        <v>11</v>
      </c>
      <c r="D18" s="63" t="s">
        <v>3</v>
      </c>
      <c r="E18" s="57"/>
      <c r="F18" s="57"/>
      <c r="G18" s="60"/>
      <c r="H18" s="60"/>
      <c r="I18" s="60"/>
      <c r="J18" s="64"/>
      <c r="K18" s="61"/>
      <c r="L18" s="57"/>
      <c r="M18" s="57"/>
      <c r="N18" s="57"/>
      <c r="O18" s="57"/>
      <c r="P18" s="57"/>
      <c r="Q18" s="57"/>
      <c r="R18" s="57"/>
      <c r="S18" s="57"/>
      <c r="T18" s="57"/>
    </row>
    <row r="19" spans="2:20" s="50" customFormat="1" ht="19.5">
      <c r="B19" s="58"/>
      <c r="C19" s="62"/>
      <c r="D19" s="62" t="s">
        <v>12</v>
      </c>
      <c r="E19" s="71" t="s">
        <v>13</v>
      </c>
      <c r="F19" s="71"/>
      <c r="G19" s="60"/>
      <c r="H19" s="60"/>
      <c r="I19" s="60"/>
      <c r="J19" s="64">
        <f>'LI-12 (3)'!AA38</f>
        <v>170696.25</v>
      </c>
      <c r="K19" s="61"/>
      <c r="L19" s="57"/>
      <c r="M19" s="57"/>
      <c r="N19" s="57"/>
      <c r="O19" s="57"/>
      <c r="P19" s="57"/>
      <c r="Q19" s="57"/>
      <c r="R19" s="57"/>
      <c r="S19" s="57"/>
      <c r="T19" s="57"/>
    </row>
    <row r="20" spans="2:20" s="50" customFormat="1" ht="19.5">
      <c r="B20" s="58"/>
      <c r="C20" s="62"/>
      <c r="D20" s="62" t="s">
        <v>14</v>
      </c>
      <c r="E20" s="71" t="s">
        <v>15</v>
      </c>
      <c r="F20" s="71"/>
      <c r="G20" s="60"/>
      <c r="H20" s="60"/>
      <c r="I20" s="60"/>
      <c r="J20" s="64">
        <f>'LI-EDESA-12 (1)'!AA38</f>
        <v>1276.89</v>
      </c>
      <c r="K20" s="61"/>
      <c r="L20" s="57"/>
      <c r="M20" s="57"/>
      <c r="N20" s="57"/>
      <c r="O20" s="57"/>
      <c r="P20" s="57"/>
      <c r="Q20" s="57"/>
      <c r="R20" s="57"/>
      <c r="S20" s="57"/>
      <c r="T20" s="57"/>
    </row>
    <row r="21" spans="2:20" ht="7.5" customHeight="1">
      <c r="B21" s="65"/>
      <c r="C21" s="66"/>
      <c r="D21" s="67"/>
      <c r="E21" s="6"/>
      <c r="F21" s="6"/>
      <c r="G21" s="68"/>
      <c r="H21" s="68"/>
      <c r="I21" s="68"/>
      <c r="J21" s="69"/>
      <c r="K21" s="8"/>
      <c r="L21" s="6"/>
      <c r="M21" s="6"/>
      <c r="N21" s="6"/>
      <c r="O21" s="6"/>
      <c r="P21" s="6"/>
      <c r="Q21" s="6"/>
      <c r="R21" s="6"/>
      <c r="S21" s="6"/>
      <c r="T21" s="6"/>
    </row>
    <row r="22" spans="2:20" s="50" customFormat="1" ht="19.5">
      <c r="B22" s="58"/>
      <c r="C22" s="62" t="s">
        <v>16</v>
      </c>
      <c r="D22" s="63" t="s">
        <v>17</v>
      </c>
      <c r="E22" s="57"/>
      <c r="F22" s="57"/>
      <c r="G22" s="60"/>
      <c r="H22" s="60"/>
      <c r="I22" s="60"/>
      <c r="J22" s="64"/>
      <c r="K22" s="61"/>
      <c r="L22" s="57"/>
      <c r="M22" s="57"/>
      <c r="N22" s="57"/>
      <c r="O22" s="57"/>
      <c r="P22" s="57"/>
      <c r="Q22" s="57"/>
      <c r="R22" s="57"/>
      <c r="S22" s="57"/>
      <c r="T22" s="57"/>
    </row>
    <row r="23" spans="2:20" s="50" customFormat="1" ht="19.5">
      <c r="B23" s="58"/>
      <c r="C23" s="62"/>
      <c r="D23" s="62" t="s">
        <v>18</v>
      </c>
      <c r="E23" s="71" t="s">
        <v>19</v>
      </c>
      <c r="F23" s="71"/>
      <c r="G23" s="60"/>
      <c r="H23" s="60"/>
      <c r="I23" s="60"/>
      <c r="J23" s="64"/>
      <c r="K23" s="61"/>
      <c r="L23" s="57"/>
      <c r="M23" s="57"/>
      <c r="N23" s="57"/>
      <c r="O23" s="57"/>
      <c r="P23" s="57"/>
      <c r="Q23" s="57"/>
      <c r="R23" s="57"/>
      <c r="S23" s="57"/>
      <c r="T23" s="57"/>
    </row>
    <row r="24" spans="2:20" s="50" customFormat="1" ht="19.5">
      <c r="B24" s="58"/>
      <c r="C24" s="62"/>
      <c r="D24"/>
      <c r="E24" s="62" t="s">
        <v>20</v>
      </c>
      <c r="F24" s="71" t="s">
        <v>13</v>
      </c>
      <c r="G24"/>
      <c r="H24" s="60"/>
      <c r="I24" s="60"/>
      <c r="J24" s="64">
        <f>'T-12 (2)'!AC40</f>
        <v>44576.02</v>
      </c>
      <c r="K24" s="61"/>
      <c r="L24" s="57"/>
      <c r="M24" s="57"/>
      <c r="N24" s="57"/>
      <c r="O24" s="57"/>
      <c r="P24" s="57"/>
      <c r="Q24" s="57"/>
      <c r="R24" s="57"/>
      <c r="S24" s="57"/>
      <c r="T24" s="57"/>
    </row>
    <row r="25" spans="2:20" ht="8.25" customHeight="1">
      <c r="B25" s="65"/>
      <c r="C25" s="66"/>
      <c r="D25" s="66"/>
      <c r="E25" s="6"/>
      <c r="F25" s="6"/>
      <c r="G25" s="68"/>
      <c r="H25" s="68"/>
      <c r="I25" s="68"/>
      <c r="J25" s="70"/>
      <c r="K25" s="8"/>
      <c r="L25" s="6"/>
      <c r="M25" s="6"/>
      <c r="N25" s="6"/>
      <c r="O25" s="6"/>
      <c r="P25" s="6"/>
      <c r="Q25" s="6"/>
      <c r="R25" s="6"/>
      <c r="S25" s="6"/>
      <c r="T25" s="6"/>
    </row>
    <row r="26" spans="2:20" s="50" customFormat="1" ht="9" customHeight="1">
      <c r="B26" s="58"/>
      <c r="C26" s="59"/>
      <c r="D26" s="59"/>
      <c r="E26" s="71"/>
      <c r="F26" s="71"/>
      <c r="G26" s="60"/>
      <c r="H26" s="60"/>
      <c r="I26" s="60"/>
      <c r="J26" s="64"/>
      <c r="K26" s="61"/>
      <c r="L26" s="57"/>
      <c r="M26" s="57"/>
      <c r="N26" s="57"/>
      <c r="O26" s="57"/>
      <c r="P26" s="57"/>
      <c r="Q26" s="57"/>
      <c r="R26" s="57"/>
      <c r="S26" s="57"/>
      <c r="T26" s="57"/>
    </row>
    <row r="27" spans="2:20" s="50" customFormat="1" ht="19.5">
      <c r="B27" s="58"/>
      <c r="C27" s="62" t="s">
        <v>181</v>
      </c>
      <c r="D27" s="63" t="s">
        <v>21</v>
      </c>
      <c r="E27" s="57"/>
      <c r="F27" s="57"/>
      <c r="G27" s="60"/>
      <c r="H27" s="60"/>
      <c r="I27" s="60"/>
      <c r="J27" s="64">
        <f>'SUP-EDESA'!I54</f>
        <v>367.1870000697805</v>
      </c>
      <c r="K27" s="61"/>
      <c r="L27" s="57"/>
      <c r="M27" s="57"/>
      <c r="N27" s="57"/>
      <c r="O27" s="57"/>
      <c r="P27" s="57"/>
      <c r="Q27" s="57"/>
      <c r="R27" s="57"/>
      <c r="S27" s="57"/>
      <c r="T27" s="57"/>
    </row>
    <row r="28" spans="2:20" s="50" customFormat="1" ht="19.5">
      <c r="B28" s="58"/>
      <c r="C28" s="62"/>
      <c r="D28" s="62"/>
      <c r="E28" s="71"/>
      <c r="F28" s="71"/>
      <c r="G28" s="60"/>
      <c r="H28" s="60"/>
      <c r="I28" s="60"/>
      <c r="J28" s="64"/>
      <c r="K28" s="61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50" customFormat="1" ht="20.25" thickBot="1">
      <c r="B29" s="58"/>
      <c r="C29" s="59"/>
      <c r="D29" s="59"/>
      <c r="E29" s="57"/>
      <c r="F29" s="57"/>
      <c r="G29" s="60"/>
      <c r="H29" s="60"/>
      <c r="I29" s="60"/>
      <c r="J29" s="57"/>
      <c r="K29" s="61"/>
      <c r="L29" s="57"/>
      <c r="M29" s="57"/>
      <c r="N29" s="57"/>
      <c r="O29" s="57"/>
      <c r="P29" s="57"/>
      <c r="Q29" s="57"/>
      <c r="R29" s="57"/>
      <c r="S29" s="57"/>
      <c r="T29" s="57"/>
    </row>
    <row r="30" spans="2:20" s="50" customFormat="1" ht="20.25" thickBot="1" thickTop="1">
      <c r="B30" s="58"/>
      <c r="C30" s="62"/>
      <c r="D30" s="62"/>
      <c r="G30" s="72" t="s">
        <v>22</v>
      </c>
      <c r="H30" s="73">
        <f>SUM(J19:J27)</f>
        <v>216916.34700006977</v>
      </c>
      <c r="I30" s="161"/>
      <c r="K30" s="61"/>
      <c r="L30" s="57"/>
      <c r="M30" s="57"/>
      <c r="N30" s="57"/>
      <c r="O30" s="57"/>
      <c r="P30" s="57"/>
      <c r="Q30" s="57"/>
      <c r="R30" s="57"/>
      <c r="S30" s="57"/>
      <c r="T30" s="57"/>
    </row>
    <row r="31" spans="2:20" s="50" customFormat="1" ht="13.5" customHeight="1" thickTop="1">
      <c r="B31" s="58"/>
      <c r="C31" s="62"/>
      <c r="D31" s="62"/>
      <c r="G31" s="461"/>
      <c r="H31" s="161"/>
      <c r="I31" s="161"/>
      <c r="K31" s="61"/>
      <c r="L31" s="57"/>
      <c r="M31" s="57"/>
      <c r="N31" s="57"/>
      <c r="O31" s="57"/>
      <c r="P31" s="57"/>
      <c r="Q31" s="57"/>
      <c r="R31" s="57"/>
      <c r="S31" s="57"/>
      <c r="T31" s="57"/>
    </row>
    <row r="32" spans="2:20" s="50" customFormat="1" ht="15.75" customHeight="1">
      <c r="B32" s="58"/>
      <c r="C32" s="462" t="s">
        <v>248</v>
      </c>
      <c r="D32" s="62"/>
      <c r="G32" s="461"/>
      <c r="H32" s="161"/>
      <c r="I32" s="161"/>
      <c r="K32" s="61"/>
      <c r="L32" s="57"/>
      <c r="M32" s="57"/>
      <c r="N32" s="57"/>
      <c r="O32" s="57"/>
      <c r="P32" s="57"/>
      <c r="Q32" s="57"/>
      <c r="R32" s="57"/>
      <c r="S32" s="57"/>
      <c r="T32" s="57"/>
    </row>
    <row r="33" spans="2:20" s="46" customFormat="1" ht="12.75" customHeight="1" thickBot="1">
      <c r="B33" s="74"/>
      <c r="C33" s="75"/>
      <c r="D33" s="75"/>
      <c r="E33" s="76"/>
      <c r="F33" s="76"/>
      <c r="G33" s="76"/>
      <c r="H33" s="76"/>
      <c r="I33" s="76"/>
      <c r="J33" s="76"/>
      <c r="K33" s="77"/>
      <c r="L33" s="47"/>
      <c r="M33" s="47"/>
      <c r="N33" s="78"/>
      <c r="O33" s="79"/>
      <c r="P33" s="79"/>
      <c r="Q33" s="80"/>
      <c r="R33" s="81"/>
      <c r="S33" s="47"/>
      <c r="T33" s="47"/>
    </row>
    <row r="34" spans="4:20" ht="13.5" thickTop="1">
      <c r="D34" s="6"/>
      <c r="G34" s="6"/>
      <c r="H34" s="6"/>
      <c r="I34" s="6"/>
      <c r="J34" s="6"/>
      <c r="K34" s="6"/>
      <c r="L34" s="6"/>
      <c r="M34" s="6"/>
      <c r="N34" s="26"/>
      <c r="O34" s="82"/>
      <c r="P34" s="82"/>
      <c r="Q34" s="6"/>
      <c r="R34" s="83"/>
      <c r="S34" s="6"/>
      <c r="T34" s="6"/>
    </row>
    <row r="35" spans="4:20" ht="12.75">
      <c r="D35" s="6"/>
      <c r="G35" s="6"/>
      <c r="H35" s="6"/>
      <c r="I35" s="6"/>
      <c r="J35" s="6"/>
      <c r="K35" s="6"/>
      <c r="L35" s="6"/>
      <c r="M35" s="6"/>
      <c r="N35" s="6"/>
      <c r="O35" s="84"/>
      <c r="P35" s="84"/>
      <c r="Q35" s="85"/>
      <c r="R35" s="83"/>
      <c r="S35" s="6"/>
      <c r="T35" s="6"/>
    </row>
    <row r="36" spans="4:20" ht="12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84"/>
      <c r="P36" s="84"/>
      <c r="Q36" s="85"/>
      <c r="R36" s="83"/>
      <c r="S36" s="6"/>
      <c r="T36" s="6"/>
    </row>
    <row r="37" spans="4:20" ht="12.75">
      <c r="D37" s="6"/>
      <c r="E37" s="6"/>
      <c r="F37" s="6"/>
      <c r="M37" s="6"/>
      <c r="N37" s="6"/>
      <c r="O37" s="6"/>
      <c r="P37" s="6"/>
      <c r="Q37" s="6"/>
      <c r="R37" s="6"/>
      <c r="S37" s="6"/>
      <c r="T37" s="6"/>
    </row>
    <row r="38" spans="4:20" ht="12.75">
      <c r="D38" s="6"/>
      <c r="E38" s="6"/>
      <c r="F38" s="6"/>
      <c r="Q38" s="6"/>
      <c r="R38" s="6"/>
      <c r="S38" s="6"/>
      <c r="T38" s="6"/>
    </row>
    <row r="39" spans="4:20" ht="12.75">
      <c r="D39" s="6"/>
      <c r="E39" s="6"/>
      <c r="F39" s="6"/>
      <c r="Q39" s="6"/>
      <c r="R39" s="6"/>
      <c r="S39" s="6"/>
      <c r="T39" s="6"/>
    </row>
    <row r="40" spans="4:20" ht="12.75">
      <c r="D40" s="6"/>
      <c r="E40" s="6"/>
      <c r="F40" s="6"/>
      <c r="Q40" s="6"/>
      <c r="R40" s="6"/>
      <c r="S40" s="6"/>
      <c r="T40" s="6"/>
    </row>
    <row r="41" spans="4:20" ht="12.75">
      <c r="D41" s="6"/>
      <c r="E41" s="6"/>
      <c r="F41" s="6"/>
      <c r="Q41" s="6"/>
      <c r="R41" s="6"/>
      <c r="S41" s="6"/>
      <c r="T41" s="6"/>
    </row>
    <row r="42" spans="4:20" ht="12.75">
      <c r="D42" s="6"/>
      <c r="E42" s="6"/>
      <c r="F42" s="6"/>
      <c r="Q42" s="6"/>
      <c r="R42" s="6"/>
      <c r="S42" s="6"/>
      <c r="T42" s="6"/>
    </row>
    <row r="43" spans="17:20" ht="12.75">
      <c r="Q43" s="6"/>
      <c r="R43" s="6"/>
      <c r="S43" s="6"/>
      <c r="T43" s="6"/>
    </row>
    <row r="44" spans="17:20" ht="12.75">
      <c r="Q44" s="6"/>
      <c r="R44" s="6"/>
      <c r="S44" s="6"/>
      <c r="T44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25"/>
  <sheetViews>
    <sheetView zoomScale="85" zoomScaleNormal="8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8" sqref="E8"/>
    </sheetView>
  </sheetViews>
  <sheetFormatPr defaultColWidth="11.421875" defaultRowHeight="12.75"/>
  <cols>
    <col min="1" max="1" width="21.7109375" style="86" customWidth="1"/>
    <col min="2" max="2" width="9.28125" style="86" customWidth="1"/>
    <col min="3" max="3" width="11.8515625" style="86" bestFit="1" customWidth="1"/>
    <col min="4" max="4" width="9.57421875" style="86" bestFit="1" customWidth="1"/>
    <col min="5" max="5" width="14.8515625" style="86" bestFit="1" customWidth="1"/>
    <col min="6" max="6" width="64.00390625" style="86" bestFit="1" customWidth="1"/>
    <col min="7" max="16384" width="11.421875" style="86" customWidth="1"/>
  </cols>
  <sheetData>
    <row r="1" spans="1:4" ht="12.75">
      <c r="A1" s="463" t="s">
        <v>114</v>
      </c>
      <c r="B1" s="463" t="s">
        <v>114</v>
      </c>
      <c r="C1" s="463" t="s">
        <v>115</v>
      </c>
      <c r="D1" s="463" t="s">
        <v>116</v>
      </c>
    </row>
    <row r="2" spans="1:4" ht="12.75">
      <c r="A2" s="464" t="s">
        <v>102</v>
      </c>
      <c r="B2" s="465" t="s">
        <v>117</v>
      </c>
      <c r="C2" s="464">
        <v>31</v>
      </c>
      <c r="D2" s="464">
        <v>2006</v>
      </c>
    </row>
    <row r="3" spans="1:4" ht="12.75">
      <c r="A3" s="464" t="s">
        <v>103</v>
      </c>
      <c r="B3" s="465" t="s">
        <v>118</v>
      </c>
      <c r="C3" s="464">
        <f>IF(MOD(E14,4)=0,29,28)</f>
        <v>29</v>
      </c>
      <c r="D3" s="464">
        <f>+D2+1</f>
        <v>2007</v>
      </c>
    </row>
    <row r="4" spans="1:4" ht="12.75">
      <c r="A4" s="464" t="s">
        <v>104</v>
      </c>
      <c r="B4" s="465" t="s">
        <v>119</v>
      </c>
      <c r="C4" s="464">
        <v>31</v>
      </c>
      <c r="D4" s="464">
        <v>2008</v>
      </c>
    </row>
    <row r="5" spans="1:4" ht="12.75">
      <c r="A5" s="464" t="s">
        <v>105</v>
      </c>
      <c r="B5" s="465" t="s">
        <v>120</v>
      </c>
      <c r="C5" s="464">
        <v>30</v>
      </c>
      <c r="D5" s="464">
        <v>2009</v>
      </c>
    </row>
    <row r="6" spans="1:4" ht="12.75">
      <c r="A6" s="464" t="s">
        <v>106</v>
      </c>
      <c r="B6" s="465" t="s">
        <v>121</v>
      </c>
      <c r="C6" s="464">
        <v>31</v>
      </c>
      <c r="D6" s="464">
        <v>2010</v>
      </c>
    </row>
    <row r="7" spans="1:4" ht="12.75">
      <c r="A7" s="464" t="s">
        <v>107</v>
      </c>
      <c r="B7" s="465" t="s">
        <v>122</v>
      </c>
      <c r="C7" s="464">
        <v>30</v>
      </c>
      <c r="D7" s="464">
        <v>2011</v>
      </c>
    </row>
    <row r="8" spans="1:4" ht="12.75">
      <c r="A8" s="464" t="s">
        <v>108</v>
      </c>
      <c r="B8" s="465" t="s">
        <v>123</v>
      </c>
      <c r="C8" s="464">
        <v>31</v>
      </c>
      <c r="D8" s="464">
        <v>2012</v>
      </c>
    </row>
    <row r="9" spans="1:4" ht="12.75">
      <c r="A9" s="464" t="s">
        <v>109</v>
      </c>
      <c r="B9" s="465" t="s">
        <v>124</v>
      </c>
      <c r="C9" s="464">
        <v>31</v>
      </c>
      <c r="D9" s="464"/>
    </row>
    <row r="10" spans="1:4" ht="12.75">
      <c r="A10" s="464" t="s">
        <v>110</v>
      </c>
      <c r="B10" s="465" t="s">
        <v>125</v>
      </c>
      <c r="C10" s="464">
        <v>30</v>
      </c>
      <c r="D10" s="464"/>
    </row>
    <row r="11" spans="1:4" ht="12.75">
      <c r="A11" s="464" t="s">
        <v>111</v>
      </c>
      <c r="B11" s="465" t="s">
        <v>126</v>
      </c>
      <c r="C11" s="464">
        <v>31</v>
      </c>
      <c r="D11" s="464"/>
    </row>
    <row r="12" spans="1:4" ht="12.75">
      <c r="A12" s="464" t="s">
        <v>112</v>
      </c>
      <c r="B12" s="465" t="s">
        <v>127</v>
      </c>
      <c r="C12" s="464">
        <v>30</v>
      </c>
      <c r="D12" s="464"/>
    </row>
    <row r="13" spans="1:9" ht="12.75">
      <c r="A13" s="464" t="s">
        <v>113</v>
      </c>
      <c r="B13" s="465" t="s">
        <v>128</v>
      </c>
      <c r="C13" s="464">
        <v>31</v>
      </c>
      <c r="D13" s="464"/>
      <c r="I13" s="479" t="s">
        <v>170</v>
      </c>
    </row>
    <row r="14" spans="1:9" ht="12.75">
      <c r="A14" s="466">
        <v>7</v>
      </c>
      <c r="B14" s="467">
        <v>12</v>
      </c>
      <c r="C14" s="466" t="str">
        <f ca="1">CELL("CONTENIDO",OFFSET(A1,B14,0))</f>
        <v>diciembre</v>
      </c>
      <c r="D14" s="466">
        <f ca="1">CELL("CONTENIDO",OFFSET(C1,B14,0))</f>
        <v>31</v>
      </c>
      <c r="E14" s="466">
        <f ca="1">CELL("CONTENIDO",OFFSET(D1,A14,0))</f>
        <v>2012</v>
      </c>
      <c r="F14" s="466" t="str">
        <f>"Desde el 01 al "&amp;D14&amp;" de "&amp;C14&amp;" de "&amp;E14</f>
        <v>Desde el 01 al 31 de diciembre de 2012</v>
      </c>
      <c r="G14" s="466" t="str">
        <f ca="1">CELL("CONTENIDO",OFFSET(B1,B14,0))</f>
        <v>12</v>
      </c>
      <c r="H14" s="466" t="str">
        <f>RIGHT(E14,2)</f>
        <v>12</v>
      </c>
      <c r="I14" s="480" t="s">
        <v>171</v>
      </c>
    </row>
    <row r="15" spans="1:8" ht="12.75">
      <c r="A15" s="466"/>
      <c r="B15" s="468" t="str">
        <f>"\\rugor\files\Transporte\Transporte\AA PROCESO AUT ARCHIVOS J\TRANSNOA\"&amp;E14</f>
        <v>\\rugor\files\Transporte\Transporte\AA PROCESO AUT ARCHIVOS J\TRANSNOA\2012</v>
      </c>
      <c r="C15" s="466"/>
      <c r="D15" s="466"/>
      <c r="E15" s="466"/>
      <c r="F15" s="466"/>
      <c r="G15" s="466" t="str">
        <f>"J"&amp;G14&amp;H14&amp;"NOA"</f>
        <v>J1212NOA</v>
      </c>
      <c r="H15" s="466"/>
    </row>
    <row r="16" spans="1:8" ht="12.75">
      <c r="A16" s="466"/>
      <c r="B16" s="468" t="str">
        <f>"\\rugor\files\Transporte\transporte\AA PROCESO AUT\INTERCAMBIO\"&amp;H14&amp;G14</f>
        <v>\\rugor\files\Transporte\transporte\AA PROCESO AUT\INTERCAMBIO\1212</v>
      </c>
      <c r="C16" s="466"/>
      <c r="D16" s="466"/>
      <c r="E16" s="466"/>
      <c r="F16" s="466"/>
      <c r="G16" s="466"/>
      <c r="H16" s="466"/>
    </row>
    <row r="17" spans="1:29" s="475" customFormat="1" ht="12.75">
      <c r="A17" s="463" t="s">
        <v>129</v>
      </c>
      <c r="B17" s="463" t="s">
        <v>130</v>
      </c>
      <c r="C17" s="463" t="s">
        <v>131</v>
      </c>
      <c r="D17" s="463" t="s">
        <v>132</v>
      </c>
      <c r="E17" s="463" t="s">
        <v>133</v>
      </c>
      <c r="F17" s="463" t="s">
        <v>134</v>
      </c>
      <c r="G17" s="463" t="s">
        <v>135</v>
      </c>
      <c r="H17" s="463" t="s">
        <v>136</v>
      </c>
      <c r="I17" s="463" t="s">
        <v>137</v>
      </c>
      <c r="J17" s="463" t="s">
        <v>138</v>
      </c>
      <c r="K17" s="463" t="s">
        <v>139</v>
      </c>
      <c r="L17" s="463" t="s">
        <v>140</v>
      </c>
      <c r="M17" s="463" t="s">
        <v>141</v>
      </c>
      <c r="N17" s="463" t="s">
        <v>142</v>
      </c>
      <c r="O17" s="463" t="s">
        <v>143</v>
      </c>
      <c r="P17" s="463" t="s">
        <v>144</v>
      </c>
      <c r="Q17" s="463" t="s">
        <v>145</v>
      </c>
      <c r="R17" s="463" t="s">
        <v>146</v>
      </c>
      <c r="S17" s="463" t="s">
        <v>147</v>
      </c>
      <c r="T17" s="463" t="s">
        <v>148</v>
      </c>
      <c r="U17" s="463" t="s">
        <v>149</v>
      </c>
      <c r="V17" s="463" t="s">
        <v>150</v>
      </c>
      <c r="W17" s="463" t="s">
        <v>160</v>
      </c>
      <c r="X17" s="463" t="s">
        <v>161</v>
      </c>
      <c r="Y17" s="463" t="s">
        <v>162</v>
      </c>
      <c r="Z17" s="463" t="s">
        <v>163</v>
      </c>
      <c r="AA17" s="463" t="s">
        <v>164</v>
      </c>
      <c r="AB17" s="463" t="s">
        <v>165</v>
      </c>
      <c r="AC17" s="463" t="s">
        <v>159</v>
      </c>
    </row>
    <row r="18" spans="1:29" ht="12.75">
      <c r="A18" s="469" t="s">
        <v>151</v>
      </c>
      <c r="B18" s="469">
        <v>21</v>
      </c>
      <c r="C18" s="469">
        <v>20</v>
      </c>
      <c r="D18" s="469">
        <v>11</v>
      </c>
      <c r="E18" s="469" t="str">
        <f>"LI-"&amp;$G$14</f>
        <v>LI-12</v>
      </c>
      <c r="F18" s="469" t="s">
        <v>172</v>
      </c>
      <c r="G18" s="469">
        <v>3</v>
      </c>
      <c r="H18" s="470">
        <v>5</v>
      </c>
      <c r="I18" s="470">
        <v>4</v>
      </c>
      <c r="J18" s="469">
        <v>6</v>
      </c>
      <c r="K18" s="469">
        <v>7</v>
      </c>
      <c r="L18" s="469">
        <v>8</v>
      </c>
      <c r="M18" s="469">
        <v>0</v>
      </c>
      <c r="N18" s="469">
        <v>10</v>
      </c>
      <c r="O18" s="469">
        <v>11</v>
      </c>
      <c r="P18" s="469">
        <v>14</v>
      </c>
      <c r="Q18" s="469">
        <v>0</v>
      </c>
      <c r="R18" s="469">
        <v>26</v>
      </c>
      <c r="S18" s="469">
        <v>0</v>
      </c>
      <c r="T18" s="469">
        <v>0</v>
      </c>
      <c r="U18" s="469">
        <v>0</v>
      </c>
      <c r="V18" s="469">
        <v>0</v>
      </c>
      <c r="W18" s="469">
        <v>19</v>
      </c>
      <c r="X18" s="469">
        <v>10</v>
      </c>
      <c r="Y18" s="469">
        <v>42</v>
      </c>
      <c r="Z18" s="469">
        <v>27</v>
      </c>
      <c r="AA18" s="469">
        <v>19</v>
      </c>
      <c r="AB18" s="469">
        <v>27</v>
      </c>
      <c r="AC18" s="469">
        <v>14</v>
      </c>
    </row>
    <row r="19" spans="1:29" ht="12.75">
      <c r="A19" s="471" t="s">
        <v>152</v>
      </c>
      <c r="B19" s="471">
        <v>24</v>
      </c>
      <c r="C19" s="471">
        <v>20</v>
      </c>
      <c r="D19" s="471">
        <v>13</v>
      </c>
      <c r="E19" s="471" t="str">
        <f>"T-"&amp;$G$14</f>
        <v>T-12</v>
      </c>
      <c r="F19" s="471" t="s">
        <v>173</v>
      </c>
      <c r="G19" s="469">
        <v>3</v>
      </c>
      <c r="H19" s="470">
        <v>5</v>
      </c>
      <c r="I19" s="470">
        <v>4</v>
      </c>
      <c r="J19" s="471">
        <v>6</v>
      </c>
      <c r="K19" s="471">
        <v>7</v>
      </c>
      <c r="L19" s="471">
        <v>8</v>
      </c>
      <c r="M19" s="471">
        <v>9</v>
      </c>
      <c r="N19" s="471">
        <v>11</v>
      </c>
      <c r="O19" s="471">
        <v>12</v>
      </c>
      <c r="P19" s="471">
        <v>15</v>
      </c>
      <c r="Q19" s="471">
        <v>16</v>
      </c>
      <c r="R19" s="471">
        <v>18</v>
      </c>
      <c r="S19" s="471">
        <v>28</v>
      </c>
      <c r="T19" s="471">
        <v>17</v>
      </c>
      <c r="U19" s="471">
        <v>0</v>
      </c>
      <c r="V19" s="471">
        <v>0</v>
      </c>
      <c r="W19" s="471">
        <v>25</v>
      </c>
      <c r="X19" s="469">
        <v>10</v>
      </c>
      <c r="Y19" s="471">
        <v>45</v>
      </c>
      <c r="Z19" s="471">
        <v>29</v>
      </c>
      <c r="AA19" s="471">
        <v>22</v>
      </c>
      <c r="AB19" s="471">
        <v>29</v>
      </c>
      <c r="AC19" s="471">
        <v>15</v>
      </c>
    </row>
    <row r="20" spans="1:29" ht="12.75">
      <c r="A20" s="469" t="s">
        <v>153</v>
      </c>
      <c r="B20" s="469">
        <v>23</v>
      </c>
      <c r="C20" s="469">
        <v>20</v>
      </c>
      <c r="D20" s="469">
        <v>10</v>
      </c>
      <c r="E20" s="469" t="str">
        <f>"SA-"&amp;$G$14</f>
        <v>SA-12</v>
      </c>
      <c r="F20" s="469" t="s">
        <v>174</v>
      </c>
      <c r="G20" s="469">
        <v>3</v>
      </c>
      <c r="H20" s="470">
        <v>5</v>
      </c>
      <c r="I20" s="470">
        <v>4</v>
      </c>
      <c r="J20" s="469">
        <v>6</v>
      </c>
      <c r="K20" s="469">
        <v>7</v>
      </c>
      <c r="L20" s="469">
        <v>8</v>
      </c>
      <c r="M20" s="469">
        <v>10</v>
      </c>
      <c r="N20" s="469">
        <v>11</v>
      </c>
      <c r="O20" s="469">
        <v>14</v>
      </c>
      <c r="P20" s="469">
        <v>15</v>
      </c>
      <c r="Q20" s="469">
        <v>21</v>
      </c>
      <c r="R20" s="469">
        <v>0</v>
      </c>
      <c r="S20" s="469">
        <v>0</v>
      </c>
      <c r="T20" s="469">
        <v>0</v>
      </c>
      <c r="U20" s="469">
        <v>0</v>
      </c>
      <c r="V20" s="469">
        <v>0</v>
      </c>
      <c r="W20" s="469">
        <v>29</v>
      </c>
      <c r="X20" s="469">
        <v>10</v>
      </c>
      <c r="Y20" s="469">
        <v>44</v>
      </c>
      <c r="Z20" s="469">
        <v>22</v>
      </c>
      <c r="AA20" s="469">
        <v>21</v>
      </c>
      <c r="AB20" s="469">
        <v>22</v>
      </c>
      <c r="AC20" s="469">
        <v>14</v>
      </c>
    </row>
    <row r="21" spans="1:29" ht="12.75">
      <c r="A21" s="469" t="s">
        <v>178</v>
      </c>
      <c r="B21" s="469">
        <v>21</v>
      </c>
      <c r="C21" s="469">
        <v>20</v>
      </c>
      <c r="D21" s="469">
        <v>11</v>
      </c>
      <c r="E21" s="469" t="str">
        <f>"LI-RIOJA-"&amp;$G$14</f>
        <v>LI-RIOJA-12</v>
      </c>
      <c r="F21" s="469" t="s">
        <v>179</v>
      </c>
      <c r="G21" s="469">
        <v>3</v>
      </c>
      <c r="H21" s="470">
        <v>5</v>
      </c>
      <c r="I21" s="470">
        <v>4</v>
      </c>
      <c r="J21" s="469">
        <v>6</v>
      </c>
      <c r="K21" s="469">
        <v>7</v>
      </c>
      <c r="L21" s="469">
        <v>8</v>
      </c>
      <c r="M21" s="469">
        <v>0</v>
      </c>
      <c r="N21" s="469">
        <v>10</v>
      </c>
      <c r="O21" s="469">
        <v>11</v>
      </c>
      <c r="P21" s="469">
        <v>14</v>
      </c>
      <c r="Q21" s="469">
        <v>2</v>
      </c>
      <c r="R21" s="469">
        <v>26</v>
      </c>
      <c r="S21" s="469">
        <v>0</v>
      </c>
      <c r="T21" s="469">
        <v>0</v>
      </c>
      <c r="U21" s="469">
        <v>0</v>
      </c>
      <c r="V21" s="469">
        <v>0</v>
      </c>
      <c r="W21" s="469">
        <v>21</v>
      </c>
      <c r="X21" s="469">
        <v>10</v>
      </c>
      <c r="Y21" s="469">
        <v>42</v>
      </c>
      <c r="Z21" s="469">
        <v>27</v>
      </c>
      <c r="AA21" s="469">
        <v>19</v>
      </c>
      <c r="AB21" s="469">
        <v>27</v>
      </c>
      <c r="AC21" s="469">
        <v>14</v>
      </c>
    </row>
    <row r="22" spans="1:29" ht="12.75">
      <c r="A22" s="469" t="s">
        <v>154</v>
      </c>
      <c r="B22" s="469">
        <v>21</v>
      </c>
      <c r="C22" s="469">
        <v>20</v>
      </c>
      <c r="D22" s="469">
        <v>11</v>
      </c>
      <c r="E22" s="469" t="str">
        <f>"LI-EDESA-"&amp;$G$14</f>
        <v>LI-EDESA-12</v>
      </c>
      <c r="F22" s="469" t="s">
        <v>175</v>
      </c>
      <c r="G22" s="469">
        <v>3</v>
      </c>
      <c r="H22" s="470">
        <v>5</v>
      </c>
      <c r="I22" s="470">
        <v>4</v>
      </c>
      <c r="J22" s="469">
        <v>6</v>
      </c>
      <c r="K22" s="469">
        <v>7</v>
      </c>
      <c r="L22" s="469">
        <v>8</v>
      </c>
      <c r="M22" s="469">
        <v>0</v>
      </c>
      <c r="N22" s="469">
        <v>10</v>
      </c>
      <c r="O22" s="469">
        <v>11</v>
      </c>
      <c r="P22" s="469">
        <v>14</v>
      </c>
      <c r="Q22" s="469">
        <v>2</v>
      </c>
      <c r="R22" s="469">
        <v>26</v>
      </c>
      <c r="S22" s="469">
        <v>0</v>
      </c>
      <c r="T22" s="469">
        <v>0</v>
      </c>
      <c r="U22" s="469">
        <v>0</v>
      </c>
      <c r="V22" s="469">
        <v>0</v>
      </c>
      <c r="W22" s="469">
        <v>20</v>
      </c>
      <c r="X22" s="469">
        <v>10</v>
      </c>
      <c r="Y22" s="469">
        <v>42</v>
      </c>
      <c r="Z22" s="469">
        <v>27</v>
      </c>
      <c r="AA22" s="469">
        <v>19</v>
      </c>
      <c r="AB22" s="469">
        <v>27</v>
      </c>
      <c r="AC22" s="469">
        <v>14</v>
      </c>
    </row>
    <row r="23" spans="1:29" ht="12.75">
      <c r="A23" s="469" t="s">
        <v>155</v>
      </c>
      <c r="B23" s="469">
        <v>24</v>
      </c>
      <c r="C23" s="469">
        <v>20</v>
      </c>
      <c r="D23" s="471">
        <v>13</v>
      </c>
      <c r="E23" s="469" t="str">
        <f>"T-EDESA-"&amp;$G$14</f>
        <v>T-EDESA-12</v>
      </c>
      <c r="F23" s="469" t="s">
        <v>176</v>
      </c>
      <c r="G23" s="469">
        <v>3</v>
      </c>
      <c r="H23" s="470">
        <v>5</v>
      </c>
      <c r="I23" s="470">
        <v>4</v>
      </c>
      <c r="J23" s="471">
        <v>6</v>
      </c>
      <c r="K23" s="471">
        <v>7</v>
      </c>
      <c r="L23" s="471">
        <v>8</v>
      </c>
      <c r="M23" s="471">
        <v>9</v>
      </c>
      <c r="N23" s="471">
        <v>11</v>
      </c>
      <c r="O23" s="471">
        <v>12</v>
      </c>
      <c r="P23" s="471">
        <v>15</v>
      </c>
      <c r="Q23" s="471">
        <v>16</v>
      </c>
      <c r="R23" s="471">
        <v>18</v>
      </c>
      <c r="S23" s="471">
        <v>28</v>
      </c>
      <c r="T23" s="471">
        <v>17</v>
      </c>
      <c r="U23" s="471">
        <v>0</v>
      </c>
      <c r="V23" s="471">
        <v>0</v>
      </c>
      <c r="W23" s="471">
        <v>26</v>
      </c>
      <c r="X23" s="469">
        <v>10</v>
      </c>
      <c r="Y23" s="471">
        <v>45</v>
      </c>
      <c r="Z23" s="471">
        <v>29</v>
      </c>
      <c r="AA23" s="471">
        <v>22</v>
      </c>
      <c r="AB23" s="471">
        <v>29</v>
      </c>
      <c r="AC23" s="469">
        <v>15</v>
      </c>
    </row>
    <row r="24" spans="1:29" ht="12.75">
      <c r="A24" s="469" t="s">
        <v>156</v>
      </c>
      <c r="B24" s="469">
        <v>23</v>
      </c>
      <c r="C24" s="469">
        <v>20</v>
      </c>
      <c r="D24" s="469">
        <v>10</v>
      </c>
      <c r="E24" s="469" t="str">
        <f>"SA-EDESA-"&amp;$G$14</f>
        <v>SA-EDESA-12</v>
      </c>
      <c r="F24" s="469" t="s">
        <v>177</v>
      </c>
      <c r="G24" s="469">
        <v>3</v>
      </c>
      <c r="H24" s="470">
        <v>5</v>
      </c>
      <c r="I24" s="470">
        <v>4</v>
      </c>
      <c r="J24" s="469">
        <v>6</v>
      </c>
      <c r="K24" s="469">
        <v>7</v>
      </c>
      <c r="L24" s="469">
        <v>8</v>
      </c>
      <c r="M24" s="469">
        <v>10</v>
      </c>
      <c r="N24" s="469">
        <v>11</v>
      </c>
      <c r="O24" s="469">
        <v>14</v>
      </c>
      <c r="P24" s="469">
        <v>15</v>
      </c>
      <c r="Q24" s="469">
        <v>21</v>
      </c>
      <c r="R24" s="469">
        <v>0</v>
      </c>
      <c r="S24" s="469">
        <v>0</v>
      </c>
      <c r="T24" s="469">
        <v>0</v>
      </c>
      <c r="U24" s="469">
        <v>0</v>
      </c>
      <c r="V24" s="469">
        <v>0</v>
      </c>
      <c r="W24" s="469">
        <v>30</v>
      </c>
      <c r="X24" s="469">
        <v>10</v>
      </c>
      <c r="Y24" s="469">
        <v>44</v>
      </c>
      <c r="Z24" s="469">
        <v>22</v>
      </c>
      <c r="AA24" s="469">
        <v>21</v>
      </c>
      <c r="AB24" s="469">
        <v>22</v>
      </c>
      <c r="AC24" s="469">
        <v>14</v>
      </c>
    </row>
    <row r="25" spans="1:29" s="475" customFormat="1" ht="12.75">
      <c r="A25" s="473" t="s">
        <v>157</v>
      </c>
      <c r="B25" s="473">
        <v>19</v>
      </c>
      <c r="C25" s="473">
        <v>24</v>
      </c>
      <c r="D25" s="474">
        <v>4</v>
      </c>
      <c r="E25" s="473" t="str">
        <f>"CAUSAS-VST-"&amp;$G$14</f>
        <v>CAUSAS-VST-12</v>
      </c>
      <c r="F25" s="473" t="s">
        <v>158</v>
      </c>
      <c r="G25" s="473">
        <v>3</v>
      </c>
      <c r="H25" s="473">
        <v>4</v>
      </c>
      <c r="I25" s="473">
        <v>5</v>
      </c>
      <c r="J25" s="473">
        <v>6</v>
      </c>
      <c r="K25" s="473">
        <v>7</v>
      </c>
      <c r="L25" s="473">
        <v>0</v>
      </c>
      <c r="M25" s="473">
        <v>0</v>
      </c>
      <c r="N25" s="473">
        <v>0</v>
      </c>
      <c r="O25" s="473">
        <v>0</v>
      </c>
      <c r="P25" s="473">
        <v>0</v>
      </c>
      <c r="Q25" s="473">
        <v>0</v>
      </c>
      <c r="R25" s="473">
        <v>0</v>
      </c>
      <c r="S25" s="473">
        <v>0</v>
      </c>
      <c r="T25" s="473">
        <v>0</v>
      </c>
      <c r="U25" s="473">
        <v>0</v>
      </c>
      <c r="V25" s="473">
        <v>0</v>
      </c>
      <c r="W25" s="473">
        <v>999</v>
      </c>
      <c r="X25" s="473">
        <v>999</v>
      </c>
      <c r="Y25" s="473">
        <v>0</v>
      </c>
      <c r="Z25" s="473">
        <v>0</v>
      </c>
      <c r="AA25" s="473">
        <v>0</v>
      </c>
      <c r="AB25" s="473">
        <v>0</v>
      </c>
      <c r="AC25" s="473">
        <v>0</v>
      </c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7" r:id="rId1"/>
  <headerFooter alignWithMargins="0">
    <oddFooter>&amp;L&amp;"Times New Roman,Normal"&amp;5&amp;F  - TRANSPORTE de ENERGÍA ELÉCTRICA -PJL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N41"/>
  <sheetViews>
    <sheetView zoomScale="75" zoomScaleNormal="75" zoomScalePageLayoutView="0" workbookViewId="0" topLeftCell="A1">
      <selection activeCell="N34" sqref="N34"/>
    </sheetView>
  </sheetViews>
  <sheetFormatPr defaultColWidth="11.421875" defaultRowHeight="12.75"/>
  <cols>
    <col min="1" max="1" width="1.8515625" style="0" customWidth="1"/>
    <col min="2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77" t="str">
        <f>+'TOT-1212'!B2</f>
        <v>ANEXO III al Memorándum  D.T.E.E.  N°  261/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78" t="s">
        <v>168</v>
      </c>
      <c r="B4" s="111"/>
      <c r="C4" s="478"/>
      <c r="AB4" s="40"/>
    </row>
    <row r="5" spans="1:28" s="39" customFormat="1" ht="11.25">
      <c r="A5" s="478" t="s">
        <v>169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23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24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25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46" t="str">
        <f>'TOT-1212'!B14</f>
        <v>Desde el 01 al 31 de diciembre de 2012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26</v>
      </c>
      <c r="G16" s="288">
        <v>206.264</v>
      </c>
      <c r="H16" s="184"/>
      <c r="I16" s="6"/>
      <c r="J16"/>
      <c r="K16" s="102" t="s">
        <v>27</v>
      </c>
      <c r="L16" s="103">
        <f>30*'TOT-1212'!B13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81">
        <v>3</v>
      </c>
      <c r="D17" s="481">
        <v>4</v>
      </c>
      <c r="E17" s="481">
        <v>5</v>
      </c>
      <c r="F17" s="481">
        <v>6</v>
      </c>
      <c r="G17" s="481">
        <v>7</v>
      </c>
      <c r="H17" s="481">
        <v>8</v>
      </c>
      <c r="I17" s="481">
        <v>9</v>
      </c>
      <c r="J17" s="481">
        <v>10</v>
      </c>
      <c r="K17" s="481">
        <v>11</v>
      </c>
      <c r="L17" s="481">
        <v>12</v>
      </c>
      <c r="M17" s="481">
        <v>13</v>
      </c>
      <c r="N17" s="481">
        <v>14</v>
      </c>
      <c r="O17" s="481">
        <v>15</v>
      </c>
      <c r="P17" s="481">
        <v>16</v>
      </c>
      <c r="Q17" s="481">
        <v>17</v>
      </c>
      <c r="R17" s="481">
        <v>18</v>
      </c>
      <c r="S17" s="481">
        <v>19</v>
      </c>
      <c r="T17" s="481">
        <v>20</v>
      </c>
      <c r="U17" s="481">
        <v>21</v>
      </c>
      <c r="V17" s="481">
        <v>22</v>
      </c>
      <c r="W17" s="481">
        <v>23</v>
      </c>
      <c r="X17" s="481">
        <v>24</v>
      </c>
      <c r="Y17" s="481">
        <v>25</v>
      </c>
      <c r="Z17" s="481">
        <v>26</v>
      </c>
      <c r="AA17" s="481">
        <v>27</v>
      </c>
      <c r="AB17" s="8"/>
    </row>
    <row r="18" spans="1:28" s="7" customFormat="1" ht="33.75" customHeight="1" thickBot="1" thickTop="1">
      <c r="A18" s="6"/>
      <c r="B18" s="65"/>
      <c r="C18" s="112" t="s">
        <v>28</v>
      </c>
      <c r="D18" s="112" t="s">
        <v>167</v>
      </c>
      <c r="E18" s="112" t="s">
        <v>166</v>
      </c>
      <c r="F18" s="113" t="s">
        <v>3</v>
      </c>
      <c r="G18" s="114" t="s">
        <v>29</v>
      </c>
      <c r="H18" s="115" t="s">
        <v>30</v>
      </c>
      <c r="I18" s="173" t="s">
        <v>31</v>
      </c>
      <c r="J18" s="113" t="s">
        <v>32</v>
      </c>
      <c r="K18" s="113" t="s">
        <v>33</v>
      </c>
      <c r="L18" s="114" t="s">
        <v>34</v>
      </c>
      <c r="M18" s="114" t="s">
        <v>35</v>
      </c>
      <c r="N18" s="116" t="s">
        <v>36</v>
      </c>
      <c r="O18" s="114" t="s">
        <v>37</v>
      </c>
      <c r="P18" s="186" t="s">
        <v>38</v>
      </c>
      <c r="Q18" s="191" t="s">
        <v>39</v>
      </c>
      <c r="R18" s="196" t="s">
        <v>40</v>
      </c>
      <c r="S18" s="197"/>
      <c r="T18" s="198"/>
      <c r="U18" s="209" t="s">
        <v>41</v>
      </c>
      <c r="V18" s="210"/>
      <c r="W18" s="211"/>
      <c r="X18" s="224" t="s">
        <v>42</v>
      </c>
      <c r="Y18" s="229" t="s">
        <v>43</v>
      </c>
      <c r="Z18" s="117" t="s">
        <v>44</v>
      </c>
      <c r="AA18" s="182" t="s">
        <v>45</v>
      </c>
      <c r="AB18" s="8"/>
    </row>
    <row r="19" spans="1:28" s="7" customFormat="1" ht="15.75" thickTop="1">
      <c r="A19" s="6"/>
      <c r="B19" s="65"/>
      <c r="C19" s="422"/>
      <c r="D19" s="476"/>
      <c r="E19" s="476"/>
      <c r="F19" s="423"/>
      <c r="G19" s="430"/>
      <c r="H19" s="431"/>
      <c r="I19" s="185"/>
      <c r="J19" s="436"/>
      <c r="K19" s="436"/>
      <c r="L19" s="9"/>
      <c r="M19" s="9"/>
      <c r="N19" s="423"/>
      <c r="O19" s="426"/>
      <c r="P19" s="187"/>
      <c r="Q19" s="192"/>
      <c r="R19" s="199"/>
      <c r="S19" s="205"/>
      <c r="T19" s="206"/>
      <c r="U19" s="212"/>
      <c r="V19" s="216"/>
      <c r="W19" s="220"/>
      <c r="X19" s="225"/>
      <c r="Y19" s="230"/>
      <c r="Z19" s="442"/>
      <c r="AA19" s="183"/>
      <c r="AB19" s="8"/>
    </row>
    <row r="20" spans="1:28" s="7" customFormat="1" ht="15">
      <c r="A20" s="6"/>
      <c r="B20" s="65"/>
      <c r="C20" s="424"/>
      <c r="D20" s="425"/>
      <c r="E20" s="425"/>
      <c r="F20" s="425"/>
      <c r="G20" s="424"/>
      <c r="H20" s="424"/>
      <c r="I20" s="174"/>
      <c r="J20" s="424"/>
      <c r="K20" s="432"/>
      <c r="L20" s="11"/>
      <c r="M20" s="11"/>
      <c r="N20" s="425"/>
      <c r="O20" s="424"/>
      <c r="P20" s="188"/>
      <c r="Q20" s="193"/>
      <c r="R20" s="199"/>
      <c r="S20" s="205"/>
      <c r="T20" s="206"/>
      <c r="U20" s="213"/>
      <c r="V20" s="217"/>
      <c r="W20" s="221"/>
      <c r="X20" s="226"/>
      <c r="Y20" s="231"/>
      <c r="Z20" s="443"/>
      <c r="AA20" s="104"/>
      <c r="AB20" s="8"/>
    </row>
    <row r="21" spans="1:28" s="7" customFormat="1" ht="15">
      <c r="A21" s="6"/>
      <c r="B21" s="65"/>
      <c r="C21" s="426">
        <v>1</v>
      </c>
      <c r="D21" s="423">
        <v>254985</v>
      </c>
      <c r="E21" s="423">
        <v>4691</v>
      </c>
      <c r="F21" s="427" t="s">
        <v>183</v>
      </c>
      <c r="G21" s="432">
        <v>132</v>
      </c>
      <c r="H21" s="433">
        <v>102</v>
      </c>
      <c r="I21" s="175">
        <f aca="true" t="shared" si="0" ref="I21:I36">$G$16/100*IF(H21&gt;25,H21,25)</f>
        <v>210.38928</v>
      </c>
      <c r="J21" s="437">
        <v>41246.65069444444</v>
      </c>
      <c r="K21" s="437">
        <v>41246.654861111114</v>
      </c>
      <c r="L21" s="12">
        <f aca="true" t="shared" si="1" ref="L21:L36">IF(F21="","",(K21-J21)*24)</f>
        <v>0.10000000015133992</v>
      </c>
      <c r="M21" s="13">
        <f aca="true" t="shared" si="2" ref="M21:M36">IF(F21="","",ROUND((K21-J21)*24*60,0))</f>
        <v>6</v>
      </c>
      <c r="N21" s="439" t="s">
        <v>184</v>
      </c>
      <c r="O21" s="440" t="str">
        <f aca="true" t="shared" si="3" ref="O21:O36">IF(F21="","","--")</f>
        <v>--</v>
      </c>
      <c r="P21" s="189" t="str">
        <f aca="true" t="shared" si="4" ref="P21:P36">IF(N21="P",ROUND(M21/60,2)*I21*$L$16*0.01,"--")</f>
        <v>--</v>
      </c>
      <c r="Q21" s="194" t="str">
        <f aca="true" t="shared" si="5" ref="Q21:Q36">IF(N21="RP",I21*O21*ROUND(L21/60,2)*0.01*M21/100,"--")</f>
        <v>--</v>
      </c>
      <c r="R21" s="199">
        <f aca="true" t="shared" si="6" ref="R21:R36">IF(N21="F",I21*$L$16,"--")</f>
        <v>6311.678400000001</v>
      </c>
      <c r="S21" s="200" t="str">
        <f aca="true" t="shared" si="7" ref="S21:S36">IF(AND(M21&gt;10,N21="F"),I21*$L$16*IF(M21&gt;180,3,ROUND((M21)/60,2)),"--")</f>
        <v>--</v>
      </c>
      <c r="T21" s="201" t="str">
        <f aca="true" t="shared" si="8" ref="T21:T36">IF(AND(M21&gt;180,N21="F"),(ROUND(M21/60,2)-3)*I21*$L$16*0.1,"--")</f>
        <v>--</v>
      </c>
      <c r="U21" s="214" t="str">
        <f aca="true" t="shared" si="9" ref="U21:U36">IF(N21="R",I21*$L$16*O21/100,"--")</f>
        <v>--</v>
      </c>
      <c r="V21" s="218" t="str">
        <f aca="true" t="shared" si="10" ref="V21:V36">IF(AND(M21&gt;10,N21="R"),I21*$L$16*O21/100*IF(M21&gt;180,3,ROUND(M21/60,2)),"--")</f>
        <v>--</v>
      </c>
      <c r="W21" s="222" t="str">
        <f aca="true" t="shared" si="11" ref="W21:W36">IF(AND(M21&gt;180,N21="R"),(ROUND(M21/60,2)-3)*I21*$L$16*0.1*O21/100,"--")</f>
        <v>--</v>
      </c>
      <c r="X21" s="227" t="str">
        <f aca="true" t="shared" si="12" ref="X21:X36">IF(N21="RF",ROUND(M21/60,2)*I21*$L$16*0.1,"--")</f>
        <v>--</v>
      </c>
      <c r="Y21" s="232" t="str">
        <f aca="true" t="shared" si="13" ref="Y21:Y36">IF(N21="RR",ROUND(M21/60,2)*I21*$L$16*0.1*O21/100,"--")</f>
        <v>--</v>
      </c>
      <c r="Z21" s="444" t="s">
        <v>185</v>
      </c>
      <c r="AA21" s="28">
        <f aca="true" t="shared" si="14" ref="AA21:AA36">IF(F21="","",SUM(P21:Y21)*IF(Z21="SI",1,2))</f>
        <v>6311.678400000001</v>
      </c>
      <c r="AB21" s="286"/>
    </row>
    <row r="22" spans="1:28" s="7" customFormat="1" ht="15">
      <c r="A22" s="6"/>
      <c r="B22" s="65"/>
      <c r="C22" s="426">
        <v>2</v>
      </c>
      <c r="D22" s="423">
        <v>255012</v>
      </c>
      <c r="E22" s="423">
        <v>4895</v>
      </c>
      <c r="F22" s="427" t="s">
        <v>187</v>
      </c>
      <c r="G22" s="432">
        <v>132</v>
      </c>
      <c r="H22" s="433">
        <v>76</v>
      </c>
      <c r="I22" s="175">
        <f t="shared" si="0"/>
        <v>156.76064</v>
      </c>
      <c r="J22" s="437">
        <v>41247.214583333334</v>
      </c>
      <c r="K22" s="437">
        <v>41248.52222222222</v>
      </c>
      <c r="L22" s="12">
        <f t="shared" si="1"/>
        <v>31.38333333330229</v>
      </c>
      <c r="M22" s="13">
        <f t="shared" si="2"/>
        <v>1883</v>
      </c>
      <c r="N22" s="439" t="s">
        <v>184</v>
      </c>
      <c r="O22" s="440" t="str">
        <f t="shared" si="3"/>
        <v>--</v>
      </c>
      <c r="P22" s="189" t="str">
        <f t="shared" si="4"/>
        <v>--</v>
      </c>
      <c r="Q22" s="194" t="str">
        <f t="shared" si="5"/>
        <v>--</v>
      </c>
      <c r="R22" s="199">
        <f t="shared" si="6"/>
        <v>4702.8192</v>
      </c>
      <c r="S22" s="200">
        <f t="shared" si="7"/>
        <v>14108.4576</v>
      </c>
      <c r="T22" s="201">
        <f t="shared" si="8"/>
        <v>13346.600889600002</v>
      </c>
      <c r="U22" s="214" t="str">
        <f t="shared" si="9"/>
        <v>--</v>
      </c>
      <c r="V22" s="218" t="str">
        <f t="shared" si="10"/>
        <v>--</v>
      </c>
      <c r="W22" s="222" t="str">
        <f t="shared" si="11"/>
        <v>--</v>
      </c>
      <c r="X22" s="227" t="str">
        <f t="shared" si="12"/>
        <v>--</v>
      </c>
      <c r="Y22" s="232" t="str">
        <f t="shared" si="13"/>
        <v>--</v>
      </c>
      <c r="Z22" s="444" t="s">
        <v>185</v>
      </c>
      <c r="AA22" s="28">
        <f t="shared" si="14"/>
        <v>32157.8776896</v>
      </c>
      <c r="AB22" s="286"/>
    </row>
    <row r="23" spans="1:28" s="7" customFormat="1" ht="15">
      <c r="A23" s="6"/>
      <c r="B23" s="65"/>
      <c r="C23" s="426">
        <v>3</v>
      </c>
      <c r="D23" s="423">
        <v>255035</v>
      </c>
      <c r="E23" s="423">
        <v>3566</v>
      </c>
      <c r="F23" s="427" t="s">
        <v>188</v>
      </c>
      <c r="G23" s="432">
        <v>132</v>
      </c>
      <c r="H23" s="433">
        <v>7</v>
      </c>
      <c r="I23" s="175">
        <f t="shared" si="0"/>
        <v>51.566</v>
      </c>
      <c r="J23" s="437">
        <v>41247.75763888889</v>
      </c>
      <c r="K23" s="437">
        <v>41247.79375</v>
      </c>
      <c r="L23" s="12">
        <f t="shared" si="1"/>
        <v>0.8666666665230878</v>
      </c>
      <c r="M23" s="13">
        <f t="shared" si="2"/>
        <v>52</v>
      </c>
      <c r="N23" s="439" t="s">
        <v>184</v>
      </c>
      <c r="O23" s="440" t="str">
        <f t="shared" si="3"/>
        <v>--</v>
      </c>
      <c r="P23" s="189" t="str">
        <f t="shared" si="4"/>
        <v>--</v>
      </c>
      <c r="Q23" s="194" t="str">
        <f t="shared" si="5"/>
        <v>--</v>
      </c>
      <c r="R23" s="199">
        <f t="shared" si="6"/>
        <v>1546.98</v>
      </c>
      <c r="S23" s="200">
        <f t="shared" si="7"/>
        <v>1345.8726</v>
      </c>
      <c r="T23" s="201" t="str">
        <f t="shared" si="8"/>
        <v>--</v>
      </c>
      <c r="U23" s="214" t="str">
        <f t="shared" si="9"/>
        <v>--</v>
      </c>
      <c r="V23" s="218" t="str">
        <f t="shared" si="10"/>
        <v>--</v>
      </c>
      <c r="W23" s="222" t="str">
        <f t="shared" si="11"/>
        <v>--</v>
      </c>
      <c r="X23" s="227" t="str">
        <f t="shared" si="12"/>
        <v>--</v>
      </c>
      <c r="Y23" s="232" t="str">
        <f t="shared" si="13"/>
        <v>--</v>
      </c>
      <c r="Z23" s="444" t="s">
        <v>185</v>
      </c>
      <c r="AA23" s="28">
        <f t="shared" si="14"/>
        <v>2892.8526</v>
      </c>
      <c r="AB23" s="286"/>
    </row>
    <row r="24" spans="1:28" s="7" customFormat="1" ht="15">
      <c r="A24" s="6"/>
      <c r="B24" s="65"/>
      <c r="C24" s="426">
        <v>4</v>
      </c>
      <c r="D24" s="423">
        <v>255036</v>
      </c>
      <c r="E24" s="423">
        <v>4249</v>
      </c>
      <c r="F24" s="427" t="s">
        <v>189</v>
      </c>
      <c r="G24" s="432">
        <v>132</v>
      </c>
      <c r="H24" s="433">
        <v>60</v>
      </c>
      <c r="I24" s="175">
        <f t="shared" si="0"/>
        <v>123.7584</v>
      </c>
      <c r="J24" s="437">
        <v>41247.75763888889</v>
      </c>
      <c r="K24" s="437">
        <v>41247.79583333333</v>
      </c>
      <c r="L24" s="12">
        <f t="shared" si="1"/>
        <v>0.9166666665114462</v>
      </c>
      <c r="M24" s="13">
        <f t="shared" si="2"/>
        <v>55</v>
      </c>
      <c r="N24" s="439" t="s">
        <v>184</v>
      </c>
      <c r="O24" s="440" t="str">
        <f t="shared" si="3"/>
        <v>--</v>
      </c>
      <c r="P24" s="189" t="str">
        <f t="shared" si="4"/>
        <v>--</v>
      </c>
      <c r="Q24" s="194" t="str">
        <f t="shared" si="5"/>
        <v>--</v>
      </c>
      <c r="R24" s="199">
        <f t="shared" si="6"/>
        <v>3712.752</v>
      </c>
      <c r="S24" s="200">
        <f t="shared" si="7"/>
        <v>3415.73184</v>
      </c>
      <c r="T24" s="201" t="str">
        <f t="shared" si="8"/>
        <v>--</v>
      </c>
      <c r="U24" s="214" t="str">
        <f t="shared" si="9"/>
        <v>--</v>
      </c>
      <c r="V24" s="218" t="str">
        <f t="shared" si="10"/>
        <v>--</v>
      </c>
      <c r="W24" s="222" t="str">
        <f t="shared" si="11"/>
        <v>--</v>
      </c>
      <c r="X24" s="227" t="str">
        <f t="shared" si="12"/>
        <v>--</v>
      </c>
      <c r="Y24" s="232" t="str">
        <f t="shared" si="13"/>
        <v>--</v>
      </c>
      <c r="Z24" s="444" t="s">
        <v>185</v>
      </c>
      <c r="AA24" s="28">
        <f t="shared" si="14"/>
        <v>7128.48384</v>
      </c>
      <c r="AB24" s="8"/>
    </row>
    <row r="25" spans="1:28" s="7" customFormat="1" ht="15">
      <c r="A25" s="6"/>
      <c r="B25" s="65"/>
      <c r="C25" s="426">
        <v>5</v>
      </c>
      <c r="D25" s="423">
        <v>255041</v>
      </c>
      <c r="E25" s="423">
        <v>278</v>
      </c>
      <c r="F25" s="427" t="s">
        <v>190</v>
      </c>
      <c r="G25" s="432">
        <v>132</v>
      </c>
      <c r="H25" s="433">
        <v>4.400000095367432</v>
      </c>
      <c r="I25" s="175">
        <f t="shared" si="0"/>
        <v>51.566</v>
      </c>
      <c r="J25" s="437">
        <v>41248.42847222222</v>
      </c>
      <c r="K25" s="437">
        <v>41248.59375</v>
      </c>
      <c r="L25" s="12">
        <f t="shared" si="1"/>
        <v>3.9666666666744277</v>
      </c>
      <c r="M25" s="13">
        <f t="shared" si="2"/>
        <v>238</v>
      </c>
      <c r="N25" s="439" t="s">
        <v>191</v>
      </c>
      <c r="O25" s="440" t="str">
        <f t="shared" si="3"/>
        <v>--</v>
      </c>
      <c r="P25" s="189">
        <f t="shared" si="4"/>
        <v>61.41510600000001</v>
      </c>
      <c r="Q25" s="194" t="str">
        <f t="shared" si="5"/>
        <v>--</v>
      </c>
      <c r="R25" s="199" t="str">
        <f t="shared" si="6"/>
        <v>--</v>
      </c>
      <c r="S25" s="200" t="str">
        <f t="shared" si="7"/>
        <v>--</v>
      </c>
      <c r="T25" s="201" t="str">
        <f t="shared" si="8"/>
        <v>--</v>
      </c>
      <c r="U25" s="214" t="str">
        <f t="shared" si="9"/>
        <v>--</v>
      </c>
      <c r="V25" s="218" t="str">
        <f t="shared" si="10"/>
        <v>--</v>
      </c>
      <c r="W25" s="222" t="str">
        <f t="shared" si="11"/>
        <v>--</v>
      </c>
      <c r="X25" s="227" t="str">
        <f t="shared" si="12"/>
        <v>--</v>
      </c>
      <c r="Y25" s="232" t="str">
        <f t="shared" si="13"/>
        <v>--</v>
      </c>
      <c r="Z25" s="444" t="s">
        <v>185</v>
      </c>
      <c r="AA25" s="28">
        <f t="shared" si="14"/>
        <v>61.41510600000001</v>
      </c>
      <c r="AB25" s="8"/>
    </row>
    <row r="26" spans="1:28" s="7" customFormat="1" ht="15">
      <c r="A26" s="6"/>
      <c r="B26" s="65"/>
      <c r="C26" s="426">
        <v>6</v>
      </c>
      <c r="D26" s="423">
        <v>255042</v>
      </c>
      <c r="E26" s="423">
        <v>278</v>
      </c>
      <c r="F26" s="427" t="s">
        <v>190</v>
      </c>
      <c r="G26" s="432">
        <v>132</v>
      </c>
      <c r="H26" s="433">
        <v>4.400000095367432</v>
      </c>
      <c r="I26" s="175">
        <f t="shared" si="0"/>
        <v>51.566</v>
      </c>
      <c r="J26" s="437">
        <v>41249.3375</v>
      </c>
      <c r="K26" s="437">
        <v>41249.57986111111</v>
      </c>
      <c r="L26" s="12">
        <f t="shared" si="1"/>
        <v>5.816666666592937</v>
      </c>
      <c r="M26" s="13">
        <f t="shared" si="2"/>
        <v>349</v>
      </c>
      <c r="N26" s="439" t="s">
        <v>191</v>
      </c>
      <c r="O26" s="440" t="str">
        <f t="shared" si="3"/>
        <v>--</v>
      </c>
      <c r="P26" s="189">
        <f t="shared" si="4"/>
        <v>90.034236</v>
      </c>
      <c r="Q26" s="194" t="str">
        <f t="shared" si="5"/>
        <v>--</v>
      </c>
      <c r="R26" s="199" t="str">
        <f t="shared" si="6"/>
        <v>--</v>
      </c>
      <c r="S26" s="200" t="str">
        <f t="shared" si="7"/>
        <v>--</v>
      </c>
      <c r="T26" s="201" t="str">
        <f t="shared" si="8"/>
        <v>--</v>
      </c>
      <c r="U26" s="214" t="str">
        <f t="shared" si="9"/>
        <v>--</v>
      </c>
      <c r="V26" s="218" t="str">
        <f t="shared" si="10"/>
        <v>--</v>
      </c>
      <c r="W26" s="222" t="str">
        <f t="shared" si="11"/>
        <v>--</v>
      </c>
      <c r="X26" s="227" t="str">
        <f t="shared" si="12"/>
        <v>--</v>
      </c>
      <c r="Y26" s="232" t="str">
        <f t="shared" si="13"/>
        <v>--</v>
      </c>
      <c r="Z26" s="444" t="s">
        <v>185</v>
      </c>
      <c r="AA26" s="28">
        <f t="shared" si="14"/>
        <v>90.034236</v>
      </c>
      <c r="AB26" s="8"/>
    </row>
    <row r="27" spans="1:28" s="7" customFormat="1" ht="15">
      <c r="A27" s="6"/>
      <c r="B27" s="65"/>
      <c r="C27" s="426">
        <v>7</v>
      </c>
      <c r="D27" s="423">
        <v>255045</v>
      </c>
      <c r="E27" s="423">
        <v>297</v>
      </c>
      <c r="F27" s="427" t="s">
        <v>192</v>
      </c>
      <c r="G27" s="432">
        <v>132</v>
      </c>
      <c r="H27" s="433">
        <v>76.5</v>
      </c>
      <c r="I27" s="175">
        <f t="shared" si="0"/>
        <v>157.79196</v>
      </c>
      <c r="J27" s="437">
        <v>41249.745833333334</v>
      </c>
      <c r="K27" s="437">
        <v>41249.76736111111</v>
      </c>
      <c r="L27" s="12">
        <f t="shared" si="1"/>
        <v>0.5166666666045785</v>
      </c>
      <c r="M27" s="13">
        <f t="shared" si="2"/>
        <v>31</v>
      </c>
      <c r="N27" s="439" t="s">
        <v>191</v>
      </c>
      <c r="O27" s="440" t="str">
        <f t="shared" si="3"/>
        <v>--</v>
      </c>
      <c r="P27" s="189">
        <f t="shared" si="4"/>
        <v>24.61554576</v>
      </c>
      <c r="Q27" s="194" t="str">
        <f t="shared" si="5"/>
        <v>--</v>
      </c>
      <c r="R27" s="199" t="str">
        <f t="shared" si="6"/>
        <v>--</v>
      </c>
      <c r="S27" s="200" t="str">
        <f t="shared" si="7"/>
        <v>--</v>
      </c>
      <c r="T27" s="201" t="str">
        <f t="shared" si="8"/>
        <v>--</v>
      </c>
      <c r="U27" s="214" t="str">
        <f t="shared" si="9"/>
        <v>--</v>
      </c>
      <c r="V27" s="218" t="str">
        <f t="shared" si="10"/>
        <v>--</v>
      </c>
      <c r="W27" s="222" t="str">
        <f t="shared" si="11"/>
        <v>--</v>
      </c>
      <c r="X27" s="227" t="str">
        <f t="shared" si="12"/>
        <v>--</v>
      </c>
      <c r="Y27" s="232" t="str">
        <f t="shared" si="13"/>
        <v>--</v>
      </c>
      <c r="Z27" s="444" t="s">
        <v>185</v>
      </c>
      <c r="AA27" s="28">
        <f t="shared" si="14"/>
        <v>24.61554576</v>
      </c>
      <c r="AB27" s="8"/>
    </row>
    <row r="28" spans="1:28" s="7" customFormat="1" ht="15">
      <c r="A28" s="6"/>
      <c r="B28" s="65"/>
      <c r="C28" s="426">
        <v>8</v>
      </c>
      <c r="D28" s="423">
        <v>255051</v>
      </c>
      <c r="E28" s="423">
        <v>311</v>
      </c>
      <c r="F28" s="427" t="s">
        <v>193</v>
      </c>
      <c r="G28" s="432">
        <v>132</v>
      </c>
      <c r="H28" s="433">
        <v>21</v>
      </c>
      <c r="I28" s="175">
        <f t="shared" si="0"/>
        <v>51.566</v>
      </c>
      <c r="J28" s="437">
        <v>41251.375</v>
      </c>
      <c r="K28" s="437">
        <v>41251.513194444444</v>
      </c>
      <c r="L28" s="12">
        <f t="shared" si="1"/>
        <v>3.3166666666511446</v>
      </c>
      <c r="M28" s="13">
        <f t="shared" si="2"/>
        <v>199</v>
      </c>
      <c r="N28" s="439" t="s">
        <v>191</v>
      </c>
      <c r="O28" s="440" t="str">
        <f t="shared" si="3"/>
        <v>--</v>
      </c>
      <c r="P28" s="189">
        <f t="shared" si="4"/>
        <v>51.359736</v>
      </c>
      <c r="Q28" s="194" t="str">
        <f t="shared" si="5"/>
        <v>--</v>
      </c>
      <c r="R28" s="199" t="str">
        <f t="shared" si="6"/>
        <v>--</v>
      </c>
      <c r="S28" s="200" t="str">
        <f t="shared" si="7"/>
        <v>--</v>
      </c>
      <c r="T28" s="201" t="str">
        <f t="shared" si="8"/>
        <v>--</v>
      </c>
      <c r="U28" s="214" t="str">
        <f t="shared" si="9"/>
        <v>--</v>
      </c>
      <c r="V28" s="218" t="str">
        <f t="shared" si="10"/>
        <v>--</v>
      </c>
      <c r="W28" s="222" t="str">
        <f t="shared" si="11"/>
        <v>--</v>
      </c>
      <c r="X28" s="227" t="str">
        <f t="shared" si="12"/>
        <v>--</v>
      </c>
      <c r="Y28" s="232" t="str">
        <f t="shared" si="13"/>
        <v>--</v>
      </c>
      <c r="Z28" s="444" t="s">
        <v>185</v>
      </c>
      <c r="AA28" s="28">
        <f t="shared" si="14"/>
        <v>51.359736</v>
      </c>
      <c r="AB28" s="8"/>
    </row>
    <row r="29" spans="1:28" s="7" customFormat="1" ht="15">
      <c r="A29" s="6"/>
      <c r="B29" s="65"/>
      <c r="C29" s="426">
        <v>9</v>
      </c>
      <c r="D29" s="423">
        <v>255053</v>
      </c>
      <c r="E29" s="423">
        <v>4764</v>
      </c>
      <c r="F29" s="427" t="s">
        <v>194</v>
      </c>
      <c r="G29" s="432">
        <v>132</v>
      </c>
      <c r="H29" s="433">
        <v>133.5</v>
      </c>
      <c r="I29" s="175">
        <f t="shared" si="0"/>
        <v>275.36244</v>
      </c>
      <c r="J29" s="437">
        <v>41252.30902777778</v>
      </c>
      <c r="K29" s="437">
        <v>41252.60902777778</v>
      </c>
      <c r="L29" s="12">
        <f t="shared" si="1"/>
        <v>7.199999999895226</v>
      </c>
      <c r="M29" s="13">
        <f t="shared" si="2"/>
        <v>432</v>
      </c>
      <c r="N29" s="439" t="s">
        <v>191</v>
      </c>
      <c r="O29" s="440" t="str">
        <f t="shared" si="3"/>
        <v>--</v>
      </c>
      <c r="P29" s="189">
        <f t="shared" si="4"/>
        <v>594.7828704000001</v>
      </c>
      <c r="Q29" s="194" t="str">
        <f t="shared" si="5"/>
        <v>--</v>
      </c>
      <c r="R29" s="199" t="str">
        <f t="shared" si="6"/>
        <v>--</v>
      </c>
      <c r="S29" s="200" t="str">
        <f t="shared" si="7"/>
        <v>--</v>
      </c>
      <c r="T29" s="201" t="str">
        <f t="shared" si="8"/>
        <v>--</v>
      </c>
      <c r="U29" s="214" t="str">
        <f t="shared" si="9"/>
        <v>--</v>
      </c>
      <c r="V29" s="218" t="str">
        <f t="shared" si="10"/>
        <v>--</v>
      </c>
      <c r="W29" s="222" t="str">
        <f t="shared" si="11"/>
        <v>--</v>
      </c>
      <c r="X29" s="227" t="str">
        <f t="shared" si="12"/>
        <v>--</v>
      </c>
      <c r="Y29" s="232" t="str">
        <f t="shared" si="13"/>
        <v>--</v>
      </c>
      <c r="Z29" s="444" t="s">
        <v>185</v>
      </c>
      <c r="AA29" s="28">
        <f t="shared" si="14"/>
        <v>594.7828704000001</v>
      </c>
      <c r="AB29" s="8"/>
    </row>
    <row r="30" spans="1:28" s="7" customFormat="1" ht="15">
      <c r="A30" s="6"/>
      <c r="B30" s="65"/>
      <c r="C30" s="426">
        <v>10</v>
      </c>
      <c r="D30" s="423">
        <v>255579</v>
      </c>
      <c r="E30" s="423">
        <v>309</v>
      </c>
      <c r="F30" s="427" t="s">
        <v>195</v>
      </c>
      <c r="G30" s="432">
        <v>132</v>
      </c>
      <c r="H30" s="433">
        <v>7</v>
      </c>
      <c r="I30" s="175">
        <f t="shared" si="0"/>
        <v>51.566</v>
      </c>
      <c r="J30" s="437">
        <v>41253.62847222222</v>
      </c>
      <c r="K30" s="437">
        <v>41253.63888888889</v>
      </c>
      <c r="L30" s="12">
        <f t="shared" si="1"/>
        <v>0.2500000001164153</v>
      </c>
      <c r="M30" s="13">
        <f t="shared" si="2"/>
        <v>15</v>
      </c>
      <c r="N30" s="439" t="s">
        <v>184</v>
      </c>
      <c r="O30" s="440" t="str">
        <f t="shared" si="3"/>
        <v>--</v>
      </c>
      <c r="P30" s="189" t="str">
        <f t="shared" si="4"/>
        <v>--</v>
      </c>
      <c r="Q30" s="194" t="str">
        <f t="shared" si="5"/>
        <v>--</v>
      </c>
      <c r="R30" s="199">
        <f t="shared" si="6"/>
        <v>1546.98</v>
      </c>
      <c r="S30" s="200">
        <f t="shared" si="7"/>
        <v>386.745</v>
      </c>
      <c r="T30" s="201" t="str">
        <f t="shared" si="8"/>
        <v>--</v>
      </c>
      <c r="U30" s="214" t="str">
        <f t="shared" si="9"/>
        <v>--</v>
      </c>
      <c r="V30" s="218" t="str">
        <f t="shared" si="10"/>
        <v>--</v>
      </c>
      <c r="W30" s="222" t="str">
        <f t="shared" si="11"/>
        <v>--</v>
      </c>
      <c r="X30" s="227" t="str">
        <f t="shared" si="12"/>
        <v>--</v>
      </c>
      <c r="Y30" s="232" t="str">
        <f t="shared" si="13"/>
        <v>--</v>
      </c>
      <c r="Z30" s="444" t="s">
        <v>185</v>
      </c>
      <c r="AA30" s="28">
        <f t="shared" si="14"/>
        <v>1933.725</v>
      </c>
      <c r="AB30" s="8"/>
    </row>
    <row r="31" spans="1:28" s="7" customFormat="1" ht="15">
      <c r="A31" s="6"/>
      <c r="B31" s="65"/>
      <c r="C31" s="426">
        <v>11</v>
      </c>
      <c r="D31" s="423">
        <v>255600</v>
      </c>
      <c r="E31" s="423">
        <v>272</v>
      </c>
      <c r="F31" s="427" t="s">
        <v>196</v>
      </c>
      <c r="G31" s="432">
        <v>132</v>
      </c>
      <c r="H31" s="433">
        <v>27.600000381469727</v>
      </c>
      <c r="I31" s="175">
        <f t="shared" si="0"/>
        <v>56.928864786834716</v>
      </c>
      <c r="J31" s="437">
        <v>41255.32847222222</v>
      </c>
      <c r="K31" s="437">
        <v>41255.70347222222</v>
      </c>
      <c r="L31" s="12">
        <f t="shared" si="1"/>
        <v>9</v>
      </c>
      <c r="M31" s="13">
        <f t="shared" si="2"/>
        <v>540</v>
      </c>
      <c r="N31" s="439" t="s">
        <v>191</v>
      </c>
      <c r="O31" s="440" t="str">
        <f t="shared" si="3"/>
        <v>--</v>
      </c>
      <c r="P31" s="189">
        <f t="shared" si="4"/>
        <v>153.70793492445372</v>
      </c>
      <c r="Q31" s="194" t="str">
        <f t="shared" si="5"/>
        <v>--</v>
      </c>
      <c r="R31" s="199" t="str">
        <f t="shared" si="6"/>
        <v>--</v>
      </c>
      <c r="S31" s="200" t="str">
        <f t="shared" si="7"/>
        <v>--</v>
      </c>
      <c r="T31" s="201" t="str">
        <f t="shared" si="8"/>
        <v>--</v>
      </c>
      <c r="U31" s="214" t="str">
        <f t="shared" si="9"/>
        <v>--</v>
      </c>
      <c r="V31" s="218" t="str">
        <f t="shared" si="10"/>
        <v>--</v>
      </c>
      <c r="W31" s="222" t="str">
        <f t="shared" si="11"/>
        <v>--</v>
      </c>
      <c r="X31" s="227" t="str">
        <f t="shared" si="12"/>
        <v>--</v>
      </c>
      <c r="Y31" s="232" t="str">
        <f t="shared" si="13"/>
        <v>--</v>
      </c>
      <c r="Z31" s="444" t="s">
        <v>185</v>
      </c>
      <c r="AA31" s="28">
        <f t="shared" si="14"/>
        <v>153.70793492445372</v>
      </c>
      <c r="AB31" s="8"/>
    </row>
    <row r="32" spans="1:28" s="7" customFormat="1" ht="15">
      <c r="A32" s="6"/>
      <c r="B32" s="65"/>
      <c r="C32" s="426">
        <v>12</v>
      </c>
      <c r="D32" s="423">
        <v>255601</v>
      </c>
      <c r="E32" s="423">
        <v>4811</v>
      </c>
      <c r="F32" s="427" t="s">
        <v>197</v>
      </c>
      <c r="G32" s="432">
        <v>132</v>
      </c>
      <c r="H32" s="433">
        <v>130.39999389648438</v>
      </c>
      <c r="I32" s="175">
        <f t="shared" si="0"/>
        <v>268.96824341064456</v>
      </c>
      <c r="J32" s="437">
        <v>41255.63611111111</v>
      </c>
      <c r="K32" s="437">
        <v>41255.63958333333</v>
      </c>
      <c r="L32" s="12">
        <f t="shared" si="1"/>
        <v>0.08333333325572312</v>
      </c>
      <c r="M32" s="13">
        <f t="shared" si="2"/>
        <v>5</v>
      </c>
      <c r="N32" s="439" t="s">
        <v>184</v>
      </c>
      <c r="O32" s="440" t="str">
        <f t="shared" si="3"/>
        <v>--</v>
      </c>
      <c r="P32" s="189" t="str">
        <f t="shared" si="4"/>
        <v>--</v>
      </c>
      <c r="Q32" s="194" t="str">
        <f t="shared" si="5"/>
        <v>--</v>
      </c>
      <c r="R32" s="199">
        <f t="shared" si="6"/>
        <v>8069.047302319337</v>
      </c>
      <c r="S32" s="200" t="str">
        <f t="shared" si="7"/>
        <v>--</v>
      </c>
      <c r="T32" s="201" t="str">
        <f t="shared" si="8"/>
        <v>--</v>
      </c>
      <c r="U32" s="214" t="str">
        <f t="shared" si="9"/>
        <v>--</v>
      </c>
      <c r="V32" s="218" t="str">
        <f t="shared" si="10"/>
        <v>--</v>
      </c>
      <c r="W32" s="222" t="str">
        <f t="shared" si="11"/>
        <v>--</v>
      </c>
      <c r="X32" s="227" t="str">
        <f t="shared" si="12"/>
        <v>--</v>
      </c>
      <c r="Y32" s="232" t="str">
        <f t="shared" si="13"/>
        <v>--</v>
      </c>
      <c r="Z32" s="444" t="s">
        <v>185</v>
      </c>
      <c r="AA32" s="28">
        <f t="shared" si="14"/>
        <v>8069.047302319337</v>
      </c>
      <c r="AB32" s="8"/>
    </row>
    <row r="33" spans="1:28" s="7" customFormat="1" ht="15">
      <c r="A33" s="6"/>
      <c r="B33" s="65"/>
      <c r="C33" s="426">
        <v>13</v>
      </c>
      <c r="D33" s="423">
        <v>255617</v>
      </c>
      <c r="E33" s="423">
        <v>4803</v>
      </c>
      <c r="F33" s="427" t="s">
        <v>226</v>
      </c>
      <c r="G33" s="432">
        <v>132</v>
      </c>
      <c r="H33" s="433">
        <v>94</v>
      </c>
      <c r="I33" s="175">
        <f t="shared" si="0"/>
        <v>193.88816</v>
      </c>
      <c r="J33" s="437">
        <v>41256.37986111111</v>
      </c>
      <c r="K33" s="437">
        <v>41256.39791666667</v>
      </c>
      <c r="L33" s="12">
        <f t="shared" si="1"/>
        <v>0.4333333333488554</v>
      </c>
      <c r="M33" s="13">
        <f t="shared" si="2"/>
        <v>26</v>
      </c>
      <c r="N33" s="439" t="s">
        <v>184</v>
      </c>
      <c r="O33" s="440" t="str">
        <f t="shared" si="3"/>
        <v>--</v>
      </c>
      <c r="P33" s="189" t="str">
        <f t="shared" si="4"/>
        <v>--</v>
      </c>
      <c r="Q33" s="194" t="str">
        <f t="shared" si="5"/>
        <v>--</v>
      </c>
      <c r="R33" s="199">
        <f t="shared" si="6"/>
        <v>5816.6448</v>
      </c>
      <c r="S33" s="200">
        <f t="shared" si="7"/>
        <v>2501.157264</v>
      </c>
      <c r="T33" s="201" t="str">
        <f t="shared" si="8"/>
        <v>--</v>
      </c>
      <c r="U33" s="214" t="str">
        <f t="shared" si="9"/>
        <v>--</v>
      </c>
      <c r="V33" s="218" t="str">
        <f t="shared" si="10"/>
        <v>--</v>
      </c>
      <c r="W33" s="222" t="str">
        <f t="shared" si="11"/>
        <v>--</v>
      </c>
      <c r="X33" s="227" t="str">
        <f t="shared" si="12"/>
        <v>--</v>
      </c>
      <c r="Y33" s="232" t="str">
        <f t="shared" si="13"/>
        <v>--</v>
      </c>
      <c r="Z33" s="444" t="s">
        <v>185</v>
      </c>
      <c r="AA33" s="28">
        <f t="shared" si="14"/>
        <v>8317.802064</v>
      </c>
      <c r="AB33" s="8"/>
    </row>
    <row r="34" spans="1:28" s="7" customFormat="1" ht="15">
      <c r="A34" s="6"/>
      <c r="B34" s="65"/>
      <c r="C34" s="426">
        <v>14</v>
      </c>
      <c r="D34" s="423">
        <v>255622</v>
      </c>
      <c r="E34" s="423">
        <v>287</v>
      </c>
      <c r="F34" s="427" t="s">
        <v>198</v>
      </c>
      <c r="G34" s="432">
        <v>132</v>
      </c>
      <c r="H34" s="433">
        <v>34.13999938964844</v>
      </c>
      <c r="I34" s="175">
        <f t="shared" si="0"/>
        <v>70.41852834106446</v>
      </c>
      <c r="J34" s="437">
        <v>41256.586805555555</v>
      </c>
      <c r="K34" s="437">
        <v>41256.91736111111</v>
      </c>
      <c r="L34" s="12">
        <f t="shared" si="1"/>
        <v>7.933333333348855</v>
      </c>
      <c r="M34" s="13">
        <f t="shared" si="2"/>
        <v>476</v>
      </c>
      <c r="N34" s="439" t="s">
        <v>184</v>
      </c>
      <c r="O34" s="440" t="str">
        <f t="shared" si="3"/>
        <v>--</v>
      </c>
      <c r="P34" s="189" t="str">
        <f t="shared" si="4"/>
        <v>--</v>
      </c>
      <c r="Q34" s="194" t="str">
        <f t="shared" si="5"/>
        <v>--</v>
      </c>
      <c r="R34" s="199">
        <f t="shared" si="6"/>
        <v>2112.5558502319336</v>
      </c>
      <c r="S34" s="200">
        <f t="shared" si="7"/>
        <v>6337.667550695801</v>
      </c>
      <c r="T34" s="201">
        <f t="shared" si="8"/>
        <v>1041.4900341643431</v>
      </c>
      <c r="U34" s="214" t="str">
        <f t="shared" si="9"/>
        <v>--</v>
      </c>
      <c r="V34" s="218" t="str">
        <f t="shared" si="10"/>
        <v>--</v>
      </c>
      <c r="W34" s="222" t="str">
        <f t="shared" si="11"/>
        <v>--</v>
      </c>
      <c r="X34" s="227" t="str">
        <f t="shared" si="12"/>
        <v>--</v>
      </c>
      <c r="Y34" s="232" t="str">
        <f t="shared" si="13"/>
        <v>--</v>
      </c>
      <c r="Z34" s="444" t="s">
        <v>185</v>
      </c>
      <c r="AA34" s="28">
        <f t="shared" si="14"/>
        <v>9491.713435092077</v>
      </c>
      <c r="AB34" s="8"/>
    </row>
    <row r="35" spans="1:28" s="7" customFormat="1" ht="15">
      <c r="A35" s="6"/>
      <c r="B35" s="65"/>
      <c r="C35" s="426">
        <v>15</v>
      </c>
      <c r="D35" s="423">
        <v>255629</v>
      </c>
      <c r="E35" s="423">
        <v>4570</v>
      </c>
      <c r="F35" s="427" t="s">
        <v>199</v>
      </c>
      <c r="G35" s="432">
        <v>132</v>
      </c>
      <c r="H35" s="433">
        <v>17.100000381469727</v>
      </c>
      <c r="I35" s="175">
        <f t="shared" si="0"/>
        <v>51.566</v>
      </c>
      <c r="J35" s="437">
        <v>41258.104166666664</v>
      </c>
      <c r="K35" s="437">
        <v>41258.33611111111</v>
      </c>
      <c r="L35" s="12">
        <f t="shared" si="1"/>
        <v>5.566666666651145</v>
      </c>
      <c r="M35" s="13">
        <f t="shared" si="2"/>
        <v>334</v>
      </c>
      <c r="N35" s="439" t="s">
        <v>191</v>
      </c>
      <c r="O35" s="440" t="str">
        <f t="shared" si="3"/>
        <v>--</v>
      </c>
      <c r="P35" s="189">
        <f t="shared" si="4"/>
        <v>86.16678599999999</v>
      </c>
      <c r="Q35" s="194" t="str">
        <f t="shared" si="5"/>
        <v>--</v>
      </c>
      <c r="R35" s="199" t="str">
        <f t="shared" si="6"/>
        <v>--</v>
      </c>
      <c r="S35" s="200" t="str">
        <f t="shared" si="7"/>
        <v>--</v>
      </c>
      <c r="T35" s="201" t="str">
        <f t="shared" si="8"/>
        <v>--</v>
      </c>
      <c r="U35" s="214" t="str">
        <f t="shared" si="9"/>
        <v>--</v>
      </c>
      <c r="V35" s="218" t="str">
        <f t="shared" si="10"/>
        <v>--</v>
      </c>
      <c r="W35" s="222" t="str">
        <f t="shared" si="11"/>
        <v>--</v>
      </c>
      <c r="X35" s="227" t="str">
        <f t="shared" si="12"/>
        <v>--</v>
      </c>
      <c r="Y35" s="232" t="str">
        <f t="shared" si="13"/>
        <v>--</v>
      </c>
      <c r="Z35" s="444" t="s">
        <v>185</v>
      </c>
      <c r="AA35" s="28">
        <f t="shared" si="14"/>
        <v>86.16678599999999</v>
      </c>
      <c r="AB35" s="8"/>
    </row>
    <row r="36" spans="1:28" s="7" customFormat="1" ht="15">
      <c r="A36" s="6"/>
      <c r="B36" s="65"/>
      <c r="C36" s="426"/>
      <c r="D36" s="423"/>
      <c r="E36" s="423"/>
      <c r="F36" s="427"/>
      <c r="G36" s="432"/>
      <c r="H36" s="433"/>
      <c r="I36" s="175">
        <f t="shared" si="0"/>
        <v>51.566</v>
      </c>
      <c r="J36" s="437"/>
      <c r="K36" s="437"/>
      <c r="L36" s="12">
        <f t="shared" si="1"/>
      </c>
      <c r="M36" s="13">
        <f t="shared" si="2"/>
      </c>
      <c r="N36" s="439"/>
      <c r="O36" s="440">
        <f t="shared" si="3"/>
      </c>
      <c r="P36" s="189" t="str">
        <f t="shared" si="4"/>
        <v>--</v>
      </c>
      <c r="Q36" s="194" t="str">
        <f t="shared" si="5"/>
        <v>--</v>
      </c>
      <c r="R36" s="199" t="str">
        <f t="shared" si="6"/>
        <v>--</v>
      </c>
      <c r="S36" s="200" t="str">
        <f t="shared" si="7"/>
        <v>--</v>
      </c>
      <c r="T36" s="201" t="str">
        <f t="shared" si="8"/>
        <v>--</v>
      </c>
      <c r="U36" s="214" t="str">
        <f t="shared" si="9"/>
        <v>--</v>
      </c>
      <c r="V36" s="218" t="str">
        <f t="shared" si="10"/>
        <v>--</v>
      </c>
      <c r="W36" s="222" t="str">
        <f t="shared" si="11"/>
        <v>--</v>
      </c>
      <c r="X36" s="227" t="str">
        <f t="shared" si="12"/>
        <v>--</v>
      </c>
      <c r="Y36" s="232" t="str">
        <f t="shared" si="13"/>
        <v>--</v>
      </c>
      <c r="Z36" s="444">
        <f>IF(F36="","","SI")</f>
      </c>
      <c r="AA36" s="28">
        <f t="shared" si="14"/>
      </c>
      <c r="AB36" s="8"/>
    </row>
    <row r="37" spans="1:28" s="7" customFormat="1" ht="15.75" thickBot="1">
      <c r="A37" s="6"/>
      <c r="B37" s="65"/>
      <c r="C37" s="428"/>
      <c r="D37" s="428"/>
      <c r="E37" s="428"/>
      <c r="F37" s="429"/>
      <c r="G37" s="434"/>
      <c r="H37" s="435"/>
      <c r="I37" s="176"/>
      <c r="J37" s="438"/>
      <c r="K37" s="438"/>
      <c r="L37" s="15"/>
      <c r="M37" s="15"/>
      <c r="N37" s="438"/>
      <c r="O37" s="441"/>
      <c r="P37" s="190"/>
      <c r="Q37" s="195"/>
      <c r="R37" s="202"/>
      <c r="S37" s="203"/>
      <c r="T37" s="204"/>
      <c r="U37" s="215"/>
      <c r="V37" s="219"/>
      <c r="W37" s="223"/>
      <c r="X37" s="228"/>
      <c r="Y37" s="233"/>
      <c r="Z37" s="445"/>
      <c r="AA37" s="105"/>
      <c r="AB37" s="8"/>
    </row>
    <row r="38" spans="1:28" s="7" customFormat="1" ht="17.25" thickBot="1" thickTop="1">
      <c r="A38" s="6"/>
      <c r="B38" s="65"/>
      <c r="C38" s="517" t="s">
        <v>232</v>
      </c>
      <c r="D38" s="516" t="s">
        <v>231</v>
      </c>
      <c r="E38" s="165"/>
      <c r="F38" s="164"/>
      <c r="G38" s="6"/>
      <c r="H38" s="6"/>
      <c r="I38" s="6"/>
      <c r="J38" s="6"/>
      <c r="K38" s="6"/>
      <c r="L38" s="6"/>
      <c r="M38" s="6"/>
      <c r="N38" s="6"/>
      <c r="O38" s="6"/>
      <c r="P38" s="207">
        <f aca="true" t="shared" si="15" ref="P38:Y38">SUM(P19:P37)</f>
        <v>1062.0822150844538</v>
      </c>
      <c r="Q38" s="208">
        <f t="shared" si="15"/>
        <v>0</v>
      </c>
      <c r="R38" s="234">
        <f t="shared" si="15"/>
        <v>33819.45755255127</v>
      </c>
      <c r="S38" s="234">
        <f t="shared" si="15"/>
        <v>28095.631854695803</v>
      </c>
      <c r="T38" s="234">
        <f t="shared" si="15"/>
        <v>14388.090923764345</v>
      </c>
      <c r="U38" s="235">
        <f t="shared" si="15"/>
        <v>0</v>
      </c>
      <c r="V38" s="235">
        <f t="shared" si="15"/>
        <v>0</v>
      </c>
      <c r="W38" s="235">
        <f t="shared" si="15"/>
        <v>0</v>
      </c>
      <c r="X38" s="236">
        <f t="shared" si="15"/>
        <v>0</v>
      </c>
      <c r="Y38" s="237">
        <f t="shared" si="15"/>
        <v>0</v>
      </c>
      <c r="Z38" s="6"/>
      <c r="AA38" s="172">
        <f>ROUND(SUM(AA19:AA37),2)</f>
        <v>77365.26</v>
      </c>
      <c r="AB38" s="8"/>
    </row>
    <row r="39" spans="1:28" s="169" customFormat="1" ht="13.5" thickTop="1">
      <c r="A39" s="167"/>
      <c r="B39" s="168"/>
      <c r="C39" s="165"/>
      <c r="D39" s="165"/>
      <c r="E39" s="165"/>
      <c r="F39" s="166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70"/>
    </row>
    <row r="40" spans="1:28" s="7" customFormat="1" ht="13.5" thickBot="1">
      <c r="A40" s="6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</row>
    <row r="41" spans="1:2" ht="13.5" thickTop="1">
      <c r="A41" s="1"/>
      <c r="B4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4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N44"/>
  <sheetViews>
    <sheetView zoomScale="75" zoomScaleNormal="75" zoomScalePageLayoutView="0" workbookViewId="0" topLeftCell="A1">
      <selection activeCell="N27" sqref="N27"/>
    </sheetView>
  </sheetViews>
  <sheetFormatPr defaultColWidth="11.421875" defaultRowHeight="12.75"/>
  <cols>
    <col min="1" max="1" width="1.7109375" style="0" customWidth="1"/>
    <col min="2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6.8515625" style="0" hidden="1" customWidth="1"/>
    <col min="10" max="11" width="15.7109375" style="0" customWidth="1"/>
    <col min="12" max="14" width="9.7109375" style="0" customWidth="1"/>
    <col min="15" max="15" width="5.28125" style="0" bestFit="1" customWidth="1"/>
    <col min="16" max="17" width="12.28125" style="0" hidden="1" customWidth="1"/>
    <col min="18" max="20" width="8.140625" style="0" hidden="1" customWidth="1"/>
    <col min="21" max="23" width="5.7109375" style="0" hidden="1" customWidth="1"/>
    <col min="24" max="25" width="12.2812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77" t="str">
        <f>+'TOT-1212'!B2</f>
        <v>ANEXO III al Memorándum  D.T.E.E.  N°  261/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78" t="s">
        <v>168</v>
      </c>
      <c r="B4" s="111"/>
      <c r="C4" s="478"/>
      <c r="AB4" s="40"/>
    </row>
    <row r="5" spans="1:28" s="39" customFormat="1" ht="11.25">
      <c r="A5" s="478" t="s">
        <v>169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23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24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25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46" t="str">
        <f>'TOT-1212'!B14</f>
        <v>Desde el 01 al 31 de diciembre de 2012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26</v>
      </c>
      <c r="G16" s="288">
        <v>206.264</v>
      </c>
      <c r="H16" s="184"/>
      <c r="I16" s="6"/>
      <c r="J16"/>
      <c r="K16" s="102" t="s">
        <v>27</v>
      </c>
      <c r="L16" s="103">
        <f>30*'TOT-1212'!B13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81">
        <v>3</v>
      </c>
      <c r="D17" s="481">
        <v>4</v>
      </c>
      <c r="E17" s="481">
        <v>5</v>
      </c>
      <c r="F17" s="481">
        <v>6</v>
      </c>
      <c r="G17" s="481">
        <v>7</v>
      </c>
      <c r="H17" s="481">
        <v>8</v>
      </c>
      <c r="I17" s="481">
        <v>9</v>
      </c>
      <c r="J17" s="481">
        <v>10</v>
      </c>
      <c r="K17" s="481">
        <v>11</v>
      </c>
      <c r="L17" s="481">
        <v>12</v>
      </c>
      <c r="M17" s="481">
        <v>13</v>
      </c>
      <c r="N17" s="481">
        <v>14</v>
      </c>
      <c r="O17" s="481">
        <v>15</v>
      </c>
      <c r="P17" s="481">
        <v>16</v>
      </c>
      <c r="Q17" s="481">
        <v>17</v>
      </c>
      <c r="R17" s="481">
        <v>18</v>
      </c>
      <c r="S17" s="481">
        <v>19</v>
      </c>
      <c r="T17" s="481">
        <v>20</v>
      </c>
      <c r="U17" s="481">
        <v>21</v>
      </c>
      <c r="V17" s="481">
        <v>22</v>
      </c>
      <c r="W17" s="481">
        <v>23</v>
      </c>
      <c r="X17" s="481">
        <v>24</v>
      </c>
      <c r="Y17" s="481">
        <v>25</v>
      </c>
      <c r="Z17" s="481">
        <v>26</v>
      </c>
      <c r="AA17" s="481">
        <v>27</v>
      </c>
      <c r="AB17" s="8"/>
    </row>
    <row r="18" spans="1:28" s="7" customFormat="1" ht="33.75" customHeight="1" thickBot="1" thickTop="1">
      <c r="A18" s="6"/>
      <c r="B18" s="65"/>
      <c r="C18" s="112" t="s">
        <v>28</v>
      </c>
      <c r="D18" s="112" t="s">
        <v>167</v>
      </c>
      <c r="E18" s="112" t="s">
        <v>166</v>
      </c>
      <c r="F18" s="113" t="s">
        <v>3</v>
      </c>
      <c r="G18" s="114" t="s">
        <v>29</v>
      </c>
      <c r="H18" s="115" t="s">
        <v>30</v>
      </c>
      <c r="I18" s="173" t="s">
        <v>31</v>
      </c>
      <c r="J18" s="113" t="s">
        <v>32</v>
      </c>
      <c r="K18" s="113" t="s">
        <v>33</v>
      </c>
      <c r="L18" s="114" t="s">
        <v>34</v>
      </c>
      <c r="M18" s="114" t="s">
        <v>35</v>
      </c>
      <c r="N18" s="116" t="s">
        <v>36</v>
      </c>
      <c r="O18" s="114" t="s">
        <v>37</v>
      </c>
      <c r="P18" s="186" t="s">
        <v>38</v>
      </c>
      <c r="Q18" s="191" t="s">
        <v>39</v>
      </c>
      <c r="R18" s="196" t="s">
        <v>40</v>
      </c>
      <c r="S18" s="197"/>
      <c r="T18" s="198"/>
      <c r="U18" s="209" t="s">
        <v>41</v>
      </c>
      <c r="V18" s="210"/>
      <c r="W18" s="211"/>
      <c r="X18" s="224" t="s">
        <v>42</v>
      </c>
      <c r="Y18" s="229" t="s">
        <v>43</v>
      </c>
      <c r="Z18" s="117" t="s">
        <v>44</v>
      </c>
      <c r="AA18" s="182" t="s">
        <v>45</v>
      </c>
      <c r="AB18" s="8"/>
    </row>
    <row r="19" spans="1:28" s="7" customFormat="1" ht="15.75" thickTop="1">
      <c r="A19" s="6"/>
      <c r="B19" s="65"/>
      <c r="C19" s="422"/>
      <c r="D19" s="476"/>
      <c r="E19" s="476"/>
      <c r="F19" s="423"/>
      <c r="G19" s="430"/>
      <c r="H19" s="431"/>
      <c r="I19" s="185"/>
      <c r="J19" s="436"/>
      <c r="K19" s="436"/>
      <c r="L19" s="9"/>
      <c r="M19" s="9"/>
      <c r="N19" s="423"/>
      <c r="O19" s="426"/>
      <c r="P19" s="187"/>
      <c r="Q19" s="192"/>
      <c r="R19" s="199"/>
      <c r="S19" s="205"/>
      <c r="T19" s="206"/>
      <c r="U19" s="212"/>
      <c r="V19" s="216"/>
      <c r="W19" s="220"/>
      <c r="X19" s="225"/>
      <c r="Y19" s="230"/>
      <c r="Z19" s="442"/>
      <c r="AA19" s="183">
        <f>'LI-12 (1)'!AA38</f>
        <v>77365.26</v>
      </c>
      <c r="AB19" s="8"/>
    </row>
    <row r="20" spans="1:28" s="7" customFormat="1" ht="15">
      <c r="A20" s="6"/>
      <c r="B20" s="65"/>
      <c r="C20" s="424"/>
      <c r="D20" s="425"/>
      <c r="E20" s="425"/>
      <c r="F20" s="425"/>
      <c r="G20" s="424"/>
      <c r="H20" s="424"/>
      <c r="I20" s="174"/>
      <c r="J20" s="424"/>
      <c r="K20" s="432"/>
      <c r="L20" s="11"/>
      <c r="M20" s="11"/>
      <c r="N20" s="425"/>
      <c r="O20" s="424"/>
      <c r="P20" s="188"/>
      <c r="Q20" s="193"/>
      <c r="R20" s="199"/>
      <c r="S20" s="205"/>
      <c r="T20" s="206"/>
      <c r="U20" s="213"/>
      <c r="V20" s="217"/>
      <c r="W20" s="221"/>
      <c r="X20" s="226"/>
      <c r="Y20" s="231"/>
      <c r="Z20" s="443"/>
      <c r="AA20" s="104"/>
      <c r="AB20" s="8"/>
    </row>
    <row r="21" spans="1:28" s="7" customFormat="1" ht="15">
      <c r="A21" s="6"/>
      <c r="B21" s="65"/>
      <c r="C21" s="426">
        <v>16</v>
      </c>
      <c r="D21" s="423">
        <v>255630</v>
      </c>
      <c r="E21" s="423">
        <v>287</v>
      </c>
      <c r="F21" s="427" t="s">
        <v>198</v>
      </c>
      <c r="G21" s="432">
        <v>132</v>
      </c>
      <c r="H21" s="433">
        <v>34.13999938964844</v>
      </c>
      <c r="I21" s="175">
        <f>$G$16/100*IF(H21&gt;25,H21,25)</f>
        <v>70.41852834106446</v>
      </c>
      <c r="J21" s="437">
        <v>41258.10625</v>
      </c>
      <c r="K21" s="437">
        <v>41258.34375</v>
      </c>
      <c r="L21" s="12">
        <f aca="true" t="shared" si="0" ref="L21:L28">IF(F21="","",(K21-J21)*24)</f>
        <v>5.700000000069849</v>
      </c>
      <c r="M21" s="13">
        <f aca="true" t="shared" si="1" ref="M21:M28">IF(F21="","",ROUND((K21-J21)*24*60,0))</f>
        <v>342</v>
      </c>
      <c r="N21" s="439" t="s">
        <v>191</v>
      </c>
      <c r="O21" s="440" t="str">
        <f>IF(F21="","","--")</f>
        <v>--</v>
      </c>
      <c r="P21" s="189">
        <f>IF(N21="P",ROUND(M21/60,2)*I21*$L$16*0.01,"--")</f>
        <v>120.41568346322023</v>
      </c>
      <c r="Q21" s="194" t="str">
        <f>IF(N21="RP",I21*O21*ROUND(L21/60,2)*0.01*M21/100,"--")</f>
        <v>--</v>
      </c>
      <c r="R21" s="199" t="str">
        <f>IF(N21="F",I21*$L$16,"--")</f>
        <v>--</v>
      </c>
      <c r="S21" s="200" t="str">
        <f>IF(AND(M21&gt;10,N21="F"),I21*$L$16*IF(M21&gt;180,3,ROUND((M21)/60,2)),"--")</f>
        <v>--</v>
      </c>
      <c r="T21" s="201" t="str">
        <f>IF(AND(M21&gt;180,N21="F"),(ROUND(M21/60,2)-3)*I21*$L$16*0.1,"--")</f>
        <v>--</v>
      </c>
      <c r="U21" s="214" t="str">
        <f>IF(N21="R",I21*$L$16*O21/100,"--")</f>
        <v>--</v>
      </c>
      <c r="V21" s="218" t="str">
        <f>IF(AND(M21&gt;10,N21="R"),I21*$L$16*O21/100*IF(M21&gt;180,3,ROUND(M21/60,2)),"--")</f>
        <v>--</v>
      </c>
      <c r="W21" s="222" t="str">
        <f>IF(AND(M21&gt;180,N21="R"),(ROUND(M21/60,2)-3)*I21*$L$16*0.1*O21/100,"--")</f>
        <v>--</v>
      </c>
      <c r="X21" s="227" t="str">
        <f>IF(N21="RF",ROUND(M21/60,2)*I21*$L$16*0.1,"--")</f>
        <v>--</v>
      </c>
      <c r="Y21" s="232" t="str">
        <f>IF(N21="RR",ROUND(M21/60,2)*I21*$L$16*0.1*O21/100,"--")</f>
        <v>--</v>
      </c>
      <c r="Z21" s="444" t="s">
        <v>185</v>
      </c>
      <c r="AA21" s="28">
        <f>IF(F21="","",SUM(P21:Y21)*IF(Z21="SI",1,2))</f>
        <v>120.41568346322023</v>
      </c>
      <c r="AB21" s="286"/>
    </row>
    <row r="22" spans="1:28" s="7" customFormat="1" ht="15">
      <c r="A22" s="6"/>
      <c r="B22" s="65"/>
      <c r="C22" s="426">
        <v>17</v>
      </c>
      <c r="D22" s="423">
        <v>255631</v>
      </c>
      <c r="E22" s="423">
        <v>311</v>
      </c>
      <c r="F22" s="427" t="s">
        <v>193</v>
      </c>
      <c r="G22" s="432">
        <v>132</v>
      </c>
      <c r="H22" s="433">
        <v>21</v>
      </c>
      <c r="I22" s="175">
        <f>$G$16/100*IF(H22&gt;25,H22,25)</f>
        <v>51.566</v>
      </c>
      <c r="J22" s="437">
        <v>41258.31458333333</v>
      </c>
      <c r="K22" s="437">
        <v>41258.61944444444</v>
      </c>
      <c r="L22" s="12">
        <f t="shared" si="0"/>
        <v>7.316666666592937</v>
      </c>
      <c r="M22" s="13">
        <f t="shared" si="1"/>
        <v>439</v>
      </c>
      <c r="N22" s="439" t="s">
        <v>191</v>
      </c>
      <c r="O22" s="440" t="str">
        <f>IF(F22="","","--")</f>
        <v>--</v>
      </c>
      <c r="P22" s="189">
        <f>IF(N22="P",ROUND(M22/60,2)*I22*$L$16*0.01,"--")</f>
        <v>113.23893600000001</v>
      </c>
      <c r="Q22" s="194" t="str">
        <f>IF(N22="RP",I22*O22*ROUND(L22/60,2)*0.01*M22/100,"--")</f>
        <v>--</v>
      </c>
      <c r="R22" s="199" t="str">
        <f>IF(N22="F",I22*$L$16,"--")</f>
        <v>--</v>
      </c>
      <c r="S22" s="200" t="str">
        <f>IF(AND(M22&gt;10,N22="F"),I22*$L$16*IF(M22&gt;180,3,ROUND((M22)/60,2)),"--")</f>
        <v>--</v>
      </c>
      <c r="T22" s="201" t="str">
        <f>IF(AND(M22&gt;180,N22="F"),(ROUND(M22/60,2)-3)*I22*$L$16*0.1,"--")</f>
        <v>--</v>
      </c>
      <c r="U22" s="214" t="str">
        <f>IF(N22="R",I22*$L$16*O22/100,"--")</f>
        <v>--</v>
      </c>
      <c r="V22" s="218" t="str">
        <f>IF(AND(M22&gt;10,N22="R"),I22*$L$16*O22/100*IF(M22&gt;180,3,ROUND(M22/60,2)),"--")</f>
        <v>--</v>
      </c>
      <c r="W22" s="222" t="str">
        <f>IF(AND(M22&gt;180,N22="R"),(ROUND(M22/60,2)-3)*I22*$L$16*0.1*O22/100,"--")</f>
        <v>--</v>
      </c>
      <c r="X22" s="227" t="str">
        <f>IF(N22="RF",ROUND(M22/60,2)*I22*$L$16*0.1,"--")</f>
        <v>--</v>
      </c>
      <c r="Y22" s="232" t="str">
        <f>IF(N22="RR",ROUND(M22/60,2)*I22*$L$16*0.1*O22/100,"--")</f>
        <v>--</v>
      </c>
      <c r="Z22" s="444" t="s">
        <v>185</v>
      </c>
      <c r="AA22" s="28">
        <f>IF(F22="","",SUM(P22:Y22)*IF(Z22="SI",1,2))</f>
        <v>113.23893600000001</v>
      </c>
      <c r="AB22" s="286"/>
    </row>
    <row r="23" spans="1:28" s="7" customFormat="1" ht="15">
      <c r="A23" s="6"/>
      <c r="B23" s="65"/>
      <c r="C23" s="426">
        <v>18</v>
      </c>
      <c r="D23" s="423">
        <v>255929</v>
      </c>
      <c r="E23" s="423">
        <v>310</v>
      </c>
      <c r="F23" s="427" t="s">
        <v>200</v>
      </c>
      <c r="G23" s="432">
        <v>132</v>
      </c>
      <c r="H23" s="433">
        <v>3.299999952316284</v>
      </c>
      <c r="I23" s="175">
        <f aca="true" t="shared" si="2" ref="I23:I28">$G$16/100*IF(H23&gt;25,H23,25)</f>
        <v>51.566</v>
      </c>
      <c r="J23" s="437">
        <v>41259.40138888889</v>
      </c>
      <c r="K23" s="437">
        <v>41259.75625</v>
      </c>
      <c r="L23" s="12">
        <f t="shared" si="0"/>
        <v>8.516666666662786</v>
      </c>
      <c r="M23" s="13">
        <f t="shared" si="1"/>
        <v>511</v>
      </c>
      <c r="N23" s="439" t="s">
        <v>191</v>
      </c>
      <c r="O23" s="440" t="str">
        <f aca="true" t="shared" si="3" ref="O23:O28">IF(F23="","","--")</f>
        <v>--</v>
      </c>
      <c r="P23" s="189">
        <f aca="true" t="shared" si="4" ref="P23:P28">IF(N23="P",ROUND(M23/60,2)*I23*$L$16*0.01,"--")</f>
        <v>131.802696</v>
      </c>
      <c r="Q23" s="194" t="str">
        <f aca="true" t="shared" si="5" ref="Q23:Q28">IF(N23="RP",I23*O23*ROUND(L23/60,2)*0.01*M23/100,"--")</f>
        <v>--</v>
      </c>
      <c r="R23" s="199" t="str">
        <f aca="true" t="shared" si="6" ref="R23:R28">IF(N23="F",I23*$L$16,"--")</f>
        <v>--</v>
      </c>
      <c r="S23" s="200" t="str">
        <f aca="true" t="shared" si="7" ref="S23:S28">IF(AND(M23&gt;10,N23="F"),I23*$L$16*IF(M23&gt;180,3,ROUND((M23)/60,2)),"--")</f>
        <v>--</v>
      </c>
      <c r="T23" s="201" t="str">
        <f aca="true" t="shared" si="8" ref="T23:T28">IF(AND(M23&gt;180,N23="F"),(ROUND(M23/60,2)-3)*I23*$L$16*0.1,"--")</f>
        <v>--</v>
      </c>
      <c r="U23" s="214" t="str">
        <f aca="true" t="shared" si="9" ref="U23:U28">IF(N23="R",I23*$L$16*O23/100,"--")</f>
        <v>--</v>
      </c>
      <c r="V23" s="218" t="str">
        <f aca="true" t="shared" si="10" ref="V23:V28">IF(AND(M23&gt;10,N23="R"),I23*$L$16*O23/100*IF(M23&gt;180,3,ROUND(M23/60,2)),"--")</f>
        <v>--</v>
      </c>
      <c r="W23" s="222" t="str">
        <f aca="true" t="shared" si="11" ref="W23:W28">IF(AND(M23&gt;180,N23="R"),(ROUND(M23/60,2)-3)*I23*$L$16*0.1*O23/100,"--")</f>
        <v>--</v>
      </c>
      <c r="X23" s="227" t="str">
        <f aca="true" t="shared" si="12" ref="X23:X28">IF(N23="RF",ROUND(M23/60,2)*I23*$L$16*0.1,"--")</f>
        <v>--</v>
      </c>
      <c r="Y23" s="232" t="str">
        <f aca="true" t="shared" si="13" ref="Y23:Y28">IF(N23="RR",ROUND(M23/60,2)*I23*$L$16*0.1*O23/100,"--")</f>
        <v>--</v>
      </c>
      <c r="Z23" s="444" t="s">
        <v>185</v>
      </c>
      <c r="AA23" s="28">
        <f aca="true" t="shared" si="14" ref="AA23:AA28">IF(F23="","",SUM(P23:Y23)*IF(Z23="SI",1,2))</f>
        <v>131.802696</v>
      </c>
      <c r="AB23" s="286"/>
    </row>
    <row r="24" spans="1:28" s="7" customFormat="1" ht="15">
      <c r="A24" s="6"/>
      <c r="B24" s="65"/>
      <c r="C24" s="426">
        <v>19</v>
      </c>
      <c r="D24" s="423">
        <v>255930</v>
      </c>
      <c r="E24" s="423">
        <v>305</v>
      </c>
      <c r="F24" s="427" t="s">
        <v>201</v>
      </c>
      <c r="G24" s="432">
        <v>132</v>
      </c>
      <c r="H24" s="433">
        <v>31.5</v>
      </c>
      <c r="I24" s="175">
        <f t="shared" si="2"/>
        <v>64.97316000000001</v>
      </c>
      <c r="J24" s="437">
        <v>41259.410416666666</v>
      </c>
      <c r="K24" s="437">
        <v>41259.748611111114</v>
      </c>
      <c r="L24" s="12">
        <f t="shared" si="0"/>
        <v>8.116666666755918</v>
      </c>
      <c r="M24" s="13">
        <f t="shared" si="1"/>
        <v>487</v>
      </c>
      <c r="N24" s="439" t="s">
        <v>191</v>
      </c>
      <c r="O24" s="440" t="str">
        <f t="shared" si="3"/>
        <v>--</v>
      </c>
      <c r="P24" s="189">
        <f t="shared" si="4"/>
        <v>158.27461776</v>
      </c>
      <c r="Q24" s="194" t="str">
        <f t="shared" si="5"/>
        <v>--</v>
      </c>
      <c r="R24" s="199" t="str">
        <f t="shared" si="6"/>
        <v>--</v>
      </c>
      <c r="S24" s="200" t="str">
        <f t="shared" si="7"/>
        <v>--</v>
      </c>
      <c r="T24" s="201" t="str">
        <f t="shared" si="8"/>
        <v>--</v>
      </c>
      <c r="U24" s="214" t="str">
        <f t="shared" si="9"/>
        <v>--</v>
      </c>
      <c r="V24" s="218" t="str">
        <f t="shared" si="10"/>
        <v>--</v>
      </c>
      <c r="W24" s="222" t="str">
        <f t="shared" si="11"/>
        <v>--</v>
      </c>
      <c r="X24" s="227" t="str">
        <f t="shared" si="12"/>
        <v>--</v>
      </c>
      <c r="Y24" s="232" t="str">
        <f t="shared" si="13"/>
        <v>--</v>
      </c>
      <c r="Z24" s="444" t="s">
        <v>185</v>
      </c>
      <c r="AA24" s="28">
        <f t="shared" si="14"/>
        <v>158.27461776</v>
      </c>
      <c r="AB24" s="286"/>
    </row>
    <row r="25" spans="1:28" s="7" customFormat="1" ht="15">
      <c r="A25" s="6"/>
      <c r="B25" s="65"/>
      <c r="C25" s="426">
        <v>20</v>
      </c>
      <c r="D25" s="423">
        <v>255931</v>
      </c>
      <c r="E25" s="423">
        <v>275</v>
      </c>
      <c r="F25" s="427" t="s">
        <v>202</v>
      </c>
      <c r="G25" s="432">
        <v>132</v>
      </c>
      <c r="H25" s="433">
        <v>14.5</v>
      </c>
      <c r="I25" s="175">
        <f t="shared" si="2"/>
        <v>51.566</v>
      </c>
      <c r="J25" s="437">
        <v>41259.41180555556</v>
      </c>
      <c r="K25" s="437">
        <v>41259.80625</v>
      </c>
      <c r="L25" s="12">
        <f t="shared" si="0"/>
        <v>9.46666666661622</v>
      </c>
      <c r="M25" s="13">
        <f t="shared" si="1"/>
        <v>568</v>
      </c>
      <c r="N25" s="439" t="s">
        <v>191</v>
      </c>
      <c r="O25" s="440" t="str">
        <f t="shared" si="3"/>
        <v>--</v>
      </c>
      <c r="P25" s="189">
        <f t="shared" si="4"/>
        <v>146.499006</v>
      </c>
      <c r="Q25" s="194" t="str">
        <f t="shared" si="5"/>
        <v>--</v>
      </c>
      <c r="R25" s="199" t="str">
        <f t="shared" si="6"/>
        <v>--</v>
      </c>
      <c r="S25" s="200" t="str">
        <f t="shared" si="7"/>
        <v>--</v>
      </c>
      <c r="T25" s="201" t="str">
        <f t="shared" si="8"/>
        <v>--</v>
      </c>
      <c r="U25" s="214" t="str">
        <f t="shared" si="9"/>
        <v>--</v>
      </c>
      <c r="V25" s="218" t="str">
        <f t="shared" si="10"/>
        <v>--</v>
      </c>
      <c r="W25" s="222" t="str">
        <f t="shared" si="11"/>
        <v>--</v>
      </c>
      <c r="X25" s="227" t="str">
        <f t="shared" si="12"/>
        <v>--</v>
      </c>
      <c r="Y25" s="232" t="str">
        <f t="shared" si="13"/>
        <v>--</v>
      </c>
      <c r="Z25" s="444" t="s">
        <v>185</v>
      </c>
      <c r="AA25" s="28">
        <f t="shared" si="14"/>
        <v>146.499006</v>
      </c>
      <c r="AB25" s="286"/>
    </row>
    <row r="26" spans="1:28" s="7" customFormat="1" ht="15">
      <c r="A26" s="6"/>
      <c r="B26" s="65"/>
      <c r="C26" s="426">
        <v>21</v>
      </c>
      <c r="D26" s="423">
        <v>255932</v>
      </c>
      <c r="E26" s="423">
        <v>3617</v>
      </c>
      <c r="F26" s="427" t="s">
        <v>186</v>
      </c>
      <c r="G26" s="432">
        <v>132</v>
      </c>
      <c r="H26" s="433">
        <v>72</v>
      </c>
      <c r="I26" s="175">
        <f t="shared" si="2"/>
        <v>148.51008000000002</v>
      </c>
      <c r="J26" s="437">
        <v>41259.80138888889</v>
      </c>
      <c r="K26" s="437">
        <v>41259.83263888889</v>
      </c>
      <c r="L26" s="12">
        <f t="shared" si="0"/>
        <v>0.75</v>
      </c>
      <c r="M26" s="13">
        <f t="shared" si="1"/>
        <v>45</v>
      </c>
      <c r="N26" s="439" t="s">
        <v>184</v>
      </c>
      <c r="O26" s="440" t="str">
        <f t="shared" si="3"/>
        <v>--</v>
      </c>
      <c r="P26" s="189" t="str">
        <f t="shared" si="4"/>
        <v>--</v>
      </c>
      <c r="Q26" s="194" t="str">
        <f t="shared" si="5"/>
        <v>--</v>
      </c>
      <c r="R26" s="199">
        <f t="shared" si="6"/>
        <v>4455.3024000000005</v>
      </c>
      <c r="S26" s="200">
        <f t="shared" si="7"/>
        <v>3341.4768000000004</v>
      </c>
      <c r="T26" s="201" t="str">
        <f t="shared" si="8"/>
        <v>--</v>
      </c>
      <c r="U26" s="214" t="str">
        <f t="shared" si="9"/>
        <v>--</v>
      </c>
      <c r="V26" s="218" t="str">
        <f t="shared" si="10"/>
        <v>--</v>
      </c>
      <c r="W26" s="222" t="str">
        <f t="shared" si="11"/>
        <v>--</v>
      </c>
      <c r="X26" s="227" t="str">
        <f t="shared" si="12"/>
        <v>--</v>
      </c>
      <c r="Y26" s="232" t="str">
        <f t="shared" si="13"/>
        <v>--</v>
      </c>
      <c r="Z26" s="444" t="s">
        <v>185</v>
      </c>
      <c r="AA26" s="28">
        <f t="shared" si="14"/>
        <v>7796.779200000001</v>
      </c>
      <c r="AB26" s="286"/>
    </row>
    <row r="27" spans="1:28" s="7" customFormat="1" ht="15">
      <c r="A27" s="6"/>
      <c r="B27" s="65"/>
      <c r="C27" s="426">
        <v>22</v>
      </c>
      <c r="D27" s="423">
        <v>256307</v>
      </c>
      <c r="E27" s="423">
        <v>5139</v>
      </c>
      <c r="F27" s="427" t="s">
        <v>203</v>
      </c>
      <c r="G27" s="432">
        <v>132</v>
      </c>
      <c r="H27" s="433">
        <v>67.30000305175781</v>
      </c>
      <c r="I27" s="175">
        <f t="shared" si="2"/>
        <v>138.81567829467772</v>
      </c>
      <c r="J27" s="437">
        <v>41263.28958333333</v>
      </c>
      <c r="K27" s="437">
        <v>41263.48263888889</v>
      </c>
      <c r="L27" s="12">
        <f t="shared" si="0"/>
        <v>4.633333333418705</v>
      </c>
      <c r="M27" s="13">
        <f t="shared" si="1"/>
        <v>278</v>
      </c>
      <c r="N27" s="439" t="s">
        <v>184</v>
      </c>
      <c r="O27" s="440" t="str">
        <f t="shared" si="3"/>
        <v>--</v>
      </c>
      <c r="P27" s="189" t="str">
        <f t="shared" si="4"/>
        <v>--</v>
      </c>
      <c r="Q27" s="194" t="str">
        <f t="shared" si="5"/>
        <v>--</v>
      </c>
      <c r="R27" s="199">
        <f t="shared" si="6"/>
        <v>4164.470348840332</v>
      </c>
      <c r="S27" s="200">
        <f t="shared" si="7"/>
        <v>12493.411046520996</v>
      </c>
      <c r="T27" s="201">
        <f t="shared" si="8"/>
        <v>678.808666860974</v>
      </c>
      <c r="U27" s="214" t="str">
        <f t="shared" si="9"/>
        <v>--</v>
      </c>
      <c r="V27" s="218" t="str">
        <f t="shared" si="10"/>
        <v>--</v>
      </c>
      <c r="W27" s="222" t="str">
        <f t="shared" si="11"/>
        <v>--</v>
      </c>
      <c r="X27" s="227" t="str">
        <f t="shared" si="12"/>
        <v>--</v>
      </c>
      <c r="Y27" s="232" t="str">
        <f t="shared" si="13"/>
        <v>--</v>
      </c>
      <c r="Z27" s="444" t="s">
        <v>185</v>
      </c>
      <c r="AA27" s="28">
        <f t="shared" si="14"/>
        <v>17336.690062222304</v>
      </c>
      <c r="AB27" s="286"/>
    </row>
    <row r="28" spans="1:28" s="7" customFormat="1" ht="15">
      <c r="A28" s="6"/>
      <c r="B28" s="65"/>
      <c r="C28" s="426">
        <v>23</v>
      </c>
      <c r="D28" s="423">
        <v>256311</v>
      </c>
      <c r="E28" s="423">
        <v>287</v>
      </c>
      <c r="F28" s="427" t="s">
        <v>198</v>
      </c>
      <c r="G28" s="432">
        <v>132</v>
      </c>
      <c r="H28" s="433">
        <v>34.13999938964844</v>
      </c>
      <c r="I28" s="175">
        <f t="shared" si="2"/>
        <v>70.41852834106446</v>
      </c>
      <c r="J28" s="437">
        <v>41265.29861111111</v>
      </c>
      <c r="K28" s="437">
        <v>41265.52569444444</v>
      </c>
      <c r="L28" s="12">
        <f t="shared" si="0"/>
        <v>5.449999999953434</v>
      </c>
      <c r="M28" s="13">
        <f t="shared" si="1"/>
        <v>327</v>
      </c>
      <c r="N28" s="439" t="s">
        <v>191</v>
      </c>
      <c r="O28" s="440" t="str">
        <f t="shared" si="3"/>
        <v>--</v>
      </c>
      <c r="P28" s="189">
        <f t="shared" si="4"/>
        <v>115.1342938376404</v>
      </c>
      <c r="Q28" s="194" t="str">
        <f t="shared" si="5"/>
        <v>--</v>
      </c>
      <c r="R28" s="199" t="str">
        <f t="shared" si="6"/>
        <v>--</v>
      </c>
      <c r="S28" s="200" t="str">
        <f t="shared" si="7"/>
        <v>--</v>
      </c>
      <c r="T28" s="201" t="str">
        <f t="shared" si="8"/>
        <v>--</v>
      </c>
      <c r="U28" s="214" t="str">
        <f t="shared" si="9"/>
        <v>--</v>
      </c>
      <c r="V28" s="218" t="str">
        <f t="shared" si="10"/>
        <v>--</v>
      </c>
      <c r="W28" s="222" t="str">
        <f t="shared" si="11"/>
        <v>--</v>
      </c>
      <c r="X28" s="227" t="str">
        <f t="shared" si="12"/>
        <v>--</v>
      </c>
      <c r="Y28" s="232" t="str">
        <f t="shared" si="13"/>
        <v>--</v>
      </c>
      <c r="Z28" s="444" t="s">
        <v>185</v>
      </c>
      <c r="AA28" s="28">
        <f t="shared" si="14"/>
        <v>115.1342938376404</v>
      </c>
      <c r="AB28" s="286"/>
    </row>
    <row r="29" spans="1:28" s="7" customFormat="1" ht="15">
      <c r="A29" s="6"/>
      <c r="B29" s="65"/>
      <c r="C29" s="432"/>
      <c r="D29" s="432"/>
      <c r="E29" s="432"/>
      <c r="F29" s="432"/>
      <c r="G29" s="432"/>
      <c r="H29" s="433"/>
      <c r="I29" s="484"/>
      <c r="J29" s="485"/>
      <c r="K29" s="485"/>
      <c r="L29" s="486"/>
      <c r="M29" s="487"/>
      <c r="N29" s="488"/>
      <c r="O29" s="489"/>
      <c r="P29" s="490"/>
      <c r="Q29" s="491"/>
      <c r="R29" s="492"/>
      <c r="S29" s="492"/>
      <c r="T29" s="493"/>
      <c r="U29" s="494"/>
      <c r="V29" s="495"/>
      <c r="W29" s="496"/>
      <c r="X29" s="497"/>
      <c r="Y29" s="498"/>
      <c r="Z29" s="499"/>
      <c r="AA29" s="500"/>
      <c r="AB29" s="286"/>
    </row>
    <row r="30" spans="1:28" s="7" customFormat="1" ht="15">
      <c r="A30" s="6"/>
      <c r="B30" s="65"/>
      <c r="C30" s="432"/>
      <c r="D30" s="432"/>
      <c r="E30" s="432"/>
      <c r="F30" s="432"/>
      <c r="G30" s="432"/>
      <c r="H30" s="433"/>
      <c r="I30" s="484"/>
      <c r="J30" s="485"/>
      <c r="K30" s="485"/>
      <c r="L30" s="486"/>
      <c r="M30" s="487"/>
      <c r="N30" s="488"/>
      <c r="O30" s="489"/>
      <c r="P30" s="490"/>
      <c r="Q30" s="491"/>
      <c r="R30" s="492"/>
      <c r="S30" s="492"/>
      <c r="T30" s="493"/>
      <c r="U30" s="494"/>
      <c r="V30" s="495"/>
      <c r="W30" s="496"/>
      <c r="X30" s="497"/>
      <c r="Y30" s="498"/>
      <c r="Z30" s="499"/>
      <c r="AA30" s="500"/>
      <c r="AB30" s="286"/>
    </row>
    <row r="31" spans="1:28" s="7" customFormat="1" ht="15">
      <c r="A31" s="6"/>
      <c r="B31" s="65"/>
      <c r="C31" s="432"/>
      <c r="D31" s="432"/>
      <c r="E31" s="432"/>
      <c r="F31" s="432"/>
      <c r="G31" s="432"/>
      <c r="H31" s="433"/>
      <c r="I31" s="484"/>
      <c r="J31" s="485"/>
      <c r="K31" s="485"/>
      <c r="L31" s="486"/>
      <c r="M31" s="487"/>
      <c r="N31" s="488"/>
      <c r="O31" s="489"/>
      <c r="P31" s="490"/>
      <c r="Q31" s="491"/>
      <c r="R31" s="492"/>
      <c r="S31" s="492"/>
      <c r="T31" s="493"/>
      <c r="U31" s="494"/>
      <c r="V31" s="495"/>
      <c r="W31" s="496"/>
      <c r="X31" s="497"/>
      <c r="Y31" s="498"/>
      <c r="Z31" s="499"/>
      <c r="AA31" s="500"/>
      <c r="AB31" s="286"/>
    </row>
    <row r="32" spans="1:28" s="7" customFormat="1" ht="15">
      <c r="A32" s="6"/>
      <c r="B32" s="65"/>
      <c r="C32" s="432"/>
      <c r="D32" s="432"/>
      <c r="E32" s="432"/>
      <c r="F32" s="432"/>
      <c r="G32" s="432"/>
      <c r="H32" s="433"/>
      <c r="I32" s="484"/>
      <c r="J32" s="485"/>
      <c r="K32" s="485"/>
      <c r="L32" s="486"/>
      <c r="M32" s="487"/>
      <c r="N32" s="488"/>
      <c r="O32" s="489"/>
      <c r="P32" s="490"/>
      <c r="Q32" s="491"/>
      <c r="R32" s="492"/>
      <c r="S32" s="492"/>
      <c r="T32" s="493"/>
      <c r="U32" s="494"/>
      <c r="V32" s="495"/>
      <c r="W32" s="496"/>
      <c r="X32" s="497"/>
      <c r="Y32" s="498"/>
      <c r="Z32" s="499"/>
      <c r="AA32" s="500"/>
      <c r="AB32" s="286"/>
    </row>
    <row r="33" spans="1:28" s="7" customFormat="1" ht="15">
      <c r="A33" s="6"/>
      <c r="B33" s="65"/>
      <c r="C33" s="432"/>
      <c r="D33" s="432"/>
      <c r="E33" s="432"/>
      <c r="F33" s="432"/>
      <c r="G33" s="432"/>
      <c r="H33" s="433"/>
      <c r="I33" s="484"/>
      <c r="J33" s="485"/>
      <c r="K33" s="485"/>
      <c r="L33" s="486"/>
      <c r="M33" s="487"/>
      <c r="N33" s="488"/>
      <c r="O33" s="489"/>
      <c r="P33" s="490"/>
      <c r="Q33" s="491"/>
      <c r="R33" s="492"/>
      <c r="S33" s="492"/>
      <c r="T33" s="493"/>
      <c r="U33" s="494"/>
      <c r="V33" s="495"/>
      <c r="W33" s="496"/>
      <c r="X33" s="497"/>
      <c r="Y33" s="498"/>
      <c r="Z33" s="499"/>
      <c r="AA33" s="500"/>
      <c r="AB33" s="286"/>
    </row>
    <row r="34" spans="1:28" s="7" customFormat="1" ht="15">
      <c r="A34" s="6"/>
      <c r="B34" s="65"/>
      <c r="C34" s="432"/>
      <c r="D34" s="432"/>
      <c r="E34" s="432"/>
      <c r="F34" s="432"/>
      <c r="G34" s="432"/>
      <c r="H34" s="433"/>
      <c r="I34" s="484"/>
      <c r="J34" s="485"/>
      <c r="K34" s="485"/>
      <c r="L34" s="486"/>
      <c r="M34" s="487"/>
      <c r="N34" s="488"/>
      <c r="O34" s="489"/>
      <c r="P34" s="490"/>
      <c r="Q34" s="491"/>
      <c r="R34" s="492"/>
      <c r="S34" s="492"/>
      <c r="T34" s="493"/>
      <c r="U34" s="494"/>
      <c r="V34" s="495"/>
      <c r="W34" s="496"/>
      <c r="X34" s="497"/>
      <c r="Y34" s="498"/>
      <c r="Z34" s="499"/>
      <c r="AA34" s="500"/>
      <c r="AB34" s="286"/>
    </row>
    <row r="35" spans="1:28" s="7" customFormat="1" ht="15">
      <c r="A35" s="6"/>
      <c r="B35" s="65"/>
      <c r="C35" s="432"/>
      <c r="D35" s="432"/>
      <c r="E35" s="432"/>
      <c r="F35" s="432"/>
      <c r="G35" s="432"/>
      <c r="H35" s="433"/>
      <c r="I35" s="484"/>
      <c r="J35" s="485"/>
      <c r="K35" s="485"/>
      <c r="L35" s="486"/>
      <c r="M35" s="487"/>
      <c r="N35" s="488"/>
      <c r="O35" s="489"/>
      <c r="P35" s="490"/>
      <c r="Q35" s="491"/>
      <c r="R35" s="492"/>
      <c r="S35" s="492"/>
      <c r="T35" s="493"/>
      <c r="U35" s="494"/>
      <c r="V35" s="495"/>
      <c r="W35" s="496"/>
      <c r="X35" s="497"/>
      <c r="Y35" s="498"/>
      <c r="Z35" s="499"/>
      <c r="AA35" s="500"/>
      <c r="AB35" s="286"/>
    </row>
    <row r="36" spans="1:28" s="7" customFormat="1" ht="15">
      <c r="A36" s="6"/>
      <c r="B36" s="65"/>
      <c r="C36" s="432"/>
      <c r="D36" s="432"/>
      <c r="E36" s="432"/>
      <c r="F36" s="432"/>
      <c r="G36" s="432"/>
      <c r="H36" s="433"/>
      <c r="I36" s="484"/>
      <c r="J36" s="485"/>
      <c r="K36" s="485"/>
      <c r="L36" s="486"/>
      <c r="M36" s="487"/>
      <c r="N36" s="488"/>
      <c r="O36" s="489"/>
      <c r="P36" s="490"/>
      <c r="Q36" s="491"/>
      <c r="R36" s="492"/>
      <c r="S36" s="492"/>
      <c r="T36" s="493"/>
      <c r="U36" s="494"/>
      <c r="V36" s="495"/>
      <c r="W36" s="496"/>
      <c r="X36" s="497"/>
      <c r="Y36" s="498"/>
      <c r="Z36" s="499"/>
      <c r="AA36" s="500"/>
      <c r="AB36" s="286"/>
    </row>
    <row r="37" spans="1:28" s="7" customFormat="1" ht="15">
      <c r="A37" s="6"/>
      <c r="B37" s="65"/>
      <c r="C37" s="432"/>
      <c r="D37" s="432"/>
      <c r="E37" s="432"/>
      <c r="F37" s="432"/>
      <c r="G37" s="432"/>
      <c r="H37" s="433"/>
      <c r="I37" s="484"/>
      <c r="J37" s="485"/>
      <c r="K37" s="485"/>
      <c r="L37" s="486"/>
      <c r="M37" s="487"/>
      <c r="N37" s="488"/>
      <c r="O37" s="489"/>
      <c r="P37" s="490"/>
      <c r="Q37" s="491"/>
      <c r="R37" s="492"/>
      <c r="S37" s="492"/>
      <c r="T37" s="493"/>
      <c r="U37" s="494"/>
      <c r="V37" s="495"/>
      <c r="W37" s="496"/>
      <c r="X37" s="497"/>
      <c r="Y37" s="498"/>
      <c r="Z37" s="499"/>
      <c r="AA37" s="500"/>
      <c r="AB37" s="286"/>
    </row>
    <row r="38" spans="1:28" s="7" customFormat="1" ht="15">
      <c r="A38" s="6"/>
      <c r="B38" s="65"/>
      <c r="C38" s="432"/>
      <c r="D38" s="432"/>
      <c r="E38" s="432"/>
      <c r="F38" s="432"/>
      <c r="G38" s="432"/>
      <c r="H38" s="433"/>
      <c r="I38" s="484"/>
      <c r="J38" s="485"/>
      <c r="K38" s="485"/>
      <c r="L38" s="486"/>
      <c r="M38" s="487"/>
      <c r="N38" s="488"/>
      <c r="O38" s="489"/>
      <c r="P38" s="490"/>
      <c r="Q38" s="491"/>
      <c r="R38" s="492"/>
      <c r="S38" s="492"/>
      <c r="T38" s="493"/>
      <c r="U38" s="494"/>
      <c r="V38" s="495"/>
      <c r="W38" s="496"/>
      <c r="X38" s="497"/>
      <c r="Y38" s="498"/>
      <c r="Z38" s="499"/>
      <c r="AA38" s="500"/>
      <c r="AB38" s="286"/>
    </row>
    <row r="39" spans="1:28" s="7" customFormat="1" ht="15">
      <c r="A39" s="6"/>
      <c r="B39" s="65"/>
      <c r="C39" s="432"/>
      <c r="D39" s="432"/>
      <c r="E39" s="432"/>
      <c r="F39" s="432"/>
      <c r="G39" s="432"/>
      <c r="H39" s="433"/>
      <c r="I39" s="484"/>
      <c r="J39" s="485"/>
      <c r="K39" s="485"/>
      <c r="L39" s="486"/>
      <c r="M39" s="487"/>
      <c r="N39" s="488"/>
      <c r="O39" s="489"/>
      <c r="P39" s="490"/>
      <c r="Q39" s="491"/>
      <c r="R39" s="492"/>
      <c r="S39" s="492"/>
      <c r="T39" s="493"/>
      <c r="U39" s="494"/>
      <c r="V39" s="495"/>
      <c r="W39" s="496"/>
      <c r="X39" s="497"/>
      <c r="Y39" s="498"/>
      <c r="Z39" s="499"/>
      <c r="AA39" s="500"/>
      <c r="AB39" s="286"/>
    </row>
    <row r="40" spans="1:28" s="7" customFormat="1" ht="15.75" thickBot="1">
      <c r="A40" s="6"/>
      <c r="B40" s="65"/>
      <c r="C40" s="428"/>
      <c r="D40" s="428"/>
      <c r="E40" s="428"/>
      <c r="F40" s="429"/>
      <c r="G40" s="434"/>
      <c r="H40" s="435"/>
      <c r="I40" s="176"/>
      <c r="J40" s="438"/>
      <c r="K40" s="438"/>
      <c r="L40" s="15"/>
      <c r="M40" s="15"/>
      <c r="N40" s="438"/>
      <c r="O40" s="441"/>
      <c r="P40" s="190"/>
      <c r="Q40" s="195"/>
      <c r="R40" s="202"/>
      <c r="S40" s="203"/>
      <c r="T40" s="204"/>
      <c r="U40" s="215"/>
      <c r="V40" s="219"/>
      <c r="W40" s="223"/>
      <c r="X40" s="228"/>
      <c r="Y40" s="233"/>
      <c r="Z40" s="445"/>
      <c r="AA40" s="105"/>
      <c r="AB40" s="8"/>
    </row>
    <row r="41" spans="1:28" s="7" customFormat="1" ht="17.25" thickBot="1" thickTop="1">
      <c r="A41" s="6"/>
      <c r="B41" s="65"/>
      <c r="C41" s="517" t="s">
        <v>232</v>
      </c>
      <c r="D41" s="516" t="s">
        <v>231</v>
      </c>
      <c r="E41" s="165"/>
      <c r="F41" s="164"/>
      <c r="G41" s="6"/>
      <c r="H41" s="6"/>
      <c r="I41" s="6"/>
      <c r="J41" s="6"/>
      <c r="K41" s="6"/>
      <c r="L41" s="6"/>
      <c r="M41" s="6"/>
      <c r="N41" s="6"/>
      <c r="O41" s="6"/>
      <c r="P41" s="207">
        <f aca="true" t="shared" si="15" ref="P41:Y41">SUM(P19:P40)</f>
        <v>785.3652330608606</v>
      </c>
      <c r="Q41" s="208">
        <f t="shared" si="15"/>
        <v>0</v>
      </c>
      <c r="R41" s="234">
        <f t="shared" si="15"/>
        <v>8619.772748840332</v>
      </c>
      <c r="S41" s="234">
        <f t="shared" si="15"/>
        <v>15834.887846520996</v>
      </c>
      <c r="T41" s="234">
        <f t="shared" si="15"/>
        <v>678.808666860974</v>
      </c>
      <c r="U41" s="235">
        <f t="shared" si="15"/>
        <v>0</v>
      </c>
      <c r="V41" s="235">
        <f t="shared" si="15"/>
        <v>0</v>
      </c>
      <c r="W41" s="235">
        <f t="shared" si="15"/>
        <v>0</v>
      </c>
      <c r="X41" s="236">
        <f t="shared" si="15"/>
        <v>0</v>
      </c>
      <c r="Y41" s="237">
        <f t="shared" si="15"/>
        <v>0</v>
      </c>
      <c r="Z41" s="6"/>
      <c r="AA41" s="172">
        <f>ROUND(SUM(AA19:AA40),2)</f>
        <v>103284.09</v>
      </c>
      <c r="AB41" s="8"/>
    </row>
    <row r="42" spans="1:28" s="169" customFormat="1" ht="13.5" thickTop="1">
      <c r="A42" s="167"/>
      <c r="B42" s="168"/>
      <c r="C42" s="165"/>
      <c r="D42" s="165"/>
      <c r="E42" s="165"/>
      <c r="F42" s="166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70"/>
    </row>
    <row r="43" spans="1:28" s="7" customFormat="1" ht="13.5" thickBot="1">
      <c r="A43" s="6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3"/>
    </row>
    <row r="44" spans="1:2" ht="13.5" thickTop="1">
      <c r="A44" s="1"/>
      <c r="B44" s="1"/>
    </row>
  </sheetData>
  <sheetProtection/>
  <printOptions/>
  <pageMargins left="0.51" right="0.1968503937007874" top="0.7874015748031497" bottom="0.7874015748031497" header="0.5118110236220472" footer="0.5118110236220472"/>
  <pageSetup fitToHeight="1" fitToWidth="1" horizontalDpi="300" verticalDpi="300" orientation="landscape" paperSize="9" scale="73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N41"/>
  <sheetViews>
    <sheetView zoomScale="75" zoomScaleNormal="75" zoomScalePageLayoutView="0" workbookViewId="0" topLeftCell="A1">
      <selection activeCell="N27" sqref="N27"/>
    </sheetView>
  </sheetViews>
  <sheetFormatPr defaultColWidth="11.421875" defaultRowHeight="12.75"/>
  <cols>
    <col min="1" max="1" width="1.421875" style="0" customWidth="1"/>
    <col min="2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77" t="str">
        <f>+'TOT-1212'!B2</f>
        <v>ANEXO III al Memorándum  D.T.E.E.  N°  261/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78" t="s">
        <v>168</v>
      </c>
      <c r="B4" s="111"/>
      <c r="C4" s="478"/>
      <c r="AB4" s="40"/>
    </row>
    <row r="5" spans="1:28" s="39" customFormat="1" ht="11.25">
      <c r="A5" s="478" t="s">
        <v>169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23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24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25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46" t="str">
        <f>'TOT-1212'!B14</f>
        <v>Desde el 01 al 31 de diciembre de 2012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26</v>
      </c>
      <c r="G16" s="288">
        <v>206.264</v>
      </c>
      <c r="H16" s="184"/>
      <c r="I16" s="6"/>
      <c r="J16"/>
      <c r="K16" s="102" t="s">
        <v>27</v>
      </c>
      <c r="L16" s="103">
        <f>30*'TOT-1212'!B13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81">
        <v>3</v>
      </c>
      <c r="D17" s="481">
        <v>4</v>
      </c>
      <c r="E17" s="481">
        <v>5</v>
      </c>
      <c r="F17" s="481">
        <v>6</v>
      </c>
      <c r="G17" s="481">
        <v>7</v>
      </c>
      <c r="H17" s="481">
        <v>8</v>
      </c>
      <c r="I17" s="481">
        <v>9</v>
      </c>
      <c r="J17" s="481">
        <v>10</v>
      </c>
      <c r="K17" s="481">
        <v>11</v>
      </c>
      <c r="L17" s="481">
        <v>12</v>
      </c>
      <c r="M17" s="481">
        <v>13</v>
      </c>
      <c r="N17" s="481">
        <v>14</v>
      </c>
      <c r="O17" s="481">
        <v>15</v>
      </c>
      <c r="P17" s="481">
        <v>16</v>
      </c>
      <c r="Q17" s="481">
        <v>17</v>
      </c>
      <c r="R17" s="481">
        <v>18</v>
      </c>
      <c r="S17" s="481">
        <v>19</v>
      </c>
      <c r="T17" s="481">
        <v>20</v>
      </c>
      <c r="U17" s="481">
        <v>21</v>
      </c>
      <c r="V17" s="481">
        <v>22</v>
      </c>
      <c r="W17" s="481">
        <v>23</v>
      </c>
      <c r="X17" s="481">
        <v>24</v>
      </c>
      <c r="Y17" s="481">
        <v>25</v>
      </c>
      <c r="Z17" s="481">
        <v>26</v>
      </c>
      <c r="AA17" s="481">
        <v>27</v>
      </c>
      <c r="AB17" s="8"/>
    </row>
    <row r="18" spans="1:28" s="7" customFormat="1" ht="33.75" customHeight="1" thickBot="1" thickTop="1">
      <c r="A18" s="6"/>
      <c r="B18" s="65"/>
      <c r="C18" s="112" t="s">
        <v>28</v>
      </c>
      <c r="D18" s="112" t="s">
        <v>167</v>
      </c>
      <c r="E18" s="112" t="s">
        <v>166</v>
      </c>
      <c r="F18" s="113" t="s">
        <v>3</v>
      </c>
      <c r="G18" s="114" t="s">
        <v>29</v>
      </c>
      <c r="H18" s="115" t="s">
        <v>30</v>
      </c>
      <c r="I18" s="173" t="s">
        <v>31</v>
      </c>
      <c r="J18" s="113" t="s">
        <v>32</v>
      </c>
      <c r="K18" s="113" t="s">
        <v>33</v>
      </c>
      <c r="L18" s="114" t="s">
        <v>34</v>
      </c>
      <c r="M18" s="114" t="s">
        <v>35</v>
      </c>
      <c r="N18" s="116" t="s">
        <v>36</v>
      </c>
      <c r="O18" s="114" t="s">
        <v>37</v>
      </c>
      <c r="P18" s="186" t="s">
        <v>38</v>
      </c>
      <c r="Q18" s="191" t="s">
        <v>39</v>
      </c>
      <c r="R18" s="196" t="s">
        <v>40</v>
      </c>
      <c r="S18" s="197"/>
      <c r="T18" s="198"/>
      <c r="U18" s="209" t="s">
        <v>41</v>
      </c>
      <c r="V18" s="210"/>
      <c r="W18" s="211"/>
      <c r="X18" s="224" t="s">
        <v>42</v>
      </c>
      <c r="Y18" s="229" t="s">
        <v>43</v>
      </c>
      <c r="Z18" s="117" t="s">
        <v>44</v>
      </c>
      <c r="AA18" s="182" t="s">
        <v>45</v>
      </c>
      <c r="AB18" s="8"/>
    </row>
    <row r="19" spans="1:28" s="7" customFormat="1" ht="15.75" thickTop="1">
      <c r="A19" s="6"/>
      <c r="B19" s="65"/>
      <c r="C19" s="422"/>
      <c r="D19" s="476"/>
      <c r="E19" s="476"/>
      <c r="F19" s="423"/>
      <c r="G19" s="430"/>
      <c r="H19" s="431"/>
      <c r="I19" s="185"/>
      <c r="J19" s="436"/>
      <c r="K19" s="436"/>
      <c r="L19" s="9"/>
      <c r="M19" s="9"/>
      <c r="N19" s="423"/>
      <c r="O19" s="426"/>
      <c r="P19" s="187"/>
      <c r="Q19" s="192"/>
      <c r="R19" s="199"/>
      <c r="S19" s="205"/>
      <c r="T19" s="206"/>
      <c r="U19" s="212"/>
      <c r="V19" s="216"/>
      <c r="W19" s="220"/>
      <c r="X19" s="225"/>
      <c r="Y19" s="230"/>
      <c r="Z19" s="442"/>
      <c r="AA19" s="183">
        <f>'LI-12 (2)'!AA41</f>
        <v>103284.09</v>
      </c>
      <c r="AB19" s="8"/>
    </row>
    <row r="20" spans="1:28" s="7" customFormat="1" ht="15">
      <c r="A20" s="6"/>
      <c r="B20" s="65"/>
      <c r="C20" s="424"/>
      <c r="D20" s="425"/>
      <c r="E20" s="425"/>
      <c r="F20" s="425"/>
      <c r="G20" s="424"/>
      <c r="H20" s="424"/>
      <c r="I20" s="174"/>
      <c r="J20" s="424"/>
      <c r="K20" s="432"/>
      <c r="L20" s="11"/>
      <c r="M20" s="11"/>
      <c r="N20" s="425"/>
      <c r="O20" s="424"/>
      <c r="P20" s="188"/>
      <c r="Q20" s="193"/>
      <c r="R20" s="199"/>
      <c r="S20" s="205"/>
      <c r="T20" s="206"/>
      <c r="U20" s="213"/>
      <c r="V20" s="217"/>
      <c r="W20" s="221"/>
      <c r="X20" s="226"/>
      <c r="Y20" s="231"/>
      <c r="Z20" s="443"/>
      <c r="AA20" s="104"/>
      <c r="AB20" s="8"/>
    </row>
    <row r="21" spans="1:28" s="7" customFormat="1" ht="15">
      <c r="A21" s="6"/>
      <c r="B21" s="65"/>
      <c r="C21" s="426">
        <v>24</v>
      </c>
      <c r="D21" s="423">
        <v>256312</v>
      </c>
      <c r="E21" s="423">
        <v>307</v>
      </c>
      <c r="F21" s="427" t="s">
        <v>204</v>
      </c>
      <c r="G21" s="432">
        <v>132</v>
      </c>
      <c r="H21" s="433">
        <v>155.60000610351562</v>
      </c>
      <c r="I21" s="175">
        <f aca="true" t="shared" si="0" ref="I21:I36">$G$16/100*IF(H21&gt;25,H21,25)</f>
        <v>320.9467965893555</v>
      </c>
      <c r="J21" s="437">
        <v>41266.80347222222</v>
      </c>
      <c r="K21" s="437">
        <v>41266.845138888886</v>
      </c>
      <c r="L21" s="12">
        <f aca="true" t="shared" si="1" ref="L21:L36">IF(F21="","",(K21-J21)*24)</f>
        <v>0.9999999999417923</v>
      </c>
      <c r="M21" s="13">
        <f aca="true" t="shared" si="2" ref="M21:M36">IF(F21="","",ROUND((K21-J21)*24*60,0))</f>
        <v>60</v>
      </c>
      <c r="N21" s="439" t="s">
        <v>184</v>
      </c>
      <c r="O21" s="440" t="str">
        <f aca="true" t="shared" si="3" ref="O21:O36">IF(F21="","","--")</f>
        <v>--</v>
      </c>
      <c r="P21" s="189" t="str">
        <f aca="true" t="shared" si="4" ref="P21:P36">IF(N21="P",ROUND(M21/60,2)*I21*$L$16*0.01,"--")</f>
        <v>--</v>
      </c>
      <c r="Q21" s="194" t="str">
        <f aca="true" t="shared" si="5" ref="Q21:Q36">IF(N21="RP",I21*O21*ROUND(L21/60,2)*0.01*M21/100,"--")</f>
        <v>--</v>
      </c>
      <c r="R21" s="199">
        <f aca="true" t="shared" si="6" ref="R21:R36">IF(N21="F",I21*$L$16,"--")</f>
        <v>9628.403897680664</v>
      </c>
      <c r="S21" s="200">
        <f aca="true" t="shared" si="7" ref="S21:S36">IF(AND(M21&gt;10,N21="F"),I21*$L$16*IF(M21&gt;180,3,ROUND((M21)/60,2)),"--")</f>
        <v>9628.403897680664</v>
      </c>
      <c r="T21" s="201" t="str">
        <f aca="true" t="shared" si="8" ref="T21:T36">IF(AND(M21&gt;180,N21="F"),(ROUND(M21/60,2)-3)*I21*$L$16*0.1,"--")</f>
        <v>--</v>
      </c>
      <c r="U21" s="214" t="str">
        <f aca="true" t="shared" si="9" ref="U21:U36">IF(N21="R",I21*$L$16*O21/100,"--")</f>
        <v>--</v>
      </c>
      <c r="V21" s="218" t="str">
        <f aca="true" t="shared" si="10" ref="V21:V36">IF(AND(M21&gt;10,N21="R"),I21*$L$16*O21/100*IF(M21&gt;180,3,ROUND(M21/60,2)),"--")</f>
        <v>--</v>
      </c>
      <c r="W21" s="222" t="str">
        <f aca="true" t="shared" si="11" ref="W21:W36">IF(AND(M21&gt;180,N21="R"),(ROUND(M21/60,2)-3)*I21*$L$16*0.1*O21/100,"--")</f>
        <v>--</v>
      </c>
      <c r="X21" s="227" t="str">
        <f aca="true" t="shared" si="12" ref="X21:X36">IF(N21="RF",ROUND(M21/60,2)*I21*$L$16*0.1,"--")</f>
        <v>--</v>
      </c>
      <c r="Y21" s="232" t="str">
        <f aca="true" t="shared" si="13" ref="Y21:Y36">IF(N21="RR",ROUND(M21/60,2)*I21*$L$16*0.1*O21/100,"--")</f>
        <v>--</v>
      </c>
      <c r="Z21" s="444" t="s">
        <v>185</v>
      </c>
      <c r="AA21" s="28">
        <f aca="true" t="shared" si="14" ref="AA21:AA36">IF(F21="","",SUM(P21:Y21)*IF(Z21="SI",1,2))</f>
        <v>19256.80779536133</v>
      </c>
      <c r="AB21" s="286"/>
    </row>
    <row r="22" spans="1:28" s="7" customFormat="1" ht="15">
      <c r="A22" s="6"/>
      <c r="B22" s="65"/>
      <c r="C22" s="426">
        <v>25</v>
      </c>
      <c r="D22" s="423">
        <v>256477</v>
      </c>
      <c r="E22" s="423">
        <v>299</v>
      </c>
      <c r="F22" s="427" t="s">
        <v>205</v>
      </c>
      <c r="G22" s="432">
        <v>132</v>
      </c>
      <c r="H22" s="433">
        <v>23.899999618530273</v>
      </c>
      <c r="I22" s="175">
        <f t="shared" si="0"/>
        <v>51.566</v>
      </c>
      <c r="J22" s="437">
        <v>41268.64722222222</v>
      </c>
      <c r="K22" s="437">
        <v>41268.68125</v>
      </c>
      <c r="L22" s="12">
        <f t="shared" si="1"/>
        <v>0.8166666667093523</v>
      </c>
      <c r="M22" s="13">
        <f t="shared" si="2"/>
        <v>49</v>
      </c>
      <c r="N22" s="439" t="s">
        <v>184</v>
      </c>
      <c r="O22" s="440" t="str">
        <f t="shared" si="3"/>
        <v>--</v>
      </c>
      <c r="P22" s="189" t="str">
        <f t="shared" si="4"/>
        <v>--</v>
      </c>
      <c r="Q22" s="194" t="str">
        <f t="shared" si="5"/>
        <v>--</v>
      </c>
      <c r="R22" s="199">
        <f t="shared" si="6"/>
        <v>1546.98</v>
      </c>
      <c r="S22" s="200">
        <f t="shared" si="7"/>
        <v>1268.5236</v>
      </c>
      <c r="T22" s="201" t="str">
        <f t="shared" si="8"/>
        <v>--</v>
      </c>
      <c r="U22" s="214" t="str">
        <f t="shared" si="9"/>
        <v>--</v>
      </c>
      <c r="V22" s="218" t="str">
        <f t="shared" si="10"/>
        <v>--</v>
      </c>
      <c r="W22" s="222" t="str">
        <f t="shared" si="11"/>
        <v>--</v>
      </c>
      <c r="X22" s="227" t="str">
        <f t="shared" si="12"/>
        <v>--</v>
      </c>
      <c r="Y22" s="232" t="str">
        <f t="shared" si="13"/>
        <v>--</v>
      </c>
      <c r="Z22" s="444" t="s">
        <v>185</v>
      </c>
      <c r="AA22" s="28">
        <f t="shared" si="14"/>
        <v>2815.5036</v>
      </c>
      <c r="AB22" s="286"/>
    </row>
    <row r="23" spans="1:28" s="7" customFormat="1" ht="15">
      <c r="A23" s="6"/>
      <c r="B23" s="65"/>
      <c r="C23" s="426"/>
      <c r="D23" s="423"/>
      <c r="E23" s="423"/>
      <c r="F23" s="427"/>
      <c r="G23" s="432"/>
      <c r="H23" s="433"/>
      <c r="I23" s="175"/>
      <c r="J23" s="437"/>
      <c r="K23" s="437"/>
      <c r="L23" s="12"/>
      <c r="M23" s="13"/>
      <c r="N23" s="439"/>
      <c r="O23" s="440"/>
      <c r="P23" s="189"/>
      <c r="Q23" s="194"/>
      <c r="R23" s="199"/>
      <c r="S23" s="200"/>
      <c r="T23" s="201"/>
      <c r="U23" s="214"/>
      <c r="V23" s="218"/>
      <c r="W23" s="222"/>
      <c r="X23" s="227"/>
      <c r="Y23" s="232"/>
      <c r="Z23" s="444"/>
      <c r="AA23" s="28"/>
      <c r="AB23" s="286"/>
    </row>
    <row r="24" spans="1:28" s="7" customFormat="1" ht="15">
      <c r="A24" s="6"/>
      <c r="B24" s="65"/>
      <c r="C24" s="426">
        <v>27</v>
      </c>
      <c r="D24" s="423">
        <v>256482</v>
      </c>
      <c r="E24" s="423">
        <v>300</v>
      </c>
      <c r="F24" s="427" t="s">
        <v>206</v>
      </c>
      <c r="G24" s="432">
        <v>132</v>
      </c>
      <c r="H24" s="433">
        <v>27</v>
      </c>
      <c r="I24" s="175">
        <f t="shared" si="0"/>
        <v>55.69128</v>
      </c>
      <c r="J24" s="437">
        <v>41268.67013888889</v>
      </c>
      <c r="K24" s="437">
        <v>41269.05902777778</v>
      </c>
      <c r="L24" s="12">
        <f t="shared" si="1"/>
        <v>9.333333333372138</v>
      </c>
      <c r="M24" s="13">
        <f t="shared" si="2"/>
        <v>560</v>
      </c>
      <c r="N24" s="439" t="s">
        <v>184</v>
      </c>
      <c r="O24" s="440" t="str">
        <f t="shared" si="3"/>
        <v>--</v>
      </c>
      <c r="P24" s="189" t="str">
        <f t="shared" si="4"/>
        <v>--</v>
      </c>
      <c r="Q24" s="194" t="str">
        <f t="shared" si="5"/>
        <v>--</v>
      </c>
      <c r="R24" s="199">
        <f t="shared" si="6"/>
        <v>1670.7384</v>
      </c>
      <c r="S24" s="200">
        <f t="shared" si="7"/>
        <v>5012.2152</v>
      </c>
      <c r="T24" s="201">
        <f t="shared" si="8"/>
        <v>1057.5774072000002</v>
      </c>
      <c r="U24" s="214" t="str">
        <f t="shared" si="9"/>
        <v>--</v>
      </c>
      <c r="V24" s="218" t="str">
        <f t="shared" si="10"/>
        <v>--</v>
      </c>
      <c r="W24" s="222" t="str">
        <f t="shared" si="11"/>
        <v>--</v>
      </c>
      <c r="X24" s="227" t="str">
        <f t="shared" si="12"/>
        <v>--</v>
      </c>
      <c r="Y24" s="232" t="str">
        <f t="shared" si="13"/>
        <v>--</v>
      </c>
      <c r="Z24" s="444" t="s">
        <v>185</v>
      </c>
      <c r="AA24" s="28">
        <f t="shared" si="14"/>
        <v>7740.5310072</v>
      </c>
      <c r="AB24" s="286"/>
    </row>
    <row r="25" spans="1:28" s="7" customFormat="1" ht="15">
      <c r="A25" s="6"/>
      <c r="B25" s="65"/>
      <c r="C25" s="426">
        <v>28</v>
      </c>
      <c r="D25" s="423">
        <v>256521</v>
      </c>
      <c r="E25" s="423">
        <v>300</v>
      </c>
      <c r="F25" s="427" t="s">
        <v>206</v>
      </c>
      <c r="G25" s="432">
        <v>132</v>
      </c>
      <c r="H25" s="433">
        <v>27</v>
      </c>
      <c r="I25" s="175">
        <f t="shared" si="0"/>
        <v>55.69128</v>
      </c>
      <c r="J25" s="437">
        <v>41272.16180555556</v>
      </c>
      <c r="K25" s="437">
        <v>41272.17083333333</v>
      </c>
      <c r="L25" s="12">
        <f t="shared" si="1"/>
        <v>0.2166666664998047</v>
      </c>
      <c r="M25" s="13">
        <f t="shared" si="2"/>
        <v>13</v>
      </c>
      <c r="N25" s="439" t="s">
        <v>191</v>
      </c>
      <c r="O25" s="440" t="str">
        <f t="shared" si="3"/>
        <v>--</v>
      </c>
      <c r="P25" s="189">
        <f t="shared" si="4"/>
        <v>3.67562448</v>
      </c>
      <c r="Q25" s="194" t="str">
        <f t="shared" si="5"/>
        <v>--</v>
      </c>
      <c r="R25" s="199" t="str">
        <f t="shared" si="6"/>
        <v>--</v>
      </c>
      <c r="S25" s="200" t="str">
        <f t="shared" si="7"/>
        <v>--</v>
      </c>
      <c r="T25" s="201" t="str">
        <f t="shared" si="8"/>
        <v>--</v>
      </c>
      <c r="U25" s="214" t="str">
        <f t="shared" si="9"/>
        <v>--</v>
      </c>
      <c r="V25" s="218" t="str">
        <f t="shared" si="10"/>
        <v>--</v>
      </c>
      <c r="W25" s="222" t="str">
        <f t="shared" si="11"/>
        <v>--</v>
      </c>
      <c r="X25" s="227" t="str">
        <f t="shared" si="12"/>
        <v>--</v>
      </c>
      <c r="Y25" s="232" t="str">
        <f t="shared" si="13"/>
        <v>--</v>
      </c>
      <c r="Z25" s="444" t="s">
        <v>185</v>
      </c>
      <c r="AA25" s="28">
        <f t="shared" si="14"/>
        <v>3.67562448</v>
      </c>
      <c r="AB25" s="8"/>
    </row>
    <row r="26" spans="1:28" s="7" customFormat="1" ht="15">
      <c r="A26" s="6"/>
      <c r="B26" s="65"/>
      <c r="C26" s="426">
        <v>29</v>
      </c>
      <c r="D26" s="423">
        <v>256522</v>
      </c>
      <c r="E26" s="423">
        <v>300</v>
      </c>
      <c r="F26" s="427" t="s">
        <v>206</v>
      </c>
      <c r="G26" s="432">
        <v>132</v>
      </c>
      <c r="H26" s="433">
        <v>27</v>
      </c>
      <c r="I26" s="175">
        <f t="shared" si="0"/>
        <v>55.69128</v>
      </c>
      <c r="J26" s="437">
        <v>41272.18819444445</v>
      </c>
      <c r="K26" s="437">
        <v>41272.21319444444</v>
      </c>
      <c r="L26" s="12">
        <f t="shared" si="1"/>
        <v>0.5999999998603016</v>
      </c>
      <c r="M26" s="13">
        <f t="shared" si="2"/>
        <v>36</v>
      </c>
      <c r="N26" s="439" t="s">
        <v>191</v>
      </c>
      <c r="O26" s="440" t="str">
        <f t="shared" si="3"/>
        <v>--</v>
      </c>
      <c r="P26" s="189">
        <f t="shared" si="4"/>
        <v>10.024430399999998</v>
      </c>
      <c r="Q26" s="194" t="str">
        <f t="shared" si="5"/>
        <v>--</v>
      </c>
      <c r="R26" s="199" t="str">
        <f t="shared" si="6"/>
        <v>--</v>
      </c>
      <c r="S26" s="200" t="str">
        <f t="shared" si="7"/>
        <v>--</v>
      </c>
      <c r="T26" s="201" t="str">
        <f t="shared" si="8"/>
        <v>--</v>
      </c>
      <c r="U26" s="214" t="str">
        <f t="shared" si="9"/>
        <v>--</v>
      </c>
      <c r="V26" s="218" t="str">
        <f t="shared" si="10"/>
        <v>--</v>
      </c>
      <c r="W26" s="222" t="str">
        <f t="shared" si="11"/>
        <v>--</v>
      </c>
      <c r="X26" s="227" t="str">
        <f t="shared" si="12"/>
        <v>--</v>
      </c>
      <c r="Y26" s="232" t="str">
        <f t="shared" si="13"/>
        <v>--</v>
      </c>
      <c r="Z26" s="444" t="s">
        <v>185</v>
      </c>
      <c r="AA26" s="28">
        <f t="shared" si="14"/>
        <v>10.024430399999998</v>
      </c>
      <c r="AB26" s="8"/>
    </row>
    <row r="27" spans="1:28" s="7" customFormat="1" ht="15">
      <c r="A27" s="6"/>
      <c r="B27" s="65"/>
      <c r="C27" s="426">
        <v>30</v>
      </c>
      <c r="D27" s="423">
        <v>256549</v>
      </c>
      <c r="E27" s="423">
        <v>4811</v>
      </c>
      <c r="F27" s="427" t="s">
        <v>197</v>
      </c>
      <c r="G27" s="432">
        <v>132</v>
      </c>
      <c r="H27" s="433">
        <v>130.39999389648438</v>
      </c>
      <c r="I27" s="175">
        <f t="shared" si="0"/>
        <v>268.96824341064456</v>
      </c>
      <c r="J27" s="437">
        <v>41274.6</v>
      </c>
      <c r="K27" s="437">
        <v>41274.99930555555</v>
      </c>
      <c r="L27" s="12">
        <f t="shared" si="1"/>
        <v>9.58333333331393</v>
      </c>
      <c r="M27" s="13">
        <f t="shared" si="2"/>
        <v>575</v>
      </c>
      <c r="N27" s="439" t="s">
        <v>184</v>
      </c>
      <c r="O27" s="440" t="str">
        <f t="shared" si="3"/>
        <v>--</v>
      </c>
      <c r="P27" s="189" t="str">
        <f t="shared" si="4"/>
        <v>--</v>
      </c>
      <c r="Q27" s="194" t="str">
        <f t="shared" si="5"/>
        <v>--</v>
      </c>
      <c r="R27" s="199">
        <f t="shared" si="6"/>
        <v>8069.047302319337</v>
      </c>
      <c r="S27" s="200">
        <f t="shared" si="7"/>
        <v>24207.14190695801</v>
      </c>
      <c r="T27" s="201">
        <f t="shared" si="8"/>
        <v>5309.433124926123</v>
      </c>
      <c r="U27" s="214" t="str">
        <f t="shared" si="9"/>
        <v>--</v>
      </c>
      <c r="V27" s="218" t="str">
        <f t="shared" si="10"/>
        <v>--</v>
      </c>
      <c r="W27" s="222" t="str">
        <f t="shared" si="11"/>
        <v>--</v>
      </c>
      <c r="X27" s="227" t="str">
        <f t="shared" si="12"/>
        <v>--</v>
      </c>
      <c r="Y27" s="232" t="str">
        <f t="shared" si="13"/>
        <v>--</v>
      </c>
      <c r="Z27" s="444" t="s">
        <v>185</v>
      </c>
      <c r="AA27" s="28">
        <f t="shared" si="14"/>
        <v>37585.62233420347</v>
      </c>
      <c r="AB27" s="8"/>
    </row>
    <row r="28" spans="1:28" s="7" customFormat="1" ht="15">
      <c r="A28" s="6"/>
      <c r="B28" s="65"/>
      <c r="C28" s="426"/>
      <c r="D28" s="423"/>
      <c r="E28" s="423"/>
      <c r="F28" s="427"/>
      <c r="G28" s="432"/>
      <c r="H28" s="433"/>
      <c r="I28" s="175">
        <f t="shared" si="0"/>
        <v>51.566</v>
      </c>
      <c r="J28" s="437"/>
      <c r="K28" s="437"/>
      <c r="L28" s="12">
        <f t="shared" si="1"/>
      </c>
      <c r="M28" s="13">
        <f t="shared" si="2"/>
      </c>
      <c r="N28" s="439"/>
      <c r="O28" s="440">
        <f t="shared" si="3"/>
      </c>
      <c r="P28" s="189" t="str">
        <f t="shared" si="4"/>
        <v>--</v>
      </c>
      <c r="Q28" s="194" t="str">
        <f t="shared" si="5"/>
        <v>--</v>
      </c>
      <c r="R28" s="199" t="str">
        <f t="shared" si="6"/>
        <v>--</v>
      </c>
      <c r="S28" s="200" t="str">
        <f t="shared" si="7"/>
        <v>--</v>
      </c>
      <c r="T28" s="201" t="str">
        <f t="shared" si="8"/>
        <v>--</v>
      </c>
      <c r="U28" s="214" t="str">
        <f t="shared" si="9"/>
        <v>--</v>
      </c>
      <c r="V28" s="218" t="str">
        <f t="shared" si="10"/>
        <v>--</v>
      </c>
      <c r="W28" s="222" t="str">
        <f t="shared" si="11"/>
        <v>--</v>
      </c>
      <c r="X28" s="227" t="str">
        <f t="shared" si="12"/>
        <v>--</v>
      </c>
      <c r="Y28" s="232" t="str">
        <f t="shared" si="13"/>
        <v>--</v>
      </c>
      <c r="Z28" s="444">
        <f aca="true" t="shared" si="15" ref="Z28:Z36">IF(F28="","","SI")</f>
      </c>
      <c r="AA28" s="28">
        <f t="shared" si="14"/>
      </c>
      <c r="AB28" s="8"/>
    </row>
    <row r="29" spans="1:28" s="7" customFormat="1" ht="15">
      <c r="A29" s="6"/>
      <c r="B29" s="65"/>
      <c r="C29" s="426"/>
      <c r="D29" s="423"/>
      <c r="E29" s="423"/>
      <c r="F29" s="427"/>
      <c r="G29" s="432"/>
      <c r="H29" s="433"/>
      <c r="I29" s="175">
        <f t="shared" si="0"/>
        <v>51.566</v>
      </c>
      <c r="J29" s="437"/>
      <c r="K29" s="437"/>
      <c r="L29" s="12">
        <f t="shared" si="1"/>
      </c>
      <c r="M29" s="13">
        <f t="shared" si="2"/>
      </c>
      <c r="N29" s="439"/>
      <c r="O29" s="440">
        <f t="shared" si="3"/>
      </c>
      <c r="P29" s="189" t="str">
        <f t="shared" si="4"/>
        <v>--</v>
      </c>
      <c r="Q29" s="194" t="str">
        <f t="shared" si="5"/>
        <v>--</v>
      </c>
      <c r="R29" s="199" t="str">
        <f t="shared" si="6"/>
        <v>--</v>
      </c>
      <c r="S29" s="200" t="str">
        <f t="shared" si="7"/>
        <v>--</v>
      </c>
      <c r="T29" s="201" t="str">
        <f t="shared" si="8"/>
        <v>--</v>
      </c>
      <c r="U29" s="214" t="str">
        <f t="shared" si="9"/>
        <v>--</v>
      </c>
      <c r="V29" s="218" t="str">
        <f t="shared" si="10"/>
        <v>--</v>
      </c>
      <c r="W29" s="222" t="str">
        <f t="shared" si="11"/>
        <v>--</v>
      </c>
      <c r="X29" s="227" t="str">
        <f t="shared" si="12"/>
        <v>--</v>
      </c>
      <c r="Y29" s="232" t="str">
        <f t="shared" si="13"/>
        <v>--</v>
      </c>
      <c r="Z29" s="444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426"/>
      <c r="D30" s="423"/>
      <c r="E30" s="423"/>
      <c r="F30" s="427"/>
      <c r="G30" s="432"/>
      <c r="H30" s="433"/>
      <c r="I30" s="175">
        <f t="shared" si="0"/>
        <v>51.566</v>
      </c>
      <c r="J30" s="437"/>
      <c r="K30" s="437"/>
      <c r="L30" s="12">
        <f t="shared" si="1"/>
      </c>
      <c r="M30" s="13">
        <f t="shared" si="2"/>
      </c>
      <c r="N30" s="439"/>
      <c r="O30" s="440">
        <f t="shared" si="3"/>
      </c>
      <c r="P30" s="189" t="str">
        <f t="shared" si="4"/>
        <v>--</v>
      </c>
      <c r="Q30" s="194" t="str">
        <f t="shared" si="5"/>
        <v>--</v>
      </c>
      <c r="R30" s="199" t="str">
        <f t="shared" si="6"/>
        <v>--</v>
      </c>
      <c r="S30" s="200" t="str">
        <f t="shared" si="7"/>
        <v>--</v>
      </c>
      <c r="T30" s="201" t="str">
        <f t="shared" si="8"/>
        <v>--</v>
      </c>
      <c r="U30" s="214" t="str">
        <f t="shared" si="9"/>
        <v>--</v>
      </c>
      <c r="V30" s="218" t="str">
        <f t="shared" si="10"/>
        <v>--</v>
      </c>
      <c r="W30" s="222" t="str">
        <f t="shared" si="11"/>
        <v>--</v>
      </c>
      <c r="X30" s="227" t="str">
        <f t="shared" si="12"/>
        <v>--</v>
      </c>
      <c r="Y30" s="232" t="str">
        <f t="shared" si="13"/>
        <v>--</v>
      </c>
      <c r="Z30" s="444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426"/>
      <c r="D31" s="423"/>
      <c r="E31" s="423"/>
      <c r="F31" s="427"/>
      <c r="G31" s="432"/>
      <c r="H31" s="433"/>
      <c r="I31" s="175">
        <f t="shared" si="0"/>
        <v>51.566</v>
      </c>
      <c r="J31" s="437"/>
      <c r="K31" s="437"/>
      <c r="L31" s="12">
        <f t="shared" si="1"/>
      </c>
      <c r="M31" s="13">
        <f t="shared" si="2"/>
      </c>
      <c r="N31" s="439"/>
      <c r="O31" s="440">
        <f t="shared" si="3"/>
      </c>
      <c r="P31" s="189" t="str">
        <f t="shared" si="4"/>
        <v>--</v>
      </c>
      <c r="Q31" s="194" t="str">
        <f t="shared" si="5"/>
        <v>--</v>
      </c>
      <c r="R31" s="199" t="str">
        <f t="shared" si="6"/>
        <v>--</v>
      </c>
      <c r="S31" s="200" t="str">
        <f t="shared" si="7"/>
        <v>--</v>
      </c>
      <c r="T31" s="201" t="str">
        <f t="shared" si="8"/>
        <v>--</v>
      </c>
      <c r="U31" s="214" t="str">
        <f t="shared" si="9"/>
        <v>--</v>
      </c>
      <c r="V31" s="218" t="str">
        <f t="shared" si="10"/>
        <v>--</v>
      </c>
      <c r="W31" s="222" t="str">
        <f t="shared" si="11"/>
        <v>--</v>
      </c>
      <c r="X31" s="227" t="str">
        <f t="shared" si="12"/>
        <v>--</v>
      </c>
      <c r="Y31" s="232" t="str">
        <f t="shared" si="13"/>
        <v>--</v>
      </c>
      <c r="Z31" s="444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426"/>
      <c r="D32" s="423"/>
      <c r="E32" s="423"/>
      <c r="F32" s="427"/>
      <c r="G32" s="432"/>
      <c r="H32" s="433"/>
      <c r="I32" s="175"/>
      <c r="J32" s="437"/>
      <c r="K32" s="437"/>
      <c r="L32" s="12"/>
      <c r="M32" s="13"/>
      <c r="N32" s="439"/>
      <c r="O32" s="440"/>
      <c r="P32" s="189"/>
      <c r="Q32" s="194"/>
      <c r="R32" s="199"/>
      <c r="S32" s="200"/>
      <c r="T32" s="201"/>
      <c r="U32" s="214"/>
      <c r="V32" s="218"/>
      <c r="W32" s="222"/>
      <c r="X32" s="227"/>
      <c r="Y32" s="232"/>
      <c r="Z32" s="444"/>
      <c r="AA32" s="28"/>
      <c r="AB32" s="8"/>
    </row>
    <row r="33" spans="1:28" s="7" customFormat="1" ht="15">
      <c r="A33" s="6"/>
      <c r="B33" s="65"/>
      <c r="C33" s="426"/>
      <c r="D33" s="423"/>
      <c r="E33" s="423"/>
      <c r="F33" s="427"/>
      <c r="G33" s="432"/>
      <c r="H33" s="433"/>
      <c r="I33" s="175"/>
      <c r="J33" s="437"/>
      <c r="K33" s="437"/>
      <c r="L33" s="12"/>
      <c r="M33" s="13"/>
      <c r="N33" s="439"/>
      <c r="O33" s="440"/>
      <c r="P33" s="189"/>
      <c r="Q33" s="194"/>
      <c r="R33" s="199"/>
      <c r="S33" s="200"/>
      <c r="T33" s="201"/>
      <c r="U33" s="214"/>
      <c r="V33" s="218"/>
      <c r="W33" s="222"/>
      <c r="X33" s="227"/>
      <c r="Y33" s="232"/>
      <c r="Z33" s="444"/>
      <c r="AA33" s="28"/>
      <c r="AB33" s="8"/>
    </row>
    <row r="34" spans="1:28" s="7" customFormat="1" ht="15">
      <c r="A34" s="6"/>
      <c r="B34" s="65"/>
      <c r="C34" s="426"/>
      <c r="D34" s="423"/>
      <c r="E34" s="423"/>
      <c r="F34" s="427"/>
      <c r="G34" s="432"/>
      <c r="H34" s="433"/>
      <c r="I34" s="175">
        <f t="shared" si="0"/>
        <v>51.566</v>
      </c>
      <c r="J34" s="437"/>
      <c r="K34" s="437"/>
      <c r="L34" s="12">
        <f t="shared" si="1"/>
      </c>
      <c r="M34" s="13">
        <f t="shared" si="2"/>
      </c>
      <c r="N34" s="439"/>
      <c r="O34" s="440">
        <f t="shared" si="3"/>
      </c>
      <c r="P34" s="189" t="str">
        <f t="shared" si="4"/>
        <v>--</v>
      </c>
      <c r="Q34" s="194" t="str">
        <f t="shared" si="5"/>
        <v>--</v>
      </c>
      <c r="R34" s="199" t="str">
        <f t="shared" si="6"/>
        <v>--</v>
      </c>
      <c r="S34" s="200" t="str">
        <f t="shared" si="7"/>
        <v>--</v>
      </c>
      <c r="T34" s="201" t="str">
        <f t="shared" si="8"/>
        <v>--</v>
      </c>
      <c r="U34" s="214" t="str">
        <f t="shared" si="9"/>
        <v>--</v>
      </c>
      <c r="V34" s="218" t="str">
        <f t="shared" si="10"/>
        <v>--</v>
      </c>
      <c r="W34" s="222" t="str">
        <f t="shared" si="11"/>
        <v>--</v>
      </c>
      <c r="X34" s="227" t="str">
        <f t="shared" si="12"/>
        <v>--</v>
      </c>
      <c r="Y34" s="232" t="str">
        <f t="shared" si="13"/>
        <v>--</v>
      </c>
      <c r="Z34" s="444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426"/>
      <c r="D35" s="423"/>
      <c r="E35" s="423"/>
      <c r="F35" s="427"/>
      <c r="G35" s="432"/>
      <c r="H35" s="433"/>
      <c r="I35" s="175">
        <f t="shared" si="0"/>
        <v>51.566</v>
      </c>
      <c r="J35" s="437"/>
      <c r="K35" s="437"/>
      <c r="L35" s="12">
        <f t="shared" si="1"/>
      </c>
      <c r="M35" s="13">
        <f t="shared" si="2"/>
      </c>
      <c r="N35" s="439"/>
      <c r="O35" s="440">
        <f t="shared" si="3"/>
      </c>
      <c r="P35" s="189" t="str">
        <f t="shared" si="4"/>
        <v>--</v>
      </c>
      <c r="Q35" s="194" t="str">
        <f t="shared" si="5"/>
        <v>--</v>
      </c>
      <c r="R35" s="199" t="str">
        <f t="shared" si="6"/>
        <v>--</v>
      </c>
      <c r="S35" s="200" t="str">
        <f t="shared" si="7"/>
        <v>--</v>
      </c>
      <c r="T35" s="201" t="str">
        <f t="shared" si="8"/>
        <v>--</v>
      </c>
      <c r="U35" s="214" t="str">
        <f t="shared" si="9"/>
        <v>--</v>
      </c>
      <c r="V35" s="218" t="str">
        <f t="shared" si="10"/>
        <v>--</v>
      </c>
      <c r="W35" s="222" t="str">
        <f t="shared" si="11"/>
        <v>--</v>
      </c>
      <c r="X35" s="227" t="str">
        <f t="shared" si="12"/>
        <v>--</v>
      </c>
      <c r="Y35" s="232" t="str">
        <f t="shared" si="13"/>
        <v>--</v>
      </c>
      <c r="Z35" s="444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426"/>
      <c r="D36" s="423"/>
      <c r="E36" s="423"/>
      <c r="F36" s="427"/>
      <c r="G36" s="432"/>
      <c r="H36" s="433"/>
      <c r="I36" s="175">
        <f t="shared" si="0"/>
        <v>51.566</v>
      </c>
      <c r="J36" s="437"/>
      <c r="K36" s="437"/>
      <c r="L36" s="12">
        <f t="shared" si="1"/>
      </c>
      <c r="M36" s="13">
        <f t="shared" si="2"/>
      </c>
      <c r="N36" s="439"/>
      <c r="O36" s="440">
        <f t="shared" si="3"/>
      </c>
      <c r="P36" s="189" t="str">
        <f t="shared" si="4"/>
        <v>--</v>
      </c>
      <c r="Q36" s="194" t="str">
        <f t="shared" si="5"/>
        <v>--</v>
      </c>
      <c r="R36" s="199" t="str">
        <f t="shared" si="6"/>
        <v>--</v>
      </c>
      <c r="S36" s="200" t="str">
        <f t="shared" si="7"/>
        <v>--</v>
      </c>
      <c r="T36" s="201" t="str">
        <f t="shared" si="8"/>
        <v>--</v>
      </c>
      <c r="U36" s="214" t="str">
        <f t="shared" si="9"/>
        <v>--</v>
      </c>
      <c r="V36" s="218" t="str">
        <f t="shared" si="10"/>
        <v>--</v>
      </c>
      <c r="W36" s="222" t="str">
        <f t="shared" si="11"/>
        <v>--</v>
      </c>
      <c r="X36" s="227" t="str">
        <f t="shared" si="12"/>
        <v>--</v>
      </c>
      <c r="Y36" s="232" t="str">
        <f t="shared" si="13"/>
        <v>--</v>
      </c>
      <c r="Z36" s="444">
        <f t="shared" si="15"/>
      </c>
      <c r="AA36" s="28">
        <f t="shared" si="14"/>
      </c>
      <c r="AB36" s="8"/>
    </row>
    <row r="37" spans="1:28" s="7" customFormat="1" ht="15.75" thickBot="1">
      <c r="A37" s="6"/>
      <c r="B37" s="65"/>
      <c r="C37" s="428"/>
      <c r="D37" s="428"/>
      <c r="E37" s="428"/>
      <c r="F37" s="429"/>
      <c r="G37" s="434"/>
      <c r="H37" s="435"/>
      <c r="I37" s="176"/>
      <c r="J37" s="438"/>
      <c r="K37" s="438"/>
      <c r="L37" s="15"/>
      <c r="M37" s="15"/>
      <c r="N37" s="438"/>
      <c r="O37" s="441"/>
      <c r="P37" s="190"/>
      <c r="Q37" s="195"/>
      <c r="R37" s="202"/>
      <c r="S37" s="203"/>
      <c r="T37" s="204"/>
      <c r="U37" s="215"/>
      <c r="V37" s="219"/>
      <c r="W37" s="223"/>
      <c r="X37" s="228"/>
      <c r="Y37" s="233"/>
      <c r="Z37" s="445"/>
      <c r="AA37" s="105"/>
      <c r="AB37" s="8"/>
    </row>
    <row r="38" spans="1:28" s="7" customFormat="1" ht="17.25" thickBot="1" thickTop="1">
      <c r="A38" s="6"/>
      <c r="B38" s="65"/>
      <c r="C38" s="517" t="s">
        <v>232</v>
      </c>
      <c r="D38" s="516" t="s">
        <v>231</v>
      </c>
      <c r="E38" s="165"/>
      <c r="F38" s="164"/>
      <c r="G38" s="6"/>
      <c r="H38" s="6"/>
      <c r="I38" s="6"/>
      <c r="J38" s="6"/>
      <c r="K38" s="6"/>
      <c r="L38" s="6"/>
      <c r="M38" s="6"/>
      <c r="N38" s="6"/>
      <c r="O38" s="6"/>
      <c r="P38" s="207">
        <f aca="true" t="shared" si="16" ref="P38:Y38">SUM(P19:P37)</f>
        <v>13.700054879999998</v>
      </c>
      <c r="Q38" s="208">
        <f t="shared" si="16"/>
        <v>0</v>
      </c>
      <c r="R38" s="234">
        <f t="shared" si="16"/>
        <v>20915.1696</v>
      </c>
      <c r="S38" s="234">
        <f t="shared" si="16"/>
        <v>40116.28460463868</v>
      </c>
      <c r="T38" s="234">
        <f t="shared" si="16"/>
        <v>6367.0105321261235</v>
      </c>
      <c r="U38" s="235">
        <f t="shared" si="16"/>
        <v>0</v>
      </c>
      <c r="V38" s="235">
        <f t="shared" si="16"/>
        <v>0</v>
      </c>
      <c r="W38" s="235">
        <f t="shared" si="16"/>
        <v>0</v>
      </c>
      <c r="X38" s="236">
        <f t="shared" si="16"/>
        <v>0</v>
      </c>
      <c r="Y38" s="237">
        <f t="shared" si="16"/>
        <v>0</v>
      </c>
      <c r="Z38" s="6"/>
      <c r="AA38" s="172">
        <f>ROUND(SUM(AA19:AA37),2)</f>
        <v>170696.25</v>
      </c>
      <c r="AB38" s="8"/>
    </row>
    <row r="39" spans="1:28" s="169" customFormat="1" ht="13.5" thickTop="1">
      <c r="A39" s="167"/>
      <c r="B39" s="168"/>
      <c r="C39" s="165"/>
      <c r="D39" s="165"/>
      <c r="E39" s="165"/>
      <c r="F39" s="166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70"/>
    </row>
    <row r="40" spans="1:28" s="7" customFormat="1" ht="13.5" thickBot="1">
      <c r="A40" s="6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</row>
    <row r="41" spans="1:2" ht="13.5" thickTop="1">
      <c r="A41" s="1"/>
      <c r="B4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4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H45"/>
  <sheetViews>
    <sheetView zoomScale="75" zoomScaleNormal="75" zoomScalePageLayoutView="0" workbookViewId="0" topLeftCell="A1">
      <selection activeCell="D43" sqref="D43"/>
    </sheetView>
  </sheetViews>
  <sheetFormatPr defaultColWidth="11.421875" defaultRowHeight="12.75"/>
  <cols>
    <col min="1" max="1" width="1.421875" style="0" customWidth="1"/>
    <col min="2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5.140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7.140625" style="0" customWidth="1"/>
    <col min="19" max="19" width="10.421875" style="0" hidden="1" customWidth="1"/>
    <col min="20" max="21" width="12.28125" style="0" hidden="1" customWidth="1"/>
    <col min="22" max="25" width="7.57421875" style="0" hidden="1" customWidth="1"/>
    <col min="26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477" t="str">
        <f>+'TOT-1212'!B2</f>
        <v>ANEXO III al Memorándum  D.T.E.E.  N°  261/ 2014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478" t="s">
        <v>168</v>
      </c>
      <c r="B4" s="111"/>
      <c r="C4" s="478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478" t="s">
        <v>169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23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47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48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49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'TOT-1212'!B14</f>
        <v>Desde el 01 al 31 de diciembre de 2012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50</v>
      </c>
      <c r="G18" s="143"/>
      <c r="H18" s="144"/>
      <c r="I18" s="145">
        <v>0.718</v>
      </c>
      <c r="J18" s="118"/>
      <c r="K18" s="26"/>
      <c r="L18" s="418"/>
      <c r="M18" s="41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51</v>
      </c>
      <c r="G19" s="147"/>
      <c r="H19" s="147"/>
      <c r="I19" s="148">
        <f>30*'TOT-1212'!B13</f>
        <v>30</v>
      </c>
      <c r="J19" s="26"/>
      <c r="K19" s="171" t="str">
        <f>IF(I19=30," ",IF(I19=60,"  Coeficiente duplicado por tasa de falla &gt;4 Sal. x año/100 km.","REVISAR COEFICIENTE"))</f>
        <v> 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482">
        <v>3</v>
      </c>
      <c r="D20" s="482">
        <v>4</v>
      </c>
      <c r="E20" s="482">
        <v>5</v>
      </c>
      <c r="F20" s="482">
        <v>6</v>
      </c>
      <c r="G20" s="482">
        <v>7</v>
      </c>
      <c r="H20" s="482">
        <v>8</v>
      </c>
      <c r="I20" s="482">
        <v>9</v>
      </c>
      <c r="J20" s="482">
        <v>10</v>
      </c>
      <c r="K20" s="482">
        <v>11</v>
      </c>
      <c r="L20" s="482">
        <v>12</v>
      </c>
      <c r="M20" s="482">
        <v>13</v>
      </c>
      <c r="N20" s="482">
        <v>14</v>
      </c>
      <c r="O20" s="482">
        <v>15</v>
      </c>
      <c r="P20" s="482">
        <v>16</v>
      </c>
      <c r="Q20" s="482">
        <v>17</v>
      </c>
      <c r="R20" s="482">
        <v>18</v>
      </c>
      <c r="S20" s="482">
        <v>19</v>
      </c>
      <c r="T20" s="482">
        <v>20</v>
      </c>
      <c r="U20" s="482">
        <v>21</v>
      </c>
      <c r="V20" s="482">
        <v>22</v>
      </c>
      <c r="W20" s="482">
        <v>23</v>
      </c>
      <c r="X20" s="482">
        <v>24</v>
      </c>
      <c r="Y20" s="482">
        <v>25</v>
      </c>
      <c r="Z20" s="482">
        <v>26</v>
      </c>
      <c r="AA20" s="482">
        <v>27</v>
      </c>
      <c r="AB20" s="482">
        <v>28</v>
      </c>
      <c r="AC20" s="482">
        <v>29</v>
      </c>
      <c r="AD20" s="30"/>
    </row>
    <row r="21" spans="1:30" s="7" customFormat="1" ht="33.75" customHeight="1" thickBot="1" thickTop="1">
      <c r="A21" s="118"/>
      <c r="B21" s="123"/>
      <c r="C21" s="112" t="s">
        <v>28</v>
      </c>
      <c r="D21" s="112" t="s">
        <v>167</v>
      </c>
      <c r="E21" s="112" t="s">
        <v>166</v>
      </c>
      <c r="F21" s="157" t="s">
        <v>52</v>
      </c>
      <c r="G21" s="156" t="s">
        <v>53</v>
      </c>
      <c r="H21" s="158" t="s">
        <v>54</v>
      </c>
      <c r="I21" s="159" t="s">
        <v>29</v>
      </c>
      <c r="J21" s="173" t="s">
        <v>31</v>
      </c>
      <c r="K21" s="156" t="s">
        <v>32</v>
      </c>
      <c r="L21" s="156" t="s">
        <v>33</v>
      </c>
      <c r="M21" s="157" t="s">
        <v>55</v>
      </c>
      <c r="N21" s="157" t="s">
        <v>56</v>
      </c>
      <c r="O21" s="114" t="s">
        <v>36</v>
      </c>
      <c r="P21" s="156" t="s">
        <v>57</v>
      </c>
      <c r="Q21" s="157" t="s">
        <v>37</v>
      </c>
      <c r="R21" s="156" t="s">
        <v>58</v>
      </c>
      <c r="S21" s="239" t="s">
        <v>59</v>
      </c>
      <c r="T21" s="243" t="s">
        <v>38</v>
      </c>
      <c r="U21" s="249" t="s">
        <v>39</v>
      </c>
      <c r="V21" s="196" t="s">
        <v>60</v>
      </c>
      <c r="W21" s="198"/>
      <c r="X21" s="263" t="s">
        <v>61</v>
      </c>
      <c r="Y21" s="264"/>
      <c r="Z21" s="274" t="s">
        <v>42</v>
      </c>
      <c r="AA21" s="280" t="s">
        <v>43</v>
      </c>
      <c r="AB21" s="159" t="s">
        <v>44</v>
      </c>
      <c r="AC21" s="159" t="s">
        <v>45</v>
      </c>
      <c r="AD21" s="30"/>
    </row>
    <row r="22" spans="1:30" s="7" customFormat="1" ht="15.75" thickTop="1">
      <c r="A22" s="118"/>
      <c r="B22" s="123"/>
      <c r="C22" s="447"/>
      <c r="D22" s="447"/>
      <c r="E22" s="447"/>
      <c r="F22" s="448"/>
      <c r="G22" s="449"/>
      <c r="H22" s="449"/>
      <c r="I22" s="449"/>
      <c r="J22" s="177"/>
      <c r="K22" s="455"/>
      <c r="L22" s="449"/>
      <c r="M22" s="21"/>
      <c r="N22" s="21"/>
      <c r="O22" s="449"/>
      <c r="P22" s="449"/>
      <c r="Q22" s="449"/>
      <c r="R22" s="449"/>
      <c r="S22" s="240"/>
      <c r="T22" s="244"/>
      <c r="U22" s="250"/>
      <c r="V22" s="261"/>
      <c r="W22" s="255"/>
      <c r="X22" s="265"/>
      <c r="Y22" s="266"/>
      <c r="Z22" s="275"/>
      <c r="AA22" s="281"/>
      <c r="AB22" s="20"/>
      <c r="AC22" s="31"/>
      <c r="AD22" s="30"/>
    </row>
    <row r="23" spans="1:30" s="7" customFormat="1" ht="15">
      <c r="A23" s="118"/>
      <c r="B23" s="123"/>
      <c r="C23" s="447"/>
      <c r="D23" s="447"/>
      <c r="E23" s="447"/>
      <c r="F23" s="450"/>
      <c r="G23" s="451"/>
      <c r="H23" s="451"/>
      <c r="I23" s="451"/>
      <c r="J23" s="178"/>
      <c r="K23" s="450"/>
      <c r="L23" s="451"/>
      <c r="M23" s="17"/>
      <c r="N23" s="17"/>
      <c r="O23" s="451"/>
      <c r="P23" s="451"/>
      <c r="Q23" s="451"/>
      <c r="R23" s="451"/>
      <c r="S23" s="241"/>
      <c r="T23" s="245"/>
      <c r="U23" s="251"/>
      <c r="V23" s="262"/>
      <c r="W23" s="259"/>
      <c r="X23" s="267"/>
      <c r="Y23" s="268"/>
      <c r="Z23" s="276"/>
      <c r="AA23" s="282"/>
      <c r="AB23" s="16"/>
      <c r="AC23" s="27"/>
      <c r="AD23" s="30"/>
    </row>
    <row r="24" spans="1:30" s="7" customFormat="1" ht="15">
      <c r="A24" s="118"/>
      <c r="B24" s="123"/>
      <c r="C24" s="447">
        <v>31</v>
      </c>
      <c r="D24" s="447">
        <v>254811</v>
      </c>
      <c r="E24" s="447">
        <v>3623</v>
      </c>
      <c r="F24" s="432" t="s">
        <v>211</v>
      </c>
      <c r="G24" s="426" t="s">
        <v>209</v>
      </c>
      <c r="H24" s="452">
        <v>15</v>
      </c>
      <c r="I24" s="433" t="s">
        <v>207</v>
      </c>
      <c r="J24" s="175">
        <f>H24*$I$18</f>
        <v>10.77</v>
      </c>
      <c r="K24" s="456">
        <v>41244</v>
      </c>
      <c r="L24" s="456">
        <v>41245.54513888889</v>
      </c>
      <c r="M24" s="23">
        <f>IF(F24="","",(L24-K24)*24)</f>
        <v>37.08333333337214</v>
      </c>
      <c r="N24" s="24">
        <f>IF(F24="","",ROUND((L24-K24)*24*60,0))</f>
        <v>2225</v>
      </c>
      <c r="O24" s="457" t="s">
        <v>191</v>
      </c>
      <c r="P24" s="457" t="str">
        <f>IF(F24="","",IF(OR(O24="P",O24="RP"),"--","NO"))</f>
        <v>--</v>
      </c>
      <c r="Q24" s="457" t="s">
        <v>208</v>
      </c>
      <c r="R24" s="457"/>
      <c r="S24" s="242">
        <f>$I$19*IF(R24="SI",1,0.1)*IF(OR(O24="P",O24="RP"),0.1,1)</f>
        <v>0.30000000000000004</v>
      </c>
      <c r="T24" s="246">
        <f>IF(O24="P",J24*S24*ROUND(N24/60,2),"--")</f>
        <v>119.80548</v>
      </c>
      <c r="U24" s="252" t="str">
        <f>IF(O24="RP",J24*S24*Q24/100*ROUND(N24/60,2),"--")</f>
        <v>--</v>
      </c>
      <c r="V24" s="199" t="str">
        <f>IF(AND(O24="F",P24="NO"),J24*S24,"--")</f>
        <v>--</v>
      </c>
      <c r="W24" s="260" t="str">
        <f>IF(O24="F",J24*S24*ROUND(N24/60,2),"--")</f>
        <v>--</v>
      </c>
      <c r="X24" s="269" t="str">
        <f>IF(AND(O24="R",P24="NO"),J24*S24*Q24/100,"--")</f>
        <v>--</v>
      </c>
      <c r="Y24" s="270" t="str">
        <f>IF(O24="R",J24*S24*ROUND(N24/60,2)*Q24/100,"--")</f>
        <v>--</v>
      </c>
      <c r="Z24" s="277" t="str">
        <f>IF(O24="RF",J24*S24*ROUND(N24/60,2),"--")</f>
        <v>--</v>
      </c>
      <c r="AA24" s="283" t="str">
        <f>IF(O24="RR",J24*S24*ROUND(N24/60,2)*Q24/100,"--")</f>
        <v>--</v>
      </c>
      <c r="AB24" s="22" t="s">
        <v>185</v>
      </c>
      <c r="AC24" s="27">
        <f>IF(F24="","",SUM(T24:AA24)*IF(AB24="SI",1,2))</f>
        <v>119.80548</v>
      </c>
      <c r="AD24" s="287"/>
    </row>
    <row r="25" spans="1:30" s="7" customFormat="1" ht="15">
      <c r="A25" s="118"/>
      <c r="B25" s="123"/>
      <c r="C25" s="447">
        <v>32</v>
      </c>
      <c r="D25" s="447">
        <v>254820</v>
      </c>
      <c r="E25" s="447">
        <v>4804</v>
      </c>
      <c r="F25" s="432" t="s">
        <v>227</v>
      </c>
      <c r="G25" s="426" t="s">
        <v>209</v>
      </c>
      <c r="H25" s="483">
        <v>15</v>
      </c>
      <c r="I25" s="433" t="s">
        <v>207</v>
      </c>
      <c r="J25" s="175">
        <f>H25*$I$18</f>
        <v>10.77</v>
      </c>
      <c r="K25" s="456">
        <v>41245.260416666664</v>
      </c>
      <c r="L25" s="456">
        <v>41245.42291666667</v>
      </c>
      <c r="M25" s="23">
        <f>IF(F25="","",(L25-K25)*24)</f>
        <v>3.9000000001396984</v>
      </c>
      <c r="N25" s="24">
        <f>IF(F25="","",ROUND((L25-K25)*24*60,0))</f>
        <v>234</v>
      </c>
      <c r="O25" s="457" t="s">
        <v>212</v>
      </c>
      <c r="P25" s="457" t="str">
        <f>IF(F25="","",IF(OR(O25="P",O25="RP"),"--","NO"))</f>
        <v>--</v>
      </c>
      <c r="Q25" s="458">
        <v>40</v>
      </c>
      <c r="R25" s="457"/>
      <c r="S25" s="242">
        <f>$I$19*IF(R25="SI",1,0.1)*IF(OR(O25="P",O25="RP"),0.1,1)</f>
        <v>0.30000000000000004</v>
      </c>
      <c r="T25" s="246" t="str">
        <f>IF(O25="P",J25*S25*ROUND(N25/60,2),"--")</f>
        <v>--</v>
      </c>
      <c r="U25" s="252">
        <f>IF(O25="RP",J25*S25*Q25/100*ROUND(N25/60,2),"--")</f>
        <v>5.04036</v>
      </c>
      <c r="V25" s="199" t="str">
        <f>IF(AND(O25="F",P25="NO"),J25*S25,"--")</f>
        <v>--</v>
      </c>
      <c r="W25" s="260" t="str">
        <f>IF(O25="F",J25*S25*ROUND(N25/60,2),"--")</f>
        <v>--</v>
      </c>
      <c r="X25" s="269" t="str">
        <f>IF(AND(O25="R",P25="NO"),J25*S25*Q25/100,"--")</f>
        <v>--</v>
      </c>
      <c r="Y25" s="270" t="str">
        <f>IF(O25="R",J25*S25*ROUND(N25/60,2)*Q25/100,"--")</f>
        <v>--</v>
      </c>
      <c r="Z25" s="277" t="str">
        <f>IF(O25="RF",J25*S25*ROUND(N25/60,2),"--")</f>
        <v>--</v>
      </c>
      <c r="AA25" s="283" t="str">
        <f>IF(O25="RR",J25*S25*ROUND(N25/60,2)*Q25/100,"--")</f>
        <v>--</v>
      </c>
      <c r="AB25" s="22" t="s">
        <v>185</v>
      </c>
      <c r="AC25" s="27">
        <f>IF(F25="","",SUM(T25:AA25)*IF(AB25="SI",1,2))</f>
        <v>5.04036</v>
      </c>
      <c r="AD25" s="287"/>
    </row>
    <row r="26" spans="1:30" s="7" customFormat="1" ht="15">
      <c r="A26" s="118"/>
      <c r="B26" s="123"/>
      <c r="C26" s="447">
        <v>33</v>
      </c>
      <c r="D26" s="447">
        <v>255043</v>
      </c>
      <c r="E26" s="447">
        <v>3618</v>
      </c>
      <c r="F26" s="432" t="s">
        <v>214</v>
      </c>
      <c r="G26" s="426" t="s">
        <v>209</v>
      </c>
      <c r="H26" s="452">
        <v>7.5</v>
      </c>
      <c r="I26" s="433" t="s">
        <v>207</v>
      </c>
      <c r="J26" s="175">
        <f aca="true" t="shared" si="0" ref="J26:J36">H26*$I$18</f>
        <v>5.385</v>
      </c>
      <c r="K26" s="456">
        <v>41249.595138888886</v>
      </c>
      <c r="L26" s="456">
        <v>41249.59930555556</v>
      </c>
      <c r="M26" s="23">
        <f aca="true" t="shared" si="1" ref="M26:M36">IF(F26="","",(L26-K26)*24)</f>
        <v>0.10000000015133992</v>
      </c>
      <c r="N26" s="24">
        <f aca="true" t="shared" si="2" ref="N26:N36">IF(F26="","",ROUND((L26-K26)*24*60,0))</f>
        <v>6</v>
      </c>
      <c r="O26" s="457" t="s">
        <v>218</v>
      </c>
      <c r="P26" s="457" t="str">
        <f aca="true" t="shared" si="3" ref="P26:P36">IF(F26="","",IF(OR(O26="P",O26="RP"),"--","NO"))</f>
        <v>NO</v>
      </c>
      <c r="Q26" s="458">
        <v>40</v>
      </c>
      <c r="R26" s="457" t="s">
        <v>185</v>
      </c>
      <c r="S26" s="242">
        <f aca="true" t="shared" si="4" ref="S26:S36">$I$19*IF(R26="SI",1,0.1)*IF(OR(O26="P",O26="RP"),0.1,1)</f>
        <v>30</v>
      </c>
      <c r="T26" s="246" t="str">
        <f aca="true" t="shared" si="5" ref="T26:T36">IF(O26="P",J26*S26*ROUND(N26/60,2),"--")</f>
        <v>--</v>
      </c>
      <c r="U26" s="252" t="str">
        <f aca="true" t="shared" si="6" ref="U26:U36">IF(O26="RP",J26*S26*Q26/100*ROUND(N26/60,2),"--")</f>
        <v>--</v>
      </c>
      <c r="V26" s="199" t="str">
        <f aca="true" t="shared" si="7" ref="V26:V36">IF(AND(O26="F",P26="NO"),J26*S26,"--")</f>
        <v>--</v>
      </c>
      <c r="W26" s="260" t="str">
        <f aca="true" t="shared" si="8" ref="W26:W36">IF(O26="F",J26*S26*ROUND(N26/60,2),"--")</f>
        <v>--</v>
      </c>
      <c r="X26" s="269">
        <f aca="true" t="shared" si="9" ref="X26:X36">IF(AND(O26="R",P26="NO"),J26*S26*Q26/100,"--")</f>
        <v>64.61999999999999</v>
      </c>
      <c r="Y26" s="270">
        <f aca="true" t="shared" si="10" ref="Y26:Y36">IF(O26="R",J26*S26*ROUND(N26/60,2)*Q26/100,"--")</f>
        <v>6.462</v>
      </c>
      <c r="Z26" s="277" t="str">
        <f aca="true" t="shared" si="11" ref="Z26:Z36">IF(O26="RF",J26*S26*ROUND(N26/60,2),"--")</f>
        <v>--</v>
      </c>
      <c r="AA26" s="283" t="str">
        <f aca="true" t="shared" si="12" ref="AA26:AA36">IF(O26="RR",J26*S26*ROUND(N26/60,2)*Q26/100,"--")</f>
        <v>--</v>
      </c>
      <c r="AB26" s="22" t="s">
        <v>185</v>
      </c>
      <c r="AC26" s="27">
        <f aca="true" t="shared" si="13" ref="AC26:AC36">IF(F26="","",SUM(T26:AA26)*IF(AB26="SI",1,2))</f>
        <v>71.082</v>
      </c>
      <c r="AD26" s="287"/>
    </row>
    <row r="27" spans="1:30" s="7" customFormat="1" ht="15">
      <c r="A27" s="118"/>
      <c r="B27" s="123"/>
      <c r="C27" s="447">
        <v>34</v>
      </c>
      <c r="D27" s="447">
        <v>255046</v>
      </c>
      <c r="E27" s="447">
        <v>5130</v>
      </c>
      <c r="F27" s="432" t="s">
        <v>228</v>
      </c>
      <c r="G27" s="426" t="s">
        <v>209</v>
      </c>
      <c r="H27" s="483">
        <v>30</v>
      </c>
      <c r="I27" s="433" t="s">
        <v>207</v>
      </c>
      <c r="J27" s="175">
        <f t="shared" si="0"/>
        <v>21.54</v>
      </c>
      <c r="K27" s="456">
        <v>41250.03611111111</v>
      </c>
      <c r="L27" s="456">
        <v>41250.04027777778</v>
      </c>
      <c r="M27" s="23">
        <f t="shared" si="1"/>
        <v>0.09999999997671694</v>
      </c>
      <c r="N27" s="24">
        <f t="shared" si="2"/>
        <v>6</v>
      </c>
      <c r="O27" s="457" t="s">
        <v>218</v>
      </c>
      <c r="P27" s="457" t="str">
        <f t="shared" si="3"/>
        <v>NO</v>
      </c>
      <c r="Q27" s="458">
        <v>60</v>
      </c>
      <c r="R27" s="457" t="s">
        <v>185</v>
      </c>
      <c r="S27" s="242">
        <f t="shared" si="4"/>
        <v>30</v>
      </c>
      <c r="T27" s="246" t="str">
        <f t="shared" si="5"/>
        <v>--</v>
      </c>
      <c r="U27" s="252" t="str">
        <f t="shared" si="6"/>
        <v>--</v>
      </c>
      <c r="V27" s="199" t="str">
        <f t="shared" si="7"/>
        <v>--</v>
      </c>
      <c r="W27" s="260" t="str">
        <f t="shared" si="8"/>
        <v>--</v>
      </c>
      <c r="X27" s="269">
        <f t="shared" si="9"/>
        <v>387.7199999999999</v>
      </c>
      <c r="Y27" s="270">
        <f t="shared" si="10"/>
        <v>38.77199999999999</v>
      </c>
      <c r="Z27" s="277" t="str">
        <f t="shared" si="11"/>
        <v>--</v>
      </c>
      <c r="AA27" s="283" t="str">
        <f t="shared" si="12"/>
        <v>--</v>
      </c>
      <c r="AB27" s="22" t="s">
        <v>185</v>
      </c>
      <c r="AC27" s="27">
        <f t="shared" si="13"/>
        <v>426.4919999999999</v>
      </c>
      <c r="AD27" s="287"/>
    </row>
    <row r="28" spans="1:30" s="7" customFormat="1" ht="15">
      <c r="A28" s="118"/>
      <c r="B28" s="123"/>
      <c r="C28" s="447">
        <v>35</v>
      </c>
      <c r="D28" s="447">
        <v>255048</v>
      </c>
      <c r="E28" s="447">
        <v>540</v>
      </c>
      <c r="F28" s="432" t="s">
        <v>219</v>
      </c>
      <c r="G28" s="426" t="s">
        <v>209</v>
      </c>
      <c r="H28" s="452">
        <v>10</v>
      </c>
      <c r="I28" s="433" t="s">
        <v>207</v>
      </c>
      <c r="J28" s="175">
        <f t="shared" si="0"/>
        <v>7.18</v>
      </c>
      <c r="K28" s="456">
        <v>41250.18819444445</v>
      </c>
      <c r="L28" s="456">
        <v>41250.188888888886</v>
      </c>
      <c r="M28" s="23">
        <f t="shared" si="1"/>
        <v>0.016666666546370834</v>
      </c>
      <c r="N28" s="24">
        <f t="shared" si="2"/>
        <v>1</v>
      </c>
      <c r="O28" s="457" t="s">
        <v>218</v>
      </c>
      <c r="P28" s="457" t="str">
        <f t="shared" si="3"/>
        <v>NO</v>
      </c>
      <c r="Q28" s="458">
        <v>60</v>
      </c>
      <c r="R28" s="457"/>
      <c r="S28" s="242">
        <f t="shared" si="4"/>
        <v>3</v>
      </c>
      <c r="T28" s="246" t="str">
        <f t="shared" si="5"/>
        <v>--</v>
      </c>
      <c r="U28" s="252" t="str">
        <f t="shared" si="6"/>
        <v>--</v>
      </c>
      <c r="V28" s="199" t="str">
        <f t="shared" si="7"/>
        <v>--</v>
      </c>
      <c r="W28" s="260" t="str">
        <f t="shared" si="8"/>
        <v>--</v>
      </c>
      <c r="X28" s="269">
        <f t="shared" si="9"/>
        <v>12.924</v>
      </c>
      <c r="Y28" s="270">
        <f t="shared" si="10"/>
        <v>0.25848000000000004</v>
      </c>
      <c r="Z28" s="277" t="str">
        <f t="shared" si="11"/>
        <v>--</v>
      </c>
      <c r="AA28" s="283" t="str">
        <f t="shared" si="12"/>
        <v>--</v>
      </c>
      <c r="AB28" s="22" t="s">
        <v>185</v>
      </c>
      <c r="AC28" s="27">
        <f t="shared" si="13"/>
        <v>13.18248</v>
      </c>
      <c r="AD28" s="287"/>
    </row>
    <row r="29" spans="1:30" s="7" customFormat="1" ht="15">
      <c r="A29" s="118"/>
      <c r="B29" s="123"/>
      <c r="C29" s="447">
        <v>36</v>
      </c>
      <c r="D29" s="447">
        <v>255049</v>
      </c>
      <c r="E29" s="447">
        <v>4768</v>
      </c>
      <c r="F29" s="432" t="s">
        <v>229</v>
      </c>
      <c r="G29" s="426" t="s">
        <v>209</v>
      </c>
      <c r="H29" s="483">
        <v>15</v>
      </c>
      <c r="I29" s="433" t="s">
        <v>207</v>
      </c>
      <c r="J29" s="175">
        <f t="shared" si="0"/>
        <v>10.77</v>
      </c>
      <c r="K29" s="456">
        <v>41250.33819444444</v>
      </c>
      <c r="L29" s="456">
        <v>41250.65277777778</v>
      </c>
      <c r="M29" s="23">
        <f t="shared" si="1"/>
        <v>7.5500000001629815</v>
      </c>
      <c r="N29" s="24">
        <f t="shared" si="2"/>
        <v>453</v>
      </c>
      <c r="O29" s="457" t="s">
        <v>184</v>
      </c>
      <c r="P29" s="457" t="str">
        <f t="shared" si="3"/>
        <v>NO</v>
      </c>
      <c r="Q29" s="457" t="s">
        <v>208</v>
      </c>
      <c r="R29" s="457" t="s">
        <v>185</v>
      </c>
      <c r="S29" s="242">
        <f t="shared" si="4"/>
        <v>30</v>
      </c>
      <c r="T29" s="246" t="str">
        <f t="shared" si="5"/>
        <v>--</v>
      </c>
      <c r="U29" s="252" t="str">
        <f t="shared" si="6"/>
        <v>--</v>
      </c>
      <c r="V29" s="199">
        <f t="shared" si="7"/>
        <v>323.09999999999997</v>
      </c>
      <c r="W29" s="260">
        <f t="shared" si="8"/>
        <v>2439.4049999999997</v>
      </c>
      <c r="X29" s="269" t="str">
        <f t="shared" si="9"/>
        <v>--</v>
      </c>
      <c r="Y29" s="270" t="str">
        <f t="shared" si="10"/>
        <v>--</v>
      </c>
      <c r="Z29" s="277" t="str">
        <f t="shared" si="11"/>
        <v>--</v>
      </c>
      <c r="AA29" s="283" t="str">
        <f t="shared" si="12"/>
        <v>--</v>
      </c>
      <c r="AB29" s="22" t="s">
        <v>185</v>
      </c>
      <c r="AC29" s="27">
        <f t="shared" si="13"/>
        <v>2762.5049999999997</v>
      </c>
      <c r="AD29" s="287"/>
    </row>
    <row r="30" spans="1:30" s="7" customFormat="1" ht="15">
      <c r="A30" s="118"/>
      <c r="B30" s="123"/>
      <c r="C30" s="447">
        <v>37</v>
      </c>
      <c r="D30" s="447">
        <v>255050</v>
      </c>
      <c r="E30" s="447">
        <v>4884</v>
      </c>
      <c r="F30" s="432" t="s">
        <v>215</v>
      </c>
      <c r="G30" s="426" t="s">
        <v>213</v>
      </c>
      <c r="H30" s="483">
        <v>30</v>
      </c>
      <c r="I30" s="433" t="s">
        <v>217</v>
      </c>
      <c r="J30" s="175">
        <f t="shared" si="0"/>
        <v>21.54</v>
      </c>
      <c r="K30" s="456">
        <v>41251.0375</v>
      </c>
      <c r="L30" s="456">
        <v>41251.211805555555</v>
      </c>
      <c r="M30" s="23">
        <f t="shared" si="1"/>
        <v>4.183333333348855</v>
      </c>
      <c r="N30" s="24">
        <f t="shared" si="2"/>
        <v>251</v>
      </c>
      <c r="O30" s="457" t="s">
        <v>212</v>
      </c>
      <c r="P30" s="457" t="str">
        <f t="shared" si="3"/>
        <v>--</v>
      </c>
      <c r="Q30" s="458">
        <v>60</v>
      </c>
      <c r="R30" s="457"/>
      <c r="S30" s="242">
        <f t="shared" si="4"/>
        <v>0.30000000000000004</v>
      </c>
      <c r="T30" s="246" t="str">
        <f t="shared" si="5"/>
        <v>--</v>
      </c>
      <c r="U30" s="252">
        <f t="shared" si="6"/>
        <v>16.206696</v>
      </c>
      <c r="V30" s="199" t="str">
        <f t="shared" si="7"/>
        <v>--</v>
      </c>
      <c r="W30" s="260" t="str">
        <f t="shared" si="8"/>
        <v>--</v>
      </c>
      <c r="X30" s="269" t="str">
        <f t="shared" si="9"/>
        <v>--</v>
      </c>
      <c r="Y30" s="270" t="str">
        <f t="shared" si="10"/>
        <v>--</v>
      </c>
      <c r="Z30" s="277" t="str">
        <f t="shared" si="11"/>
        <v>--</v>
      </c>
      <c r="AA30" s="283" t="str">
        <f t="shared" si="12"/>
        <v>--</v>
      </c>
      <c r="AB30" s="22" t="s">
        <v>185</v>
      </c>
      <c r="AC30" s="27">
        <f t="shared" si="13"/>
        <v>16.206696</v>
      </c>
      <c r="AD30" s="287"/>
    </row>
    <row r="31" spans="1:30" s="7" customFormat="1" ht="15">
      <c r="A31" s="118"/>
      <c r="B31" s="123"/>
      <c r="C31" s="447">
        <v>38</v>
      </c>
      <c r="D31" s="447">
        <v>255052</v>
      </c>
      <c r="E31" s="447">
        <v>540</v>
      </c>
      <c r="F31" s="432" t="s">
        <v>219</v>
      </c>
      <c r="G31" s="426" t="s">
        <v>209</v>
      </c>
      <c r="H31" s="452">
        <v>10</v>
      </c>
      <c r="I31" s="433" t="s">
        <v>207</v>
      </c>
      <c r="J31" s="175">
        <f t="shared" si="0"/>
        <v>7.18</v>
      </c>
      <c r="K31" s="456">
        <v>41251.399305555555</v>
      </c>
      <c r="L31" s="456">
        <v>41251.54791666667</v>
      </c>
      <c r="M31" s="23">
        <f t="shared" si="1"/>
        <v>3.56666666676756</v>
      </c>
      <c r="N31" s="24">
        <f t="shared" si="2"/>
        <v>214</v>
      </c>
      <c r="O31" s="457" t="s">
        <v>191</v>
      </c>
      <c r="P31" s="457" t="str">
        <f t="shared" si="3"/>
        <v>--</v>
      </c>
      <c r="Q31" s="457" t="s">
        <v>208</v>
      </c>
      <c r="R31" s="457"/>
      <c r="S31" s="242">
        <f t="shared" si="4"/>
        <v>0.30000000000000004</v>
      </c>
      <c r="T31" s="246">
        <f t="shared" si="5"/>
        <v>7.689780000000001</v>
      </c>
      <c r="U31" s="252" t="str">
        <f t="shared" si="6"/>
        <v>--</v>
      </c>
      <c r="V31" s="199" t="str">
        <f t="shared" si="7"/>
        <v>--</v>
      </c>
      <c r="W31" s="260" t="str">
        <f t="shared" si="8"/>
        <v>--</v>
      </c>
      <c r="X31" s="269" t="str">
        <f t="shared" si="9"/>
        <v>--</v>
      </c>
      <c r="Y31" s="270" t="str">
        <f t="shared" si="10"/>
        <v>--</v>
      </c>
      <c r="Z31" s="277" t="str">
        <f t="shared" si="11"/>
        <v>--</v>
      </c>
      <c r="AA31" s="283" t="str">
        <f t="shared" si="12"/>
        <v>--</v>
      </c>
      <c r="AB31" s="22" t="s">
        <v>185</v>
      </c>
      <c r="AC31" s="27">
        <f t="shared" si="13"/>
        <v>7.689780000000001</v>
      </c>
      <c r="AD31" s="287"/>
    </row>
    <row r="32" spans="1:30" s="7" customFormat="1" ht="15">
      <c r="A32" s="118"/>
      <c r="B32" s="123"/>
      <c r="C32" s="447">
        <v>39</v>
      </c>
      <c r="D32" s="447">
        <v>255055</v>
      </c>
      <c r="E32" s="447">
        <v>3567</v>
      </c>
      <c r="F32" s="432" t="s">
        <v>215</v>
      </c>
      <c r="G32" s="426" t="s">
        <v>216</v>
      </c>
      <c r="H32" s="452">
        <v>30</v>
      </c>
      <c r="I32" s="433" t="s">
        <v>217</v>
      </c>
      <c r="J32" s="175">
        <f t="shared" si="0"/>
        <v>21.54</v>
      </c>
      <c r="K32" s="456">
        <v>41252.77361111111</v>
      </c>
      <c r="L32" s="456">
        <v>41252.87430555555</v>
      </c>
      <c r="M32" s="23">
        <f t="shared" si="1"/>
        <v>2.416666666686069</v>
      </c>
      <c r="N32" s="24">
        <f t="shared" si="2"/>
        <v>145</v>
      </c>
      <c r="O32" s="457" t="s">
        <v>184</v>
      </c>
      <c r="P32" s="457" t="str">
        <f t="shared" si="3"/>
        <v>NO</v>
      </c>
      <c r="Q32" s="457" t="s">
        <v>208</v>
      </c>
      <c r="R32" s="457" t="s">
        <v>185</v>
      </c>
      <c r="S32" s="242">
        <f t="shared" si="4"/>
        <v>30</v>
      </c>
      <c r="T32" s="246" t="str">
        <f t="shared" si="5"/>
        <v>--</v>
      </c>
      <c r="U32" s="252" t="str">
        <f t="shared" si="6"/>
        <v>--</v>
      </c>
      <c r="V32" s="199">
        <f t="shared" si="7"/>
        <v>646.1999999999999</v>
      </c>
      <c r="W32" s="260">
        <f t="shared" si="8"/>
        <v>1563.8039999999999</v>
      </c>
      <c r="X32" s="269" t="str">
        <f t="shared" si="9"/>
        <v>--</v>
      </c>
      <c r="Y32" s="270" t="str">
        <f t="shared" si="10"/>
        <v>--</v>
      </c>
      <c r="Z32" s="277" t="str">
        <f t="shared" si="11"/>
        <v>--</v>
      </c>
      <c r="AA32" s="283" t="str">
        <f t="shared" si="12"/>
        <v>--</v>
      </c>
      <c r="AB32" s="22" t="s">
        <v>185</v>
      </c>
      <c r="AC32" s="27">
        <f t="shared" si="13"/>
        <v>2210.004</v>
      </c>
      <c r="AD32" s="287"/>
    </row>
    <row r="33" spans="1:30" s="7" customFormat="1" ht="15">
      <c r="A33" s="118"/>
      <c r="B33" s="123"/>
      <c r="C33" s="447" t="s">
        <v>249</v>
      </c>
      <c r="D33" s="447">
        <v>255055</v>
      </c>
      <c r="E33" s="447">
        <v>3567</v>
      </c>
      <c r="F33" s="432" t="s">
        <v>215</v>
      </c>
      <c r="G33" s="426" t="s">
        <v>216</v>
      </c>
      <c r="H33" s="452">
        <v>30</v>
      </c>
      <c r="I33" s="433" t="s">
        <v>217</v>
      </c>
      <c r="J33" s="175">
        <f t="shared" si="0"/>
        <v>21.54</v>
      </c>
      <c r="K33" s="456">
        <v>41252.875</v>
      </c>
      <c r="L33" s="456">
        <v>41255.208333333336</v>
      </c>
      <c r="M33" s="23">
        <f t="shared" si="1"/>
        <v>56.00000000005821</v>
      </c>
      <c r="N33" s="24">
        <f t="shared" si="2"/>
        <v>3360</v>
      </c>
      <c r="O33" s="457" t="s">
        <v>250</v>
      </c>
      <c r="P33" s="457" t="str">
        <f t="shared" si="3"/>
        <v>NO</v>
      </c>
      <c r="Q33" s="457" t="s">
        <v>208</v>
      </c>
      <c r="R33" s="457" t="s">
        <v>251</v>
      </c>
      <c r="S33" s="242">
        <f>$I$19*IF(R33="SI",1,0.1)*IF(OR(O33="P",O33="RP"),0.1,1)</f>
        <v>3</v>
      </c>
      <c r="T33" s="246" t="str">
        <f>IF(O33="P",J33*S33*ROUND(N33/60,2),"--")</f>
        <v>--</v>
      </c>
      <c r="U33" s="252" t="str">
        <f>IF(O33="RP",J33*S33*Q33/100*ROUND(N33/60,2),"--")</f>
        <v>--</v>
      </c>
      <c r="V33" s="199" t="str">
        <f>IF(AND(O33="F",P33="NO"),J33*S33,"--")</f>
        <v>--</v>
      </c>
      <c r="W33" s="260" t="str">
        <f>IF(O33="F",J33*S33*ROUND(N33/60,2),"--")</f>
        <v>--</v>
      </c>
      <c r="X33" s="269" t="str">
        <f>IF(AND(O33="R",P33="NO"),J33*S33*Q33/100,"--")</f>
        <v>--</v>
      </c>
      <c r="Y33" s="270" t="str">
        <f>IF(O33="R",J33*S33*ROUND(N33/60,2)*Q33/100,"--")</f>
        <v>--</v>
      </c>
      <c r="Z33" s="277">
        <f>IF(O33="RF",J33*S33*ROUND(N33/60,2),"--")</f>
        <v>3618.7200000000003</v>
      </c>
      <c r="AA33" s="283" t="str">
        <f>IF(O33="RR",J33*S33*ROUND(N33/60,2)*Q33/100,"--")</f>
        <v>--</v>
      </c>
      <c r="AB33" s="22" t="s">
        <v>185</v>
      </c>
      <c r="AC33" s="27">
        <f t="shared" si="13"/>
        <v>3618.7200000000003</v>
      </c>
      <c r="AD33" s="287"/>
    </row>
    <row r="34" spans="1:30" s="7" customFormat="1" ht="15">
      <c r="A34" s="118"/>
      <c r="B34" s="123"/>
      <c r="C34" s="447">
        <v>40</v>
      </c>
      <c r="D34" s="447">
        <v>255578</v>
      </c>
      <c r="E34" s="447">
        <v>4884</v>
      </c>
      <c r="F34" s="432" t="s">
        <v>215</v>
      </c>
      <c r="G34" s="426" t="s">
        <v>213</v>
      </c>
      <c r="H34" s="483">
        <v>30</v>
      </c>
      <c r="I34" s="433" t="s">
        <v>217</v>
      </c>
      <c r="J34" s="175">
        <f t="shared" si="0"/>
        <v>21.54</v>
      </c>
      <c r="K34" s="456">
        <v>41253.52777777778</v>
      </c>
      <c r="L34" s="456">
        <v>41253.59305555555</v>
      </c>
      <c r="M34" s="23">
        <f t="shared" si="1"/>
        <v>1.5666666665347293</v>
      </c>
      <c r="N34" s="24">
        <f t="shared" si="2"/>
        <v>94</v>
      </c>
      <c r="O34" s="457" t="s">
        <v>184</v>
      </c>
      <c r="P34" s="457" t="str">
        <f t="shared" si="3"/>
        <v>NO</v>
      </c>
      <c r="Q34" s="457" t="s">
        <v>208</v>
      </c>
      <c r="R34" s="457" t="s">
        <v>185</v>
      </c>
      <c r="S34" s="242">
        <f t="shared" si="4"/>
        <v>30</v>
      </c>
      <c r="T34" s="246" t="str">
        <f t="shared" si="5"/>
        <v>--</v>
      </c>
      <c r="U34" s="252" t="str">
        <f t="shared" si="6"/>
        <v>--</v>
      </c>
      <c r="V34" s="199">
        <f t="shared" si="7"/>
        <v>646.1999999999999</v>
      </c>
      <c r="W34" s="260">
        <f t="shared" si="8"/>
        <v>1014.5339999999999</v>
      </c>
      <c r="X34" s="269" t="str">
        <f t="shared" si="9"/>
        <v>--</v>
      </c>
      <c r="Y34" s="270" t="str">
        <f t="shared" si="10"/>
        <v>--</v>
      </c>
      <c r="Z34" s="277" t="str">
        <f t="shared" si="11"/>
        <v>--</v>
      </c>
      <c r="AA34" s="283" t="str">
        <f t="shared" si="12"/>
        <v>--</v>
      </c>
      <c r="AB34" s="22" t="s">
        <v>185</v>
      </c>
      <c r="AC34" s="27">
        <f t="shared" si="13"/>
        <v>1660.734</v>
      </c>
      <c r="AD34" s="287"/>
    </row>
    <row r="35" spans="1:30" s="7" customFormat="1" ht="15">
      <c r="A35" s="118"/>
      <c r="B35" s="123"/>
      <c r="C35" s="447">
        <v>41</v>
      </c>
      <c r="D35" s="447">
        <v>255602</v>
      </c>
      <c r="E35" s="447">
        <v>5130</v>
      </c>
      <c r="F35" s="432" t="s">
        <v>228</v>
      </c>
      <c r="G35" s="426" t="s">
        <v>209</v>
      </c>
      <c r="H35" s="483">
        <v>30</v>
      </c>
      <c r="I35" s="433" t="s">
        <v>207</v>
      </c>
      <c r="J35" s="175">
        <f t="shared" si="0"/>
        <v>21.54</v>
      </c>
      <c r="K35" s="456">
        <v>41255.790972222225</v>
      </c>
      <c r="L35" s="456">
        <v>41255.80138888889</v>
      </c>
      <c r="M35" s="23">
        <f t="shared" si="1"/>
        <v>0.24999999994179234</v>
      </c>
      <c r="N35" s="24">
        <f t="shared" si="2"/>
        <v>15</v>
      </c>
      <c r="O35" s="457" t="s">
        <v>184</v>
      </c>
      <c r="P35" s="457" t="str">
        <f t="shared" si="3"/>
        <v>NO</v>
      </c>
      <c r="Q35" s="457" t="s">
        <v>208</v>
      </c>
      <c r="R35" s="457" t="s">
        <v>185</v>
      </c>
      <c r="S35" s="242">
        <f t="shared" si="4"/>
        <v>30</v>
      </c>
      <c r="T35" s="246" t="str">
        <f t="shared" si="5"/>
        <v>--</v>
      </c>
      <c r="U35" s="252" t="str">
        <f t="shared" si="6"/>
        <v>--</v>
      </c>
      <c r="V35" s="199">
        <f t="shared" si="7"/>
        <v>646.1999999999999</v>
      </c>
      <c r="W35" s="260">
        <f t="shared" si="8"/>
        <v>161.54999999999998</v>
      </c>
      <c r="X35" s="269" t="str">
        <f t="shared" si="9"/>
        <v>--</v>
      </c>
      <c r="Y35" s="270" t="str">
        <f t="shared" si="10"/>
        <v>--</v>
      </c>
      <c r="Z35" s="277" t="str">
        <f t="shared" si="11"/>
        <v>--</v>
      </c>
      <c r="AA35" s="283" t="str">
        <f t="shared" si="12"/>
        <v>--</v>
      </c>
      <c r="AB35" s="22" t="s">
        <v>185</v>
      </c>
      <c r="AC35" s="27">
        <f t="shared" si="13"/>
        <v>807.7499999999999</v>
      </c>
      <c r="AD35" s="287"/>
    </row>
    <row r="36" spans="1:30" s="7" customFormat="1" ht="15">
      <c r="A36" s="118"/>
      <c r="B36" s="123"/>
      <c r="C36" s="447">
        <v>42</v>
      </c>
      <c r="D36" s="447">
        <v>255603</v>
      </c>
      <c r="E36" s="447">
        <v>5130</v>
      </c>
      <c r="F36" s="432" t="s">
        <v>228</v>
      </c>
      <c r="G36" s="426" t="s">
        <v>209</v>
      </c>
      <c r="H36" s="483">
        <v>30</v>
      </c>
      <c r="I36" s="433" t="s">
        <v>207</v>
      </c>
      <c r="J36" s="175">
        <f t="shared" si="0"/>
        <v>21.54</v>
      </c>
      <c r="K36" s="456">
        <v>41255.822916666664</v>
      </c>
      <c r="L36" s="456">
        <v>41255.864583333336</v>
      </c>
      <c r="M36" s="23">
        <f t="shared" si="1"/>
        <v>1.0000000001164153</v>
      </c>
      <c r="N36" s="24">
        <f t="shared" si="2"/>
        <v>60</v>
      </c>
      <c r="O36" s="457" t="s">
        <v>218</v>
      </c>
      <c r="P36" s="457" t="str">
        <f t="shared" si="3"/>
        <v>NO</v>
      </c>
      <c r="Q36" s="458">
        <v>60</v>
      </c>
      <c r="R36" s="457" t="s">
        <v>185</v>
      </c>
      <c r="S36" s="242">
        <f t="shared" si="4"/>
        <v>30</v>
      </c>
      <c r="T36" s="246" t="str">
        <f t="shared" si="5"/>
        <v>--</v>
      </c>
      <c r="U36" s="252" t="str">
        <f t="shared" si="6"/>
        <v>--</v>
      </c>
      <c r="V36" s="199" t="str">
        <f t="shared" si="7"/>
        <v>--</v>
      </c>
      <c r="W36" s="260" t="str">
        <f t="shared" si="8"/>
        <v>--</v>
      </c>
      <c r="X36" s="269">
        <f t="shared" si="9"/>
        <v>387.7199999999999</v>
      </c>
      <c r="Y36" s="270">
        <f t="shared" si="10"/>
        <v>387.7199999999999</v>
      </c>
      <c r="Z36" s="277" t="str">
        <f t="shared" si="11"/>
        <v>--</v>
      </c>
      <c r="AA36" s="283" t="str">
        <f t="shared" si="12"/>
        <v>--</v>
      </c>
      <c r="AB36" s="22" t="s">
        <v>185</v>
      </c>
      <c r="AC36" s="27">
        <f t="shared" si="13"/>
        <v>775.4399999999998</v>
      </c>
      <c r="AD36" s="287"/>
    </row>
    <row r="37" spans="1:30" s="7" customFormat="1" ht="15">
      <c r="A37" s="118"/>
      <c r="B37" s="123"/>
      <c r="C37" s="447"/>
      <c r="D37" s="447"/>
      <c r="E37" s="447"/>
      <c r="F37" s="432"/>
      <c r="G37" s="426"/>
      <c r="H37" s="483"/>
      <c r="I37" s="433"/>
      <c r="J37" s="175">
        <f>H37*$I$18</f>
        <v>0</v>
      </c>
      <c r="K37" s="456"/>
      <c r="L37" s="456"/>
      <c r="M37" s="23"/>
      <c r="N37" s="24"/>
      <c r="O37" s="457"/>
      <c r="P37" s="457">
        <f>IF(F37="","",IF(OR(O37="P",O37="RP"),"--","NO"))</f>
      </c>
      <c r="Q37" s="458">
        <f>IF(F37="","","--")</f>
      </c>
      <c r="R37" s="457"/>
      <c r="S37" s="242"/>
      <c r="T37" s="246"/>
      <c r="U37" s="252"/>
      <c r="V37" s="199"/>
      <c r="W37" s="260"/>
      <c r="X37" s="269"/>
      <c r="Y37" s="270"/>
      <c r="Z37" s="277"/>
      <c r="AA37" s="283"/>
      <c r="AB37" s="22"/>
      <c r="AC37" s="27"/>
      <c r="AD37" s="287"/>
    </row>
    <row r="38" spans="1:30" s="7" customFormat="1" ht="15">
      <c r="A38" s="118"/>
      <c r="B38" s="123"/>
      <c r="C38" s="447"/>
      <c r="D38" s="447"/>
      <c r="E38" s="447"/>
      <c r="F38" s="432"/>
      <c r="G38" s="426"/>
      <c r="H38" s="483"/>
      <c r="I38" s="433"/>
      <c r="J38" s="175">
        <f>H38*$I$18</f>
        <v>0</v>
      </c>
      <c r="K38" s="456"/>
      <c r="L38" s="456"/>
      <c r="M38" s="23"/>
      <c r="N38" s="24"/>
      <c r="O38" s="457"/>
      <c r="P38" s="457">
        <f>IF(F38="","",IF(OR(O38="P",O38="RP"),"--","NO"))</f>
      </c>
      <c r="Q38" s="458">
        <f>IF(F38="","","--")</f>
      </c>
      <c r="R38" s="457"/>
      <c r="S38" s="242"/>
      <c r="T38" s="246"/>
      <c r="U38" s="252"/>
      <c r="V38" s="199"/>
      <c r="W38" s="260"/>
      <c r="X38" s="269"/>
      <c r="Y38" s="270"/>
      <c r="Z38" s="277"/>
      <c r="AA38" s="283"/>
      <c r="AB38" s="22"/>
      <c r="AC38" s="27"/>
      <c r="AD38" s="287"/>
    </row>
    <row r="39" spans="1:30" s="7" customFormat="1" ht="15">
      <c r="A39" s="118"/>
      <c r="B39" s="123"/>
      <c r="C39" s="447"/>
      <c r="D39" s="447"/>
      <c r="E39" s="447"/>
      <c r="F39" s="432"/>
      <c r="G39" s="426"/>
      <c r="H39" s="483"/>
      <c r="I39" s="433"/>
      <c r="J39" s="175">
        <f>H39*$I$18</f>
        <v>0</v>
      </c>
      <c r="K39" s="456"/>
      <c r="L39" s="456"/>
      <c r="M39" s="23"/>
      <c r="N39" s="24"/>
      <c r="O39" s="457"/>
      <c r="P39" s="457">
        <f>IF(F39="","",IF(OR(O39="P",O39="RP"),"--","NO"))</f>
      </c>
      <c r="Q39" s="458">
        <f>IF(F39="","","--")</f>
      </c>
      <c r="R39" s="457"/>
      <c r="S39" s="242"/>
      <c r="T39" s="246"/>
      <c r="U39" s="252"/>
      <c r="V39" s="199"/>
      <c r="W39" s="260"/>
      <c r="X39" s="269"/>
      <c r="Y39" s="270"/>
      <c r="Z39" s="277"/>
      <c r="AA39" s="283"/>
      <c r="AB39" s="22"/>
      <c r="AC39" s="27"/>
      <c r="AD39" s="287"/>
    </row>
    <row r="40" spans="1:30" s="7" customFormat="1" ht="15">
      <c r="A40" s="118"/>
      <c r="B40" s="123"/>
      <c r="C40" s="447"/>
      <c r="D40" s="447"/>
      <c r="E40" s="447"/>
      <c r="F40" s="432"/>
      <c r="G40" s="426"/>
      <c r="H40" s="452"/>
      <c r="I40" s="453"/>
      <c r="J40" s="175">
        <f>H40*$I$18</f>
        <v>0</v>
      </c>
      <c r="K40" s="456"/>
      <c r="L40" s="456"/>
      <c r="M40" s="23">
        <f>IF(F40="","",(L40-K40)*24)</f>
      </c>
      <c r="N40" s="24">
        <f>IF(F40="","",ROUND((L40-K40)*24*60,0))</f>
      </c>
      <c r="O40" s="457"/>
      <c r="P40" s="457">
        <f>IF(F40="","",IF(OR(O40="P",O40="RP"),"--","NO"))</f>
      </c>
      <c r="Q40" s="458">
        <f>IF(F40="","","--")</f>
      </c>
      <c r="R40" s="457"/>
      <c r="S40" s="242">
        <f>$I$19*IF(R40="SI",1,0.1)*IF(OR(O40="P",O40="RP"),0.1,1)</f>
        <v>3</v>
      </c>
      <c r="T40" s="246" t="str">
        <f>IF(O40="P",J40*S40*ROUND(N40/60,2),"--")</f>
        <v>--</v>
      </c>
      <c r="U40" s="252" t="str">
        <f>IF(O40="RP",J40*S40*Q40/100*ROUND(N40/60,2),"--")</f>
        <v>--</v>
      </c>
      <c r="V40" s="199" t="str">
        <f>IF(AND(O40="F",P40="NO"),J40*S40,"--")</f>
        <v>--</v>
      </c>
      <c r="W40" s="260" t="str">
        <f>IF(O40="F",J40*S40*ROUND(N40/60,2),"--")</f>
        <v>--</v>
      </c>
      <c r="X40" s="269" t="str">
        <f>IF(AND(O40="R",P40="NO"),J40*S40*Q40/100,"--")</f>
        <v>--</v>
      </c>
      <c r="Y40" s="270" t="str">
        <f>IF(O40="R",J40*S40*ROUND(N40/60,2)*Q40/100,"--")</f>
        <v>--</v>
      </c>
      <c r="Z40" s="277" t="str">
        <f>IF(O40="RF",J40*S40*ROUND(N40/60,2),"--")</f>
        <v>--</v>
      </c>
      <c r="AA40" s="283" t="str">
        <f>IF(O40="RR",J40*S40*ROUND(N40/60,2)*Q40/100,"--")</f>
        <v>--</v>
      </c>
      <c r="AB40" s="22">
        <f>IF(F40="","","SI")</f>
      </c>
      <c r="AC40" s="27">
        <f>IF(F40="","",SUM(T40:AA40)*IF(AB40="SI",1,2))</f>
      </c>
      <c r="AD40" s="30"/>
    </row>
    <row r="41" spans="1:30" s="7" customFormat="1" ht="15.75" thickBot="1">
      <c r="A41" s="118"/>
      <c r="B41" s="123"/>
      <c r="C41" s="454"/>
      <c r="D41" s="454"/>
      <c r="E41" s="454"/>
      <c r="F41" s="454"/>
      <c r="G41" s="454"/>
      <c r="H41" s="454"/>
      <c r="I41" s="454"/>
      <c r="J41" s="179"/>
      <c r="K41" s="454"/>
      <c r="L41" s="454"/>
      <c r="M41" s="25"/>
      <c r="N41" s="25"/>
      <c r="O41" s="454"/>
      <c r="P41" s="454"/>
      <c r="Q41" s="454"/>
      <c r="R41" s="454"/>
      <c r="S41" s="238"/>
      <c r="T41" s="247"/>
      <c r="U41" s="253"/>
      <c r="V41" s="256"/>
      <c r="W41" s="257"/>
      <c r="X41" s="271"/>
      <c r="Y41" s="272"/>
      <c r="Z41" s="278"/>
      <c r="AA41" s="284"/>
      <c r="AB41" s="25"/>
      <c r="AC41" s="180"/>
      <c r="AD41" s="30"/>
    </row>
    <row r="42" spans="1:30" s="7" customFormat="1" ht="17.25" thickBot="1" thickTop="1">
      <c r="A42" s="118"/>
      <c r="B42" s="123"/>
      <c r="C42" s="517" t="s">
        <v>232</v>
      </c>
      <c r="D42" s="516" t="s">
        <v>252</v>
      </c>
      <c r="E42" s="165"/>
      <c r="F42" s="16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48">
        <f aca="true" t="shared" si="14" ref="T42:AA42">SUM(T22:T41)</f>
        <v>127.49526</v>
      </c>
      <c r="U42" s="254">
        <f t="shared" si="14"/>
        <v>21.247056</v>
      </c>
      <c r="V42" s="258">
        <f t="shared" si="14"/>
        <v>2261.7</v>
      </c>
      <c r="W42" s="258">
        <f t="shared" si="14"/>
        <v>5179.293</v>
      </c>
      <c r="X42" s="273">
        <f t="shared" si="14"/>
        <v>852.9839999999998</v>
      </c>
      <c r="Y42" s="273">
        <f t="shared" si="14"/>
        <v>433.2124799999999</v>
      </c>
      <c r="Z42" s="279">
        <f t="shared" si="14"/>
        <v>3618.7200000000003</v>
      </c>
      <c r="AA42" s="285">
        <f t="shared" si="14"/>
        <v>0</v>
      </c>
      <c r="AB42" s="181"/>
      <c r="AC42" s="130">
        <f>ROUND(SUM(AC22:AC41),2)</f>
        <v>12494.65</v>
      </c>
      <c r="AD42" s="30"/>
    </row>
    <row r="43" spans="1:30" s="7" customFormat="1" ht="13.5" thickTop="1">
      <c r="A43" s="118"/>
      <c r="B43" s="123"/>
      <c r="C43" s="165"/>
      <c r="D43" s="165"/>
      <c r="E43" s="165"/>
      <c r="F43" s="16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30"/>
    </row>
    <row r="44" spans="1:30" s="7" customFormat="1" ht="13.5" thickBot="1">
      <c r="A44" s="118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3"/>
    </row>
    <row r="45" spans="1:30" ht="16.5" customHeight="1" thickTop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2"/>
    </row>
    <row r="46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7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H43"/>
  <sheetViews>
    <sheetView zoomScale="75" zoomScaleNormal="75" zoomScalePageLayoutView="0" workbookViewId="0" topLeftCell="A1">
      <selection activeCell="D41" sqref="D41"/>
    </sheetView>
  </sheetViews>
  <sheetFormatPr defaultColWidth="11.421875" defaultRowHeight="12.75"/>
  <cols>
    <col min="1" max="1" width="0.85546875" style="0" customWidth="1"/>
    <col min="2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5.140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0.421875" style="0" hidden="1" customWidth="1"/>
    <col min="20" max="21" width="12.28125" style="0" hidden="1" customWidth="1"/>
    <col min="22" max="22" width="9.421875" style="0" hidden="1" customWidth="1"/>
    <col min="23" max="23" width="12.7109375" style="0" hidden="1" customWidth="1"/>
    <col min="24" max="24" width="7.57421875" style="0" hidden="1" customWidth="1"/>
    <col min="25" max="25" width="9.421875" style="0" hidden="1" customWidth="1"/>
    <col min="26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477" t="str">
        <f>+'TOT-1212'!B2</f>
        <v>ANEXO III al Memorándum  D.T.E.E.  N°  261/ 2014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478" t="s">
        <v>168</v>
      </c>
      <c r="B4" s="111"/>
      <c r="C4" s="478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478" t="s">
        <v>169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23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47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48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49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'TOT-1212'!B14</f>
        <v>Desde el 01 al 31 de diciembre de 2012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50</v>
      </c>
      <c r="G18" s="143"/>
      <c r="H18" s="144"/>
      <c r="I18" s="145">
        <v>0.718</v>
      </c>
      <c r="J18" s="118"/>
      <c r="K18" s="26"/>
      <c r="L18" s="418"/>
      <c r="M18" s="41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51</v>
      </c>
      <c r="G19" s="147"/>
      <c r="H19" s="147"/>
      <c r="I19" s="148">
        <f>30*'TOT-1212'!B13</f>
        <v>30</v>
      </c>
      <c r="J19" s="26"/>
      <c r="K19" s="171" t="str">
        <f>IF(I19=30," ",IF(I19=60,"  Coeficiente duplicado por tasa de falla &gt;4 Sal. x año/100 km.","REVISAR COEFICIENTE"))</f>
        <v> 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482">
        <v>3</v>
      </c>
      <c r="D20" s="482">
        <v>4</v>
      </c>
      <c r="E20" s="482">
        <v>5</v>
      </c>
      <c r="F20" s="482">
        <v>6</v>
      </c>
      <c r="G20" s="482">
        <v>7</v>
      </c>
      <c r="H20" s="482">
        <v>8</v>
      </c>
      <c r="I20" s="482">
        <v>9</v>
      </c>
      <c r="J20" s="482">
        <v>10</v>
      </c>
      <c r="K20" s="482">
        <v>11</v>
      </c>
      <c r="L20" s="482">
        <v>12</v>
      </c>
      <c r="M20" s="482">
        <v>13</v>
      </c>
      <c r="N20" s="482">
        <v>14</v>
      </c>
      <c r="O20" s="482">
        <v>15</v>
      </c>
      <c r="P20" s="482">
        <v>16</v>
      </c>
      <c r="Q20" s="482">
        <v>17</v>
      </c>
      <c r="R20" s="482">
        <v>18</v>
      </c>
      <c r="S20" s="482">
        <v>19</v>
      </c>
      <c r="T20" s="482">
        <v>20</v>
      </c>
      <c r="U20" s="482">
        <v>21</v>
      </c>
      <c r="V20" s="482">
        <v>22</v>
      </c>
      <c r="W20" s="482">
        <v>23</v>
      </c>
      <c r="X20" s="482">
        <v>24</v>
      </c>
      <c r="Y20" s="482">
        <v>25</v>
      </c>
      <c r="Z20" s="482">
        <v>26</v>
      </c>
      <c r="AA20" s="482">
        <v>27</v>
      </c>
      <c r="AB20" s="482">
        <v>28</v>
      </c>
      <c r="AC20" s="482">
        <v>29</v>
      </c>
      <c r="AD20" s="30"/>
    </row>
    <row r="21" spans="1:30" s="7" customFormat="1" ht="33.75" customHeight="1" thickBot="1" thickTop="1">
      <c r="A21" s="118"/>
      <c r="B21" s="123"/>
      <c r="C21" s="112" t="s">
        <v>28</v>
      </c>
      <c r="D21" s="112" t="s">
        <v>167</v>
      </c>
      <c r="E21" s="112" t="s">
        <v>166</v>
      </c>
      <c r="F21" s="157" t="s">
        <v>52</v>
      </c>
      <c r="G21" s="156" t="s">
        <v>53</v>
      </c>
      <c r="H21" s="158" t="s">
        <v>54</v>
      </c>
      <c r="I21" s="159" t="s">
        <v>29</v>
      </c>
      <c r="J21" s="173" t="s">
        <v>31</v>
      </c>
      <c r="K21" s="156" t="s">
        <v>32</v>
      </c>
      <c r="L21" s="156" t="s">
        <v>33</v>
      </c>
      <c r="M21" s="157" t="s">
        <v>55</v>
      </c>
      <c r="N21" s="157" t="s">
        <v>56</v>
      </c>
      <c r="O21" s="114" t="s">
        <v>36</v>
      </c>
      <c r="P21" s="156" t="s">
        <v>57</v>
      </c>
      <c r="Q21" s="157" t="s">
        <v>37</v>
      </c>
      <c r="R21" s="156" t="s">
        <v>58</v>
      </c>
      <c r="S21" s="239" t="s">
        <v>59</v>
      </c>
      <c r="T21" s="243" t="s">
        <v>38</v>
      </c>
      <c r="U21" s="249" t="s">
        <v>39</v>
      </c>
      <c r="V21" s="196" t="s">
        <v>60</v>
      </c>
      <c r="W21" s="198"/>
      <c r="X21" s="263" t="s">
        <v>61</v>
      </c>
      <c r="Y21" s="264"/>
      <c r="Z21" s="274" t="s">
        <v>42</v>
      </c>
      <c r="AA21" s="280" t="s">
        <v>43</v>
      </c>
      <c r="AB21" s="159" t="s">
        <v>44</v>
      </c>
      <c r="AC21" s="159" t="s">
        <v>45</v>
      </c>
      <c r="AD21" s="30"/>
    </row>
    <row r="22" spans="1:30" s="7" customFormat="1" ht="15.75" thickTop="1">
      <c r="A22" s="118"/>
      <c r="B22" s="123"/>
      <c r="C22" s="447"/>
      <c r="D22" s="447"/>
      <c r="E22" s="447"/>
      <c r="F22" s="448"/>
      <c r="G22" s="449"/>
      <c r="H22" s="449"/>
      <c r="I22" s="449"/>
      <c r="J22" s="177"/>
      <c r="K22" s="455"/>
      <c r="L22" s="449"/>
      <c r="M22" s="21"/>
      <c r="N22" s="21"/>
      <c r="O22" s="449"/>
      <c r="P22" s="449"/>
      <c r="Q22" s="449"/>
      <c r="R22" s="449"/>
      <c r="S22" s="240"/>
      <c r="T22" s="244"/>
      <c r="U22" s="250"/>
      <c r="V22" s="261"/>
      <c r="W22" s="255"/>
      <c r="X22" s="265"/>
      <c r="Y22" s="266"/>
      <c r="Z22" s="275"/>
      <c r="AA22" s="281"/>
      <c r="AB22" s="20"/>
      <c r="AC22" s="31">
        <f>'T-12 (1)'!AC42</f>
        <v>12494.65</v>
      </c>
      <c r="AD22" s="30"/>
    </row>
    <row r="23" spans="1:30" s="7" customFormat="1" ht="15">
      <c r="A23" s="118"/>
      <c r="B23" s="123"/>
      <c r="C23" s="447"/>
      <c r="D23" s="447"/>
      <c r="E23" s="447"/>
      <c r="F23" s="450"/>
      <c r="G23" s="451"/>
      <c r="H23" s="451"/>
      <c r="I23" s="451"/>
      <c r="J23" s="178"/>
      <c r="K23" s="450"/>
      <c r="L23" s="451"/>
      <c r="M23" s="17"/>
      <c r="N23" s="17"/>
      <c r="O23" s="451"/>
      <c r="P23" s="451"/>
      <c r="Q23" s="451"/>
      <c r="R23" s="451"/>
      <c r="S23" s="241"/>
      <c r="T23" s="245"/>
      <c r="U23" s="251"/>
      <c r="V23" s="262"/>
      <c r="W23" s="259"/>
      <c r="X23" s="267"/>
      <c r="Y23" s="268"/>
      <c r="Z23" s="276"/>
      <c r="AA23" s="282"/>
      <c r="AB23" s="16"/>
      <c r="AC23" s="27"/>
      <c r="AD23" s="30"/>
    </row>
    <row r="24" spans="1:30" s="7" customFormat="1" ht="15">
      <c r="A24" s="118"/>
      <c r="B24" s="123"/>
      <c r="C24" s="447">
        <v>43</v>
      </c>
      <c r="D24" s="447">
        <v>255604</v>
      </c>
      <c r="E24" s="447">
        <v>5130</v>
      </c>
      <c r="F24" s="432" t="s">
        <v>228</v>
      </c>
      <c r="G24" s="426" t="s">
        <v>209</v>
      </c>
      <c r="H24" s="483">
        <v>30</v>
      </c>
      <c r="I24" s="433" t="s">
        <v>207</v>
      </c>
      <c r="J24" s="175">
        <f aca="true" t="shared" si="0" ref="J24:J33">H24*$I$18</f>
        <v>21.54</v>
      </c>
      <c r="K24" s="456">
        <v>41255.865277777775</v>
      </c>
      <c r="L24" s="456">
        <v>41256.39513888889</v>
      </c>
      <c r="M24" s="23">
        <f aca="true" t="shared" si="1" ref="M24:M33">IF(F24="","",(L24-K24)*24)</f>
        <v>12.716666666732635</v>
      </c>
      <c r="N24" s="24">
        <f aca="true" t="shared" si="2" ref="N24:N33">IF(F24="","",ROUND((L24-K24)*24*60,0))</f>
        <v>763</v>
      </c>
      <c r="O24" s="457" t="s">
        <v>218</v>
      </c>
      <c r="P24" s="457" t="str">
        <f aca="true" t="shared" si="3" ref="P24:P33">IF(F24="","",IF(OR(O24="P",O24="RP"),"--","NO"))</f>
        <v>NO</v>
      </c>
      <c r="Q24" s="458">
        <v>60</v>
      </c>
      <c r="R24" s="457"/>
      <c r="S24" s="242">
        <f aca="true" t="shared" si="4" ref="S24:S33">$I$19*IF(R24="SI",1,0.1)*IF(OR(O24="P",O24="RP"),0.1,1)</f>
        <v>3</v>
      </c>
      <c r="T24" s="246" t="str">
        <f aca="true" t="shared" si="5" ref="T24:T33">IF(O24="P",J24*S24*ROUND(N24/60,2),"--")</f>
        <v>--</v>
      </c>
      <c r="U24" s="252" t="str">
        <f aca="true" t="shared" si="6" ref="U24:U33">IF(O24="RP",J24*S24*Q24/100*ROUND(N24/60,2),"--")</f>
        <v>--</v>
      </c>
      <c r="V24" s="199" t="str">
        <f aca="true" t="shared" si="7" ref="V24:V33">IF(AND(O24="F",P24="NO"),J24*S24,"--")</f>
        <v>--</v>
      </c>
      <c r="W24" s="260" t="str">
        <f aca="true" t="shared" si="8" ref="W24:W33">IF(O24="F",J24*S24*ROUND(N24/60,2),"--")</f>
        <v>--</v>
      </c>
      <c r="X24" s="269">
        <f aca="true" t="shared" si="9" ref="X24:X33">IF(AND(O24="R",P24="NO"),J24*S24*Q24/100,"--")</f>
        <v>38.772000000000006</v>
      </c>
      <c r="Y24" s="270">
        <f aca="true" t="shared" si="10" ref="Y24:Y33">IF(O24="R",J24*S24*ROUND(N24/60,2)*Q24/100,"--")</f>
        <v>493.1798400000001</v>
      </c>
      <c r="Z24" s="277" t="str">
        <f aca="true" t="shared" si="11" ref="Z24:Z33">IF(O24="RF",J24*S24*ROUND(N24/60,2),"--")</f>
        <v>--</v>
      </c>
      <c r="AA24" s="283" t="str">
        <f aca="true" t="shared" si="12" ref="AA24:AA33">IF(O24="RR",J24*S24*ROUND(N24/60,2)*Q24/100,"--")</f>
        <v>--</v>
      </c>
      <c r="AB24" s="22" t="s">
        <v>185</v>
      </c>
      <c r="AC24" s="27">
        <f aca="true" t="shared" si="13" ref="AC24:AC33">IF(F24="","",SUM(T24:AA24)*IF(AB24="SI",1,2))</f>
        <v>531.9518400000002</v>
      </c>
      <c r="AD24" s="287"/>
    </row>
    <row r="25" spans="1:30" s="7" customFormat="1" ht="15">
      <c r="A25" s="118"/>
      <c r="B25" s="123"/>
      <c r="C25" s="447">
        <v>44</v>
      </c>
      <c r="D25" s="447">
        <v>255610</v>
      </c>
      <c r="E25" s="447">
        <v>5268</v>
      </c>
      <c r="F25" s="432" t="s">
        <v>230</v>
      </c>
      <c r="G25" s="426" t="s">
        <v>222</v>
      </c>
      <c r="H25" s="483">
        <v>30</v>
      </c>
      <c r="I25" s="433" t="s">
        <v>207</v>
      </c>
      <c r="J25" s="175">
        <f t="shared" si="0"/>
        <v>21.54</v>
      </c>
      <c r="K25" s="456">
        <v>41255.92638888889</v>
      </c>
      <c r="L25" s="456">
        <v>41255.990277777775</v>
      </c>
      <c r="M25" s="23">
        <f t="shared" si="1"/>
        <v>1.5333333332673647</v>
      </c>
      <c r="N25" s="24">
        <f t="shared" si="2"/>
        <v>92</v>
      </c>
      <c r="O25" s="457" t="s">
        <v>184</v>
      </c>
      <c r="P25" s="457" t="str">
        <f t="shared" si="3"/>
        <v>NO</v>
      </c>
      <c r="Q25" s="457" t="s">
        <v>208</v>
      </c>
      <c r="R25" s="457" t="s">
        <v>185</v>
      </c>
      <c r="S25" s="242">
        <f t="shared" si="4"/>
        <v>30</v>
      </c>
      <c r="T25" s="246" t="str">
        <f t="shared" si="5"/>
        <v>--</v>
      </c>
      <c r="U25" s="252" t="str">
        <f t="shared" si="6"/>
        <v>--</v>
      </c>
      <c r="V25" s="199">
        <f t="shared" si="7"/>
        <v>646.1999999999999</v>
      </c>
      <c r="W25" s="260">
        <f t="shared" si="8"/>
        <v>988.6859999999999</v>
      </c>
      <c r="X25" s="269" t="str">
        <f t="shared" si="9"/>
        <v>--</v>
      </c>
      <c r="Y25" s="270" t="str">
        <f t="shared" si="10"/>
        <v>--</v>
      </c>
      <c r="Z25" s="277" t="str">
        <f t="shared" si="11"/>
        <v>--</v>
      </c>
      <c r="AA25" s="283" t="str">
        <f t="shared" si="12"/>
        <v>--</v>
      </c>
      <c r="AB25" s="22" t="s">
        <v>185</v>
      </c>
      <c r="AC25" s="27">
        <f t="shared" si="13"/>
        <v>1634.886</v>
      </c>
      <c r="AD25" s="287"/>
    </row>
    <row r="26" spans="1:30" s="7" customFormat="1" ht="15">
      <c r="A26" s="118"/>
      <c r="B26" s="123"/>
      <c r="C26" s="447">
        <v>45</v>
      </c>
      <c r="D26" s="447">
        <v>255616</v>
      </c>
      <c r="E26" s="447">
        <v>5268</v>
      </c>
      <c r="F26" s="432" t="s">
        <v>230</v>
      </c>
      <c r="G26" s="426" t="s">
        <v>222</v>
      </c>
      <c r="H26" s="483">
        <v>30</v>
      </c>
      <c r="I26" s="433" t="s">
        <v>207</v>
      </c>
      <c r="J26" s="175">
        <f t="shared" si="0"/>
        <v>21.54</v>
      </c>
      <c r="K26" s="456">
        <v>41256.22083333333</v>
      </c>
      <c r="L26" s="456">
        <v>41256.23472222222</v>
      </c>
      <c r="M26" s="23">
        <f t="shared" si="1"/>
        <v>0.33333333337213844</v>
      </c>
      <c r="N26" s="24">
        <f t="shared" si="2"/>
        <v>20</v>
      </c>
      <c r="O26" s="457" t="s">
        <v>184</v>
      </c>
      <c r="P26" s="457" t="str">
        <f t="shared" si="3"/>
        <v>NO</v>
      </c>
      <c r="Q26" s="457" t="s">
        <v>208</v>
      </c>
      <c r="R26" s="457" t="s">
        <v>185</v>
      </c>
      <c r="S26" s="242">
        <f t="shared" si="4"/>
        <v>30</v>
      </c>
      <c r="T26" s="246" t="str">
        <f t="shared" si="5"/>
        <v>--</v>
      </c>
      <c r="U26" s="252" t="str">
        <f t="shared" si="6"/>
        <v>--</v>
      </c>
      <c r="V26" s="199">
        <f t="shared" si="7"/>
        <v>646.1999999999999</v>
      </c>
      <c r="W26" s="260">
        <f t="shared" si="8"/>
        <v>213.24599999999998</v>
      </c>
      <c r="X26" s="269" t="str">
        <f t="shared" si="9"/>
        <v>--</v>
      </c>
      <c r="Y26" s="270" t="str">
        <f t="shared" si="10"/>
        <v>--</v>
      </c>
      <c r="Z26" s="277" t="str">
        <f t="shared" si="11"/>
        <v>--</v>
      </c>
      <c r="AA26" s="283" t="str">
        <f t="shared" si="12"/>
        <v>--</v>
      </c>
      <c r="AB26" s="22" t="s">
        <v>185</v>
      </c>
      <c r="AC26" s="27">
        <f t="shared" si="13"/>
        <v>859.4459999999999</v>
      </c>
      <c r="AD26" s="287"/>
    </row>
    <row r="27" spans="1:30" s="7" customFormat="1" ht="15">
      <c r="A27" s="118"/>
      <c r="B27" s="123"/>
      <c r="C27" s="447">
        <v>46</v>
      </c>
      <c r="D27" s="447">
        <v>255627</v>
      </c>
      <c r="E27" s="447">
        <v>5268</v>
      </c>
      <c r="F27" s="432" t="s">
        <v>230</v>
      </c>
      <c r="G27" s="426" t="s">
        <v>222</v>
      </c>
      <c r="H27" s="483">
        <v>30</v>
      </c>
      <c r="I27" s="433" t="s">
        <v>207</v>
      </c>
      <c r="J27" s="175">
        <f t="shared" si="0"/>
        <v>21.54</v>
      </c>
      <c r="K27" s="456">
        <v>41256.725694444445</v>
      </c>
      <c r="L27" s="456">
        <v>41256.740277777775</v>
      </c>
      <c r="M27" s="23">
        <f t="shared" si="1"/>
        <v>0.3499999999185093</v>
      </c>
      <c r="N27" s="24">
        <f t="shared" si="2"/>
        <v>21</v>
      </c>
      <c r="O27" s="457" t="s">
        <v>184</v>
      </c>
      <c r="P27" s="457" t="str">
        <f t="shared" si="3"/>
        <v>NO</v>
      </c>
      <c r="Q27" s="457" t="s">
        <v>208</v>
      </c>
      <c r="R27" s="457" t="s">
        <v>185</v>
      </c>
      <c r="S27" s="242">
        <f t="shared" si="4"/>
        <v>30</v>
      </c>
      <c r="T27" s="246" t="str">
        <f t="shared" si="5"/>
        <v>--</v>
      </c>
      <c r="U27" s="252" t="str">
        <f t="shared" si="6"/>
        <v>--</v>
      </c>
      <c r="V27" s="199">
        <f t="shared" si="7"/>
        <v>646.1999999999999</v>
      </c>
      <c r="W27" s="260">
        <f t="shared" si="8"/>
        <v>226.16999999999996</v>
      </c>
      <c r="X27" s="269" t="str">
        <f t="shared" si="9"/>
        <v>--</v>
      </c>
      <c r="Y27" s="270" t="str">
        <f t="shared" si="10"/>
        <v>--</v>
      </c>
      <c r="Z27" s="277" t="str">
        <f t="shared" si="11"/>
        <v>--</v>
      </c>
      <c r="AA27" s="283" t="str">
        <f t="shared" si="12"/>
        <v>--</v>
      </c>
      <c r="AB27" s="22" t="s">
        <v>185</v>
      </c>
      <c r="AC27" s="27">
        <f t="shared" si="13"/>
        <v>872.3699999999999</v>
      </c>
      <c r="AD27" s="287"/>
    </row>
    <row r="28" spans="1:30" s="7" customFormat="1" ht="15">
      <c r="A28" s="118"/>
      <c r="B28" s="123"/>
      <c r="C28" s="447">
        <v>47</v>
      </c>
      <c r="D28" s="447">
        <v>255643</v>
      </c>
      <c r="E28" s="447">
        <v>3628</v>
      </c>
      <c r="F28" s="432" t="s">
        <v>220</v>
      </c>
      <c r="G28" s="426" t="s">
        <v>210</v>
      </c>
      <c r="H28" s="452">
        <v>30</v>
      </c>
      <c r="I28" s="433" t="s">
        <v>207</v>
      </c>
      <c r="J28" s="175">
        <f t="shared" si="0"/>
        <v>21.54</v>
      </c>
      <c r="K28" s="456">
        <v>41258.32638888889</v>
      </c>
      <c r="L28" s="456">
        <v>41258.35138888889</v>
      </c>
      <c r="M28" s="23">
        <f t="shared" si="1"/>
        <v>0.6000000000349246</v>
      </c>
      <c r="N28" s="24">
        <f t="shared" si="2"/>
        <v>36</v>
      </c>
      <c r="O28" s="457" t="s">
        <v>184</v>
      </c>
      <c r="P28" s="457" t="str">
        <f t="shared" si="3"/>
        <v>NO</v>
      </c>
      <c r="Q28" s="457" t="s">
        <v>208</v>
      </c>
      <c r="R28" s="457" t="s">
        <v>185</v>
      </c>
      <c r="S28" s="242">
        <f t="shared" si="4"/>
        <v>30</v>
      </c>
      <c r="T28" s="246" t="str">
        <f t="shared" si="5"/>
        <v>--</v>
      </c>
      <c r="U28" s="252" t="str">
        <f t="shared" si="6"/>
        <v>--</v>
      </c>
      <c r="V28" s="199">
        <f t="shared" si="7"/>
        <v>646.1999999999999</v>
      </c>
      <c r="W28" s="260">
        <f t="shared" si="8"/>
        <v>387.71999999999997</v>
      </c>
      <c r="X28" s="269" t="str">
        <f t="shared" si="9"/>
        <v>--</v>
      </c>
      <c r="Y28" s="270" t="str">
        <f t="shared" si="10"/>
        <v>--</v>
      </c>
      <c r="Z28" s="277" t="str">
        <f t="shared" si="11"/>
        <v>--</v>
      </c>
      <c r="AA28" s="283" t="str">
        <f t="shared" si="12"/>
        <v>--</v>
      </c>
      <c r="AB28" s="22" t="s">
        <v>185</v>
      </c>
      <c r="AC28" s="27">
        <f t="shared" si="13"/>
        <v>1033.9199999999998</v>
      </c>
      <c r="AD28" s="287"/>
    </row>
    <row r="29" spans="1:30" s="7" customFormat="1" ht="15">
      <c r="A29" s="118"/>
      <c r="B29" s="123"/>
      <c r="C29" s="447" t="s">
        <v>253</v>
      </c>
      <c r="D29" s="447">
        <v>255643</v>
      </c>
      <c r="E29" s="447">
        <v>3628</v>
      </c>
      <c r="F29" s="432" t="s">
        <v>220</v>
      </c>
      <c r="G29" s="426" t="s">
        <v>210</v>
      </c>
      <c r="H29" s="452">
        <v>30</v>
      </c>
      <c r="I29" s="433" t="s">
        <v>207</v>
      </c>
      <c r="J29" s="175">
        <f t="shared" si="0"/>
        <v>21.54</v>
      </c>
      <c r="K29" s="456">
        <v>41258.35208333333</v>
      </c>
      <c r="L29" s="456">
        <v>41274.99930555555</v>
      </c>
      <c r="M29" s="23">
        <f t="shared" si="1"/>
        <v>399.5333333333256</v>
      </c>
      <c r="N29" s="24">
        <f t="shared" si="2"/>
        <v>23972</v>
      </c>
      <c r="O29" s="457" t="s">
        <v>250</v>
      </c>
      <c r="P29" s="457" t="str">
        <f t="shared" si="3"/>
        <v>NO</v>
      </c>
      <c r="Q29" s="457" t="s">
        <v>208</v>
      </c>
      <c r="R29" s="457" t="s">
        <v>251</v>
      </c>
      <c r="S29" s="242">
        <f>$I$19*IF(R29="SI",1,0.1)*IF(OR(O29="P",O29="RP"),0.1,1)</f>
        <v>3</v>
      </c>
      <c r="T29" s="246" t="str">
        <f>IF(O29="P",J29*S29*ROUND(N29/60,2),"--")</f>
        <v>--</v>
      </c>
      <c r="U29" s="252" t="str">
        <f>IF(O29="RP",J29*S29*Q29/100*ROUND(N29/60,2),"--")</f>
        <v>--</v>
      </c>
      <c r="V29" s="199" t="str">
        <f>IF(AND(O29="F",P29="NO"),J29*S29,"--")</f>
        <v>--</v>
      </c>
      <c r="W29" s="260" t="str">
        <f>IF(O29="F",J29*S29*ROUND(N29/60,2),"--")</f>
        <v>--</v>
      </c>
      <c r="X29" s="269" t="str">
        <f>IF(AND(O29="R",P29="NO"),J29*S29*Q29/100,"--")</f>
        <v>--</v>
      </c>
      <c r="Y29" s="270" t="str">
        <f>IF(O29="R",J29*S29*ROUND(N29/60,2)*Q29/100,"--")</f>
        <v>--</v>
      </c>
      <c r="Z29" s="277">
        <f>IF(O29="RF",J29*S29*ROUND(N29/60,2),"--")</f>
        <v>25817.6286</v>
      </c>
      <c r="AA29" s="283" t="str">
        <f>IF(O29="RR",J29*S29*ROUND(N29/60,2)*Q29/100,"--")</f>
        <v>--</v>
      </c>
      <c r="AB29" s="22" t="s">
        <v>185</v>
      </c>
      <c r="AC29" s="27">
        <f>IF(F29="","",SUM(T29:AA29)*IF(AB29="SI",1,2))</f>
        <v>25817.6286</v>
      </c>
      <c r="AD29" s="287"/>
    </row>
    <row r="30" spans="1:30" s="7" customFormat="1" ht="15">
      <c r="A30" s="118"/>
      <c r="B30" s="123"/>
      <c r="C30" s="447">
        <v>48</v>
      </c>
      <c r="D30" s="447">
        <v>255928</v>
      </c>
      <c r="E30" s="447">
        <v>3105</v>
      </c>
      <c r="F30" s="432" t="s">
        <v>221</v>
      </c>
      <c r="G30" s="426" t="s">
        <v>213</v>
      </c>
      <c r="H30" s="452">
        <v>30</v>
      </c>
      <c r="I30" s="433" t="s">
        <v>207</v>
      </c>
      <c r="J30" s="175">
        <f t="shared" si="0"/>
        <v>21.54</v>
      </c>
      <c r="K30" s="456">
        <v>41259.385416666664</v>
      </c>
      <c r="L30" s="456">
        <v>41259.575694444444</v>
      </c>
      <c r="M30" s="23">
        <f t="shared" si="1"/>
        <v>4.566666666709352</v>
      </c>
      <c r="N30" s="24">
        <f t="shared" si="2"/>
        <v>274</v>
      </c>
      <c r="O30" s="457" t="s">
        <v>191</v>
      </c>
      <c r="P30" s="457" t="str">
        <f t="shared" si="3"/>
        <v>--</v>
      </c>
      <c r="Q30" s="457" t="s">
        <v>208</v>
      </c>
      <c r="R30" s="457" t="s">
        <v>185</v>
      </c>
      <c r="S30" s="242">
        <f t="shared" si="4"/>
        <v>3</v>
      </c>
      <c r="T30" s="246">
        <f t="shared" si="5"/>
        <v>295.31340000000006</v>
      </c>
      <c r="U30" s="252" t="str">
        <f t="shared" si="6"/>
        <v>--</v>
      </c>
      <c r="V30" s="199" t="str">
        <f t="shared" si="7"/>
        <v>--</v>
      </c>
      <c r="W30" s="260" t="str">
        <f t="shared" si="8"/>
        <v>--</v>
      </c>
      <c r="X30" s="269" t="str">
        <f t="shared" si="9"/>
        <v>--</v>
      </c>
      <c r="Y30" s="270" t="str">
        <f t="shared" si="10"/>
        <v>--</v>
      </c>
      <c r="Z30" s="277" t="str">
        <f t="shared" si="11"/>
        <v>--</v>
      </c>
      <c r="AA30" s="283" t="str">
        <f t="shared" si="12"/>
        <v>--</v>
      </c>
      <c r="AB30" s="22" t="s">
        <v>185</v>
      </c>
      <c r="AC30" s="27">
        <f t="shared" si="13"/>
        <v>295.31340000000006</v>
      </c>
      <c r="AD30" s="287"/>
    </row>
    <row r="31" spans="1:30" s="7" customFormat="1" ht="15">
      <c r="A31" s="118"/>
      <c r="B31" s="123"/>
      <c r="C31" s="447">
        <v>49</v>
      </c>
      <c r="D31" s="447">
        <v>256304</v>
      </c>
      <c r="E31" s="447">
        <v>548</v>
      </c>
      <c r="F31" s="432" t="s">
        <v>223</v>
      </c>
      <c r="G31" s="426" t="s">
        <v>213</v>
      </c>
      <c r="H31" s="452">
        <v>15</v>
      </c>
      <c r="I31" s="433" t="s">
        <v>217</v>
      </c>
      <c r="J31" s="175">
        <f t="shared" si="0"/>
        <v>10.77</v>
      </c>
      <c r="K31" s="456">
        <v>41262.90416666667</v>
      </c>
      <c r="L31" s="456">
        <v>41262.90555555555</v>
      </c>
      <c r="M31" s="23">
        <f t="shared" si="1"/>
        <v>0.03333333326736465</v>
      </c>
      <c r="N31" s="24">
        <f t="shared" si="2"/>
        <v>2</v>
      </c>
      <c r="O31" s="457" t="s">
        <v>184</v>
      </c>
      <c r="P31" s="457" t="str">
        <f t="shared" si="3"/>
        <v>NO</v>
      </c>
      <c r="Q31" s="457" t="s">
        <v>208</v>
      </c>
      <c r="R31" s="457" t="s">
        <v>185</v>
      </c>
      <c r="S31" s="242">
        <f t="shared" si="4"/>
        <v>30</v>
      </c>
      <c r="T31" s="246" t="str">
        <f t="shared" si="5"/>
        <v>--</v>
      </c>
      <c r="U31" s="252" t="str">
        <f t="shared" si="6"/>
        <v>--</v>
      </c>
      <c r="V31" s="199">
        <f t="shared" si="7"/>
        <v>323.09999999999997</v>
      </c>
      <c r="W31" s="260">
        <f t="shared" si="8"/>
        <v>9.692999999999998</v>
      </c>
      <c r="X31" s="269" t="str">
        <f t="shared" si="9"/>
        <v>--</v>
      </c>
      <c r="Y31" s="270" t="str">
        <f t="shared" si="10"/>
        <v>--</v>
      </c>
      <c r="Z31" s="277" t="str">
        <f t="shared" si="11"/>
        <v>--</v>
      </c>
      <c r="AA31" s="283" t="str">
        <f t="shared" si="12"/>
        <v>--</v>
      </c>
      <c r="AB31" s="22" t="s">
        <v>185</v>
      </c>
      <c r="AC31" s="27">
        <f t="shared" si="13"/>
        <v>332.79299999999995</v>
      </c>
      <c r="AD31" s="287"/>
    </row>
    <row r="32" spans="1:30" s="7" customFormat="1" ht="15">
      <c r="A32" s="118"/>
      <c r="B32" s="123"/>
      <c r="C32" s="447">
        <v>50</v>
      </c>
      <c r="D32" s="447">
        <v>256526</v>
      </c>
      <c r="E32" s="447">
        <v>570</v>
      </c>
      <c r="F32" s="432" t="s">
        <v>224</v>
      </c>
      <c r="G32" s="426" t="s">
        <v>222</v>
      </c>
      <c r="H32" s="452">
        <v>30</v>
      </c>
      <c r="I32" s="433" t="s">
        <v>207</v>
      </c>
      <c r="J32" s="175">
        <f t="shared" si="0"/>
        <v>21.54</v>
      </c>
      <c r="K32" s="456">
        <v>41274.006944444445</v>
      </c>
      <c r="L32" s="456">
        <v>41274.010416666664</v>
      </c>
      <c r="M32" s="23">
        <f t="shared" si="1"/>
        <v>0.08333333325572312</v>
      </c>
      <c r="N32" s="24">
        <f t="shared" si="2"/>
        <v>5</v>
      </c>
      <c r="O32" s="457" t="s">
        <v>184</v>
      </c>
      <c r="P32" s="457" t="str">
        <f t="shared" si="3"/>
        <v>NO</v>
      </c>
      <c r="Q32" s="457" t="s">
        <v>208</v>
      </c>
      <c r="R32" s="457" t="s">
        <v>185</v>
      </c>
      <c r="S32" s="242">
        <f t="shared" si="4"/>
        <v>30</v>
      </c>
      <c r="T32" s="246" t="str">
        <f t="shared" si="5"/>
        <v>--</v>
      </c>
      <c r="U32" s="252" t="str">
        <f t="shared" si="6"/>
        <v>--</v>
      </c>
      <c r="V32" s="199">
        <f t="shared" si="7"/>
        <v>646.1999999999999</v>
      </c>
      <c r="W32" s="260">
        <f t="shared" si="8"/>
        <v>51.696</v>
      </c>
      <c r="X32" s="269" t="str">
        <f t="shared" si="9"/>
        <v>--</v>
      </c>
      <c r="Y32" s="270" t="str">
        <f t="shared" si="10"/>
        <v>--</v>
      </c>
      <c r="Z32" s="277" t="str">
        <f t="shared" si="11"/>
        <v>--</v>
      </c>
      <c r="AA32" s="283" t="str">
        <f t="shared" si="12"/>
        <v>--</v>
      </c>
      <c r="AB32" s="22" t="s">
        <v>185</v>
      </c>
      <c r="AC32" s="27">
        <f t="shared" si="13"/>
        <v>697.896</v>
      </c>
      <c r="AD32" s="287"/>
    </row>
    <row r="33" spans="1:30" s="7" customFormat="1" ht="15">
      <c r="A33" s="118"/>
      <c r="B33" s="123"/>
      <c r="C33" s="447">
        <v>51</v>
      </c>
      <c r="D33" s="447">
        <v>256548</v>
      </c>
      <c r="E33" s="447">
        <v>570</v>
      </c>
      <c r="F33" s="432" t="s">
        <v>224</v>
      </c>
      <c r="G33" s="426" t="s">
        <v>222</v>
      </c>
      <c r="H33" s="452">
        <v>30</v>
      </c>
      <c r="I33" s="433" t="s">
        <v>207</v>
      </c>
      <c r="J33" s="175">
        <f t="shared" si="0"/>
        <v>21.54</v>
      </c>
      <c r="K33" s="456">
        <v>41274.50277777778</v>
      </c>
      <c r="L33" s="456">
        <v>41274.50625</v>
      </c>
      <c r="M33" s="23">
        <f t="shared" si="1"/>
        <v>0.08333333325572312</v>
      </c>
      <c r="N33" s="24">
        <f t="shared" si="2"/>
        <v>5</v>
      </c>
      <c r="O33" s="457" t="s">
        <v>191</v>
      </c>
      <c r="P33" s="457" t="str">
        <f t="shared" si="3"/>
        <v>--</v>
      </c>
      <c r="Q33" s="457" t="s">
        <v>208</v>
      </c>
      <c r="R33" s="457" t="s">
        <v>185</v>
      </c>
      <c r="S33" s="242">
        <f t="shared" si="4"/>
        <v>3</v>
      </c>
      <c r="T33" s="246">
        <f t="shared" si="5"/>
        <v>5.169600000000001</v>
      </c>
      <c r="U33" s="252" t="str">
        <f t="shared" si="6"/>
        <v>--</v>
      </c>
      <c r="V33" s="199" t="str">
        <f t="shared" si="7"/>
        <v>--</v>
      </c>
      <c r="W33" s="260" t="str">
        <f t="shared" si="8"/>
        <v>--</v>
      </c>
      <c r="X33" s="269" t="str">
        <f t="shared" si="9"/>
        <v>--</v>
      </c>
      <c r="Y33" s="270" t="str">
        <f t="shared" si="10"/>
        <v>--</v>
      </c>
      <c r="Z33" s="277" t="str">
        <f t="shared" si="11"/>
        <v>--</v>
      </c>
      <c r="AA33" s="283" t="str">
        <f t="shared" si="12"/>
        <v>--</v>
      </c>
      <c r="AB33" s="22" t="s">
        <v>185</v>
      </c>
      <c r="AC33" s="27">
        <f t="shared" si="13"/>
        <v>5.169600000000001</v>
      </c>
      <c r="AD33" s="287"/>
    </row>
    <row r="34" spans="1:30" s="7" customFormat="1" ht="15">
      <c r="A34" s="118"/>
      <c r="B34" s="123"/>
      <c r="C34" s="501"/>
      <c r="D34" s="501"/>
      <c r="E34" s="501"/>
      <c r="F34" s="432"/>
      <c r="G34" s="432"/>
      <c r="H34" s="452"/>
      <c r="I34" s="433"/>
      <c r="J34" s="484"/>
      <c r="K34" s="460"/>
      <c r="L34" s="460"/>
      <c r="M34" s="502"/>
      <c r="N34" s="503"/>
      <c r="O34" s="504"/>
      <c r="P34" s="504"/>
      <c r="Q34" s="504"/>
      <c r="R34" s="504"/>
      <c r="S34" s="505"/>
      <c r="T34" s="506"/>
      <c r="U34" s="507"/>
      <c r="V34" s="508"/>
      <c r="W34" s="509"/>
      <c r="X34" s="510"/>
      <c r="Y34" s="511"/>
      <c r="Z34" s="512"/>
      <c r="AA34" s="513"/>
      <c r="AB34" s="514"/>
      <c r="AC34" s="515"/>
      <c r="AD34" s="287"/>
    </row>
    <row r="35" spans="1:30" s="7" customFormat="1" ht="15">
      <c r="A35" s="118"/>
      <c r="B35" s="123"/>
      <c r="C35" s="501"/>
      <c r="D35" s="501"/>
      <c r="E35" s="501"/>
      <c r="F35" s="432"/>
      <c r="G35" s="432"/>
      <c r="H35" s="452"/>
      <c r="I35" s="433"/>
      <c r="J35" s="484"/>
      <c r="K35" s="460"/>
      <c r="L35" s="460"/>
      <c r="M35" s="502"/>
      <c r="N35" s="503"/>
      <c r="O35" s="504"/>
      <c r="P35" s="504"/>
      <c r="Q35" s="504"/>
      <c r="R35" s="504"/>
      <c r="S35" s="505"/>
      <c r="T35" s="506"/>
      <c r="U35" s="507"/>
      <c r="V35" s="508"/>
      <c r="W35" s="509"/>
      <c r="X35" s="510"/>
      <c r="Y35" s="511"/>
      <c r="Z35" s="512"/>
      <c r="AA35" s="513"/>
      <c r="AB35" s="514"/>
      <c r="AC35" s="515"/>
      <c r="AD35" s="287"/>
    </row>
    <row r="36" spans="1:30" s="7" customFormat="1" ht="15">
      <c r="A36" s="118"/>
      <c r="B36" s="123"/>
      <c r="C36" s="501"/>
      <c r="D36" s="501"/>
      <c r="E36" s="501"/>
      <c r="F36" s="432"/>
      <c r="G36" s="432"/>
      <c r="H36" s="452"/>
      <c r="I36" s="433"/>
      <c r="J36" s="484"/>
      <c r="K36" s="460"/>
      <c r="L36" s="460"/>
      <c r="M36" s="502"/>
      <c r="N36" s="503"/>
      <c r="O36" s="504"/>
      <c r="P36" s="504"/>
      <c r="Q36" s="504"/>
      <c r="R36" s="504"/>
      <c r="S36" s="505"/>
      <c r="T36" s="506"/>
      <c r="U36" s="507"/>
      <c r="V36" s="508"/>
      <c r="W36" s="509"/>
      <c r="X36" s="510"/>
      <c r="Y36" s="511"/>
      <c r="Z36" s="512"/>
      <c r="AA36" s="513"/>
      <c r="AB36" s="514"/>
      <c r="AC36" s="515"/>
      <c r="AD36" s="287"/>
    </row>
    <row r="37" spans="1:30" s="7" customFormat="1" ht="15">
      <c r="A37" s="118"/>
      <c r="B37" s="123"/>
      <c r="C37" s="501"/>
      <c r="D37" s="501"/>
      <c r="E37" s="501"/>
      <c r="F37" s="432"/>
      <c r="G37" s="432"/>
      <c r="H37" s="452"/>
      <c r="I37" s="433"/>
      <c r="J37" s="484"/>
      <c r="K37" s="460"/>
      <c r="L37" s="460"/>
      <c r="M37" s="502"/>
      <c r="N37" s="503"/>
      <c r="O37" s="504"/>
      <c r="P37" s="504"/>
      <c r="Q37" s="504"/>
      <c r="R37" s="504"/>
      <c r="S37" s="505"/>
      <c r="T37" s="506"/>
      <c r="U37" s="507"/>
      <c r="V37" s="508"/>
      <c r="W37" s="509"/>
      <c r="X37" s="510"/>
      <c r="Y37" s="511"/>
      <c r="Z37" s="512"/>
      <c r="AA37" s="513"/>
      <c r="AB37" s="514"/>
      <c r="AC37" s="515"/>
      <c r="AD37" s="287"/>
    </row>
    <row r="38" spans="1:30" s="7" customFormat="1" ht="15">
      <c r="A38" s="118"/>
      <c r="B38" s="123"/>
      <c r="C38" s="501"/>
      <c r="D38" s="501"/>
      <c r="E38" s="501"/>
      <c r="F38" s="432"/>
      <c r="G38" s="432"/>
      <c r="H38" s="452"/>
      <c r="I38" s="433"/>
      <c r="J38" s="484"/>
      <c r="K38" s="460"/>
      <c r="L38" s="460"/>
      <c r="M38" s="502"/>
      <c r="N38" s="503"/>
      <c r="O38" s="504"/>
      <c r="P38" s="504"/>
      <c r="Q38" s="504"/>
      <c r="R38" s="504"/>
      <c r="S38" s="505"/>
      <c r="T38" s="506"/>
      <c r="U38" s="507"/>
      <c r="V38" s="508"/>
      <c r="W38" s="509"/>
      <c r="X38" s="510"/>
      <c r="Y38" s="511"/>
      <c r="Z38" s="512"/>
      <c r="AA38" s="513"/>
      <c r="AB38" s="514"/>
      <c r="AC38" s="515"/>
      <c r="AD38" s="287"/>
    </row>
    <row r="39" spans="1:30" s="7" customFormat="1" ht="15.75" thickBot="1">
      <c r="A39" s="118"/>
      <c r="B39" s="123"/>
      <c r="C39" s="454"/>
      <c r="D39" s="454"/>
      <c r="E39" s="454"/>
      <c r="F39" s="454"/>
      <c r="G39" s="454"/>
      <c r="H39" s="454"/>
      <c r="I39" s="454"/>
      <c r="J39" s="179"/>
      <c r="K39" s="454"/>
      <c r="L39" s="454"/>
      <c r="M39" s="25"/>
      <c r="N39" s="25"/>
      <c r="O39" s="454"/>
      <c r="P39" s="454"/>
      <c r="Q39" s="454"/>
      <c r="R39" s="454"/>
      <c r="S39" s="238"/>
      <c r="T39" s="247"/>
      <c r="U39" s="253"/>
      <c r="V39" s="256"/>
      <c r="W39" s="257"/>
      <c r="X39" s="271"/>
      <c r="Y39" s="272"/>
      <c r="Z39" s="278"/>
      <c r="AA39" s="284"/>
      <c r="AB39" s="25"/>
      <c r="AC39" s="180"/>
      <c r="AD39" s="30"/>
    </row>
    <row r="40" spans="1:30" s="7" customFormat="1" ht="17.25" thickBot="1" thickTop="1">
      <c r="A40" s="118"/>
      <c r="B40" s="123"/>
      <c r="C40" s="517" t="s">
        <v>232</v>
      </c>
      <c r="D40" s="516" t="s">
        <v>254</v>
      </c>
      <c r="E40" s="165"/>
      <c r="F40" s="164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48">
        <f aca="true" t="shared" si="14" ref="T40:AA40">SUM(T22:T39)</f>
        <v>300.48300000000006</v>
      </c>
      <c r="U40" s="254">
        <f t="shared" si="14"/>
        <v>0</v>
      </c>
      <c r="V40" s="258">
        <f t="shared" si="14"/>
        <v>3554.0999999999995</v>
      </c>
      <c r="W40" s="258">
        <f t="shared" si="14"/>
        <v>1877.2109999999998</v>
      </c>
      <c r="X40" s="273">
        <f t="shared" si="14"/>
        <v>38.772000000000006</v>
      </c>
      <c r="Y40" s="273">
        <f t="shared" si="14"/>
        <v>493.1798400000001</v>
      </c>
      <c r="Z40" s="279">
        <f t="shared" si="14"/>
        <v>25817.6286</v>
      </c>
      <c r="AA40" s="285">
        <f t="shared" si="14"/>
        <v>0</v>
      </c>
      <c r="AB40" s="181"/>
      <c r="AC40" s="130">
        <f>ROUND(SUM(AC22:AC39),2)</f>
        <v>44576.02</v>
      </c>
      <c r="AD40" s="30"/>
    </row>
    <row r="41" spans="1:30" s="7" customFormat="1" ht="13.5" thickTop="1">
      <c r="A41" s="118"/>
      <c r="B41" s="123"/>
      <c r="C41" s="165"/>
      <c r="D41" s="165"/>
      <c r="E41" s="165"/>
      <c r="F41" s="16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30"/>
    </row>
    <row r="42" spans="1:30" s="7" customFormat="1" ht="13.5" thickBot="1">
      <c r="A42" s="118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3"/>
    </row>
    <row r="43" spans="1:30" ht="16.5" customHeight="1" thickTop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"/>
    </row>
    <row r="44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9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B41"/>
  <sheetViews>
    <sheetView zoomScale="75" zoomScaleNormal="75" zoomScalePageLayoutView="0" workbookViewId="0" topLeftCell="D1">
      <selection activeCell="N16" sqref="N16"/>
    </sheetView>
  </sheetViews>
  <sheetFormatPr defaultColWidth="11.421875" defaultRowHeight="12.75"/>
  <cols>
    <col min="1" max="1" width="1.421875" style="0" customWidth="1"/>
    <col min="2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32" customFormat="1" ht="26.25">
      <c r="AB1" s="417"/>
    </row>
    <row r="2" spans="2:28" s="32" customFormat="1" ht="26.25">
      <c r="B2" s="477" t="str">
        <f>+'TOT-1212'!B2</f>
        <v>ANEXO III al Memorándum  D.T.E.E.  N°  261/ 2014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78" t="s">
        <v>168</v>
      </c>
      <c r="B4" s="111"/>
      <c r="C4" s="478"/>
      <c r="AB4" s="40"/>
    </row>
    <row r="5" spans="1:28" s="39" customFormat="1" ht="11.25">
      <c r="A5" s="478" t="s">
        <v>169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23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24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459"/>
      <c r="C12" s="44"/>
      <c r="D12" s="44"/>
      <c r="E12" s="44"/>
      <c r="F12" s="18" t="s">
        <v>46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46" t="str">
        <f>'TOT-1212'!B14</f>
        <v>Desde el 01 al 31 de diciembre de 2012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26</v>
      </c>
      <c r="G16" s="288">
        <v>51.924</v>
      </c>
      <c r="H16" s="184"/>
      <c r="I16" s="6"/>
      <c r="J16"/>
      <c r="K16" s="102" t="s">
        <v>27</v>
      </c>
      <c r="L16" s="103">
        <f>30*'TOT-1212'!B13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81">
        <v>3</v>
      </c>
      <c r="D17" s="481">
        <v>4</v>
      </c>
      <c r="E17" s="481">
        <v>5</v>
      </c>
      <c r="F17" s="481">
        <v>6</v>
      </c>
      <c r="G17" s="481">
        <v>7</v>
      </c>
      <c r="H17" s="481">
        <v>8</v>
      </c>
      <c r="I17" s="481">
        <v>9</v>
      </c>
      <c r="J17" s="481">
        <v>10</v>
      </c>
      <c r="K17" s="481">
        <v>11</v>
      </c>
      <c r="L17" s="481">
        <v>12</v>
      </c>
      <c r="M17" s="481">
        <v>13</v>
      </c>
      <c r="N17" s="481">
        <v>14</v>
      </c>
      <c r="O17" s="481">
        <v>15</v>
      </c>
      <c r="P17" s="481">
        <v>16</v>
      </c>
      <c r="Q17" s="481">
        <v>17</v>
      </c>
      <c r="R17" s="481">
        <v>18</v>
      </c>
      <c r="S17" s="481">
        <v>19</v>
      </c>
      <c r="T17" s="481">
        <v>20</v>
      </c>
      <c r="U17" s="481">
        <v>21</v>
      </c>
      <c r="V17" s="481">
        <v>22</v>
      </c>
      <c r="W17" s="481">
        <v>23</v>
      </c>
      <c r="X17" s="481">
        <v>24</v>
      </c>
      <c r="Y17" s="481">
        <v>25</v>
      </c>
      <c r="Z17" s="481">
        <v>26</v>
      </c>
      <c r="AA17" s="481">
        <v>27</v>
      </c>
      <c r="AB17" s="8"/>
    </row>
    <row r="18" spans="1:28" s="7" customFormat="1" ht="33.75" customHeight="1" thickBot="1" thickTop="1">
      <c r="A18" s="6"/>
      <c r="B18" s="65"/>
      <c r="C18" s="112" t="s">
        <v>28</v>
      </c>
      <c r="D18" s="112" t="s">
        <v>167</v>
      </c>
      <c r="E18" s="112" t="s">
        <v>166</v>
      </c>
      <c r="F18" s="113" t="s">
        <v>3</v>
      </c>
      <c r="G18" s="114" t="s">
        <v>29</v>
      </c>
      <c r="H18" s="115" t="s">
        <v>30</v>
      </c>
      <c r="I18" s="173" t="s">
        <v>31</v>
      </c>
      <c r="J18" s="113" t="s">
        <v>32</v>
      </c>
      <c r="K18" s="113" t="s">
        <v>33</v>
      </c>
      <c r="L18" s="114" t="s">
        <v>34</v>
      </c>
      <c r="M18" s="114" t="s">
        <v>35</v>
      </c>
      <c r="N18" s="116" t="s">
        <v>36</v>
      </c>
      <c r="O18" s="114" t="s">
        <v>37</v>
      </c>
      <c r="P18" s="186" t="s">
        <v>38</v>
      </c>
      <c r="Q18" s="191" t="s">
        <v>39</v>
      </c>
      <c r="R18" s="196" t="s">
        <v>40</v>
      </c>
      <c r="S18" s="197"/>
      <c r="T18" s="198"/>
      <c r="U18" s="209" t="s">
        <v>41</v>
      </c>
      <c r="V18" s="210"/>
      <c r="W18" s="211"/>
      <c r="X18" s="224" t="s">
        <v>42</v>
      </c>
      <c r="Y18" s="229" t="s">
        <v>43</v>
      </c>
      <c r="Z18" s="117" t="s">
        <v>44</v>
      </c>
      <c r="AA18" s="182" t="s">
        <v>45</v>
      </c>
      <c r="AB18" s="8"/>
    </row>
    <row r="19" spans="1:28" s="7" customFormat="1" ht="15.75" thickTop="1">
      <c r="A19" s="6"/>
      <c r="B19" s="65"/>
      <c r="C19" s="422"/>
      <c r="D19" s="476"/>
      <c r="E19" s="476"/>
      <c r="F19" s="423"/>
      <c r="G19" s="430"/>
      <c r="H19" s="431"/>
      <c r="I19" s="185"/>
      <c r="J19" s="436"/>
      <c r="K19" s="436"/>
      <c r="L19" s="9"/>
      <c r="M19" s="9"/>
      <c r="N19" s="423"/>
      <c r="O19" s="9"/>
      <c r="P19" s="187"/>
      <c r="Q19" s="192"/>
      <c r="R19" s="199"/>
      <c r="S19" s="205"/>
      <c r="T19" s="206"/>
      <c r="U19" s="212"/>
      <c r="V19" s="216"/>
      <c r="W19" s="220"/>
      <c r="X19" s="225"/>
      <c r="Y19" s="230"/>
      <c r="Z19" s="442"/>
      <c r="AA19" s="183"/>
      <c r="AB19" s="8"/>
    </row>
    <row r="20" spans="1:28" s="7" customFormat="1" ht="15">
      <c r="A20" s="6"/>
      <c r="B20" s="65"/>
      <c r="C20" s="424"/>
      <c r="D20" s="425"/>
      <c r="E20" s="425"/>
      <c r="F20" s="425"/>
      <c r="G20" s="424"/>
      <c r="H20" s="424"/>
      <c r="I20" s="174"/>
      <c r="J20" s="424"/>
      <c r="K20" s="432"/>
      <c r="L20" s="11"/>
      <c r="M20" s="11"/>
      <c r="N20" s="425"/>
      <c r="O20" s="10"/>
      <c r="P20" s="188"/>
      <c r="Q20" s="193"/>
      <c r="R20" s="199"/>
      <c r="S20" s="205"/>
      <c r="T20" s="206"/>
      <c r="U20" s="213"/>
      <c r="V20" s="217"/>
      <c r="W20" s="221"/>
      <c r="X20" s="226"/>
      <c r="Y20" s="231"/>
      <c r="Z20" s="443"/>
      <c r="AA20" s="104"/>
      <c r="AB20" s="8"/>
    </row>
    <row r="21" spans="1:28" s="7" customFormat="1" ht="15">
      <c r="A21" s="6"/>
      <c r="B21" s="65"/>
      <c r="C21" s="426">
        <v>52</v>
      </c>
      <c r="D21" s="423">
        <v>255025</v>
      </c>
      <c r="E21" s="423">
        <v>2687</v>
      </c>
      <c r="F21" s="427" t="s">
        <v>225</v>
      </c>
      <c r="G21" s="432">
        <v>132</v>
      </c>
      <c r="H21" s="433">
        <v>41.400001525878906</v>
      </c>
      <c r="I21" s="175">
        <f aca="true" t="shared" si="0" ref="I21:I36">$G$16/100*IF(H21&gt;25,H21,25)</f>
        <v>21.496536792297366</v>
      </c>
      <c r="J21" s="437">
        <v>41247.37222222222</v>
      </c>
      <c r="K21" s="437">
        <v>41247.413194444445</v>
      </c>
      <c r="L21" s="12">
        <f aca="true" t="shared" si="1" ref="L21:L36">IF(F21="","",(K21-J21)*24)</f>
        <v>0.9833333333954215</v>
      </c>
      <c r="M21" s="13">
        <f aca="true" t="shared" si="2" ref="M21:M36">IF(F21="","",ROUND((K21-J21)*24*60,0))</f>
        <v>59</v>
      </c>
      <c r="N21" s="439" t="s">
        <v>184</v>
      </c>
      <c r="O21" s="14" t="str">
        <f aca="true" t="shared" si="3" ref="O21:O36">IF(F21="","","--")</f>
        <v>--</v>
      </c>
      <c r="P21" s="189" t="str">
        <f aca="true" t="shared" si="4" ref="P21:P36">IF(N21="P",ROUND(M21/60,2)*I21*$L$16*0.01,"--")</f>
        <v>--</v>
      </c>
      <c r="Q21" s="194" t="str">
        <f aca="true" t="shared" si="5" ref="Q21:Q36">IF(N21="RP",I21*O21*ROUND(L21/60,2)*0.01*M21/100,"--")</f>
        <v>--</v>
      </c>
      <c r="R21" s="199">
        <f aca="true" t="shared" si="6" ref="R21:R36">IF(N21="F",I21*$L$16,"--")</f>
        <v>644.896103768921</v>
      </c>
      <c r="S21" s="200">
        <f aca="true" t="shared" si="7" ref="S21:S36">IF(AND(M21&gt;10,N21="F"),I21*$L$16*IF(M21&gt;180,3,ROUND((M21)/60,2)),"--")</f>
        <v>631.9981816935425</v>
      </c>
      <c r="T21" s="201" t="str">
        <f aca="true" t="shared" si="8" ref="T21:T36">IF(AND(M21&gt;180,N21="F"),(ROUND(M21/60,2)-3)*I21*$L$16*0.1,"--")</f>
        <v>--</v>
      </c>
      <c r="U21" s="214" t="str">
        <f aca="true" t="shared" si="9" ref="U21:U36">IF(N21="R",I21*$L$16*O21/100,"--")</f>
        <v>--</v>
      </c>
      <c r="V21" s="218" t="str">
        <f aca="true" t="shared" si="10" ref="V21:V36">IF(AND(M21&gt;10,N21="R"),I21*$L$16*O21/100*IF(M21&gt;180,3,ROUND(M21/60,2)),"--")</f>
        <v>--</v>
      </c>
      <c r="W21" s="222" t="str">
        <f aca="true" t="shared" si="11" ref="W21:W36">IF(AND(M21&gt;180,N21="R"),(ROUND(M21/60,2)-3)*I21*$L$16*0.1*O21/100,"--")</f>
        <v>--</v>
      </c>
      <c r="X21" s="227" t="str">
        <f aca="true" t="shared" si="12" ref="X21:X36">IF(N21="RF",ROUND(M21/60,2)*I21*$L$16*0.1,"--")</f>
        <v>--</v>
      </c>
      <c r="Y21" s="232" t="str">
        <f aca="true" t="shared" si="13" ref="Y21:Y36">IF(N21="RR",ROUND(M21/60,2)*I21*$L$16*0.1*O21/100,"--")</f>
        <v>--</v>
      </c>
      <c r="Z21" s="444" t="s">
        <v>185</v>
      </c>
      <c r="AA21" s="28">
        <f aca="true" t="shared" si="14" ref="AA21:AA36">IF(F21="","",SUM(P21:Y21)*IF(Z21="SI",1,2))</f>
        <v>1276.8942854624634</v>
      </c>
      <c r="AB21" s="286"/>
    </row>
    <row r="22" spans="1:28" s="7" customFormat="1" ht="15">
      <c r="A22" s="6"/>
      <c r="B22" s="65"/>
      <c r="C22" s="426"/>
      <c r="D22" s="423"/>
      <c r="E22" s="423"/>
      <c r="F22" s="427"/>
      <c r="G22" s="432"/>
      <c r="H22" s="433"/>
      <c r="I22" s="175">
        <f t="shared" si="0"/>
        <v>12.981000000000002</v>
      </c>
      <c r="J22" s="437"/>
      <c r="K22" s="437"/>
      <c r="L22" s="12">
        <f t="shared" si="1"/>
      </c>
      <c r="M22" s="13">
        <f t="shared" si="2"/>
      </c>
      <c r="N22" s="439"/>
      <c r="O22" s="14">
        <f t="shared" si="3"/>
      </c>
      <c r="P22" s="189" t="str">
        <f t="shared" si="4"/>
        <v>--</v>
      </c>
      <c r="Q22" s="194" t="str">
        <f t="shared" si="5"/>
        <v>--</v>
      </c>
      <c r="R22" s="199" t="str">
        <f t="shared" si="6"/>
        <v>--</v>
      </c>
      <c r="S22" s="200" t="str">
        <f t="shared" si="7"/>
        <v>--</v>
      </c>
      <c r="T22" s="201" t="str">
        <f t="shared" si="8"/>
        <v>--</v>
      </c>
      <c r="U22" s="214" t="str">
        <f t="shared" si="9"/>
        <v>--</v>
      </c>
      <c r="V22" s="218" t="str">
        <f t="shared" si="10"/>
        <v>--</v>
      </c>
      <c r="W22" s="222" t="str">
        <f t="shared" si="11"/>
        <v>--</v>
      </c>
      <c r="X22" s="227" t="str">
        <f t="shared" si="12"/>
        <v>--</v>
      </c>
      <c r="Y22" s="232" t="str">
        <f t="shared" si="13"/>
        <v>--</v>
      </c>
      <c r="Z22" s="444">
        <f aca="true" t="shared" si="15" ref="Z22:Z36">IF(F22="","","SI")</f>
      </c>
      <c r="AA22" s="28">
        <f t="shared" si="14"/>
      </c>
      <c r="AB22" s="286"/>
    </row>
    <row r="23" spans="1:28" s="7" customFormat="1" ht="15">
      <c r="A23" s="6"/>
      <c r="B23" s="65"/>
      <c r="C23" s="426"/>
      <c r="D23" s="423"/>
      <c r="E23" s="423"/>
      <c r="F23" s="427"/>
      <c r="G23" s="432"/>
      <c r="H23" s="433"/>
      <c r="I23" s="175">
        <f t="shared" si="0"/>
        <v>12.981000000000002</v>
      </c>
      <c r="J23" s="437"/>
      <c r="K23" s="437"/>
      <c r="L23" s="12">
        <f t="shared" si="1"/>
      </c>
      <c r="M23" s="13">
        <f t="shared" si="2"/>
      </c>
      <c r="N23" s="439"/>
      <c r="O23" s="14">
        <f t="shared" si="3"/>
      </c>
      <c r="P23" s="189" t="str">
        <f t="shared" si="4"/>
        <v>--</v>
      </c>
      <c r="Q23" s="194" t="str">
        <f t="shared" si="5"/>
        <v>--</v>
      </c>
      <c r="R23" s="199" t="str">
        <f t="shared" si="6"/>
        <v>--</v>
      </c>
      <c r="S23" s="200" t="str">
        <f t="shared" si="7"/>
        <v>--</v>
      </c>
      <c r="T23" s="201" t="str">
        <f t="shared" si="8"/>
        <v>--</v>
      </c>
      <c r="U23" s="214" t="str">
        <f t="shared" si="9"/>
        <v>--</v>
      </c>
      <c r="V23" s="218" t="str">
        <f t="shared" si="10"/>
        <v>--</v>
      </c>
      <c r="W23" s="222" t="str">
        <f t="shared" si="11"/>
        <v>--</v>
      </c>
      <c r="X23" s="227" t="str">
        <f t="shared" si="12"/>
        <v>--</v>
      </c>
      <c r="Y23" s="232" t="str">
        <f t="shared" si="13"/>
        <v>--</v>
      </c>
      <c r="Z23" s="444">
        <f t="shared" si="15"/>
      </c>
      <c r="AA23" s="28">
        <f t="shared" si="14"/>
      </c>
      <c r="AB23" s="286"/>
    </row>
    <row r="24" spans="1:28" s="7" customFormat="1" ht="15">
      <c r="A24" s="6"/>
      <c r="B24" s="65"/>
      <c r="C24" s="426"/>
      <c r="D24" s="423"/>
      <c r="E24" s="423"/>
      <c r="F24" s="427"/>
      <c r="G24" s="432"/>
      <c r="H24" s="433"/>
      <c r="I24" s="175">
        <f t="shared" si="0"/>
        <v>12.981000000000002</v>
      </c>
      <c r="J24" s="437"/>
      <c r="K24" s="437"/>
      <c r="L24" s="12">
        <f t="shared" si="1"/>
      </c>
      <c r="M24" s="13">
        <f t="shared" si="2"/>
      </c>
      <c r="N24" s="439"/>
      <c r="O24" s="14">
        <f t="shared" si="3"/>
      </c>
      <c r="P24" s="189" t="str">
        <f t="shared" si="4"/>
        <v>--</v>
      </c>
      <c r="Q24" s="194" t="str">
        <f t="shared" si="5"/>
        <v>--</v>
      </c>
      <c r="R24" s="199" t="str">
        <f t="shared" si="6"/>
        <v>--</v>
      </c>
      <c r="S24" s="200" t="str">
        <f t="shared" si="7"/>
        <v>--</v>
      </c>
      <c r="T24" s="201" t="str">
        <f t="shared" si="8"/>
        <v>--</v>
      </c>
      <c r="U24" s="214" t="str">
        <f t="shared" si="9"/>
        <v>--</v>
      </c>
      <c r="V24" s="218" t="str">
        <f t="shared" si="10"/>
        <v>--</v>
      </c>
      <c r="W24" s="222" t="str">
        <f t="shared" si="11"/>
        <v>--</v>
      </c>
      <c r="X24" s="227" t="str">
        <f t="shared" si="12"/>
        <v>--</v>
      </c>
      <c r="Y24" s="232" t="str">
        <f t="shared" si="13"/>
        <v>--</v>
      </c>
      <c r="Z24" s="444">
        <f t="shared" si="15"/>
      </c>
      <c r="AA24" s="28">
        <f t="shared" si="14"/>
      </c>
      <c r="AB24" s="286"/>
    </row>
    <row r="25" spans="1:28" s="7" customFormat="1" ht="15">
      <c r="A25" s="6"/>
      <c r="B25" s="65"/>
      <c r="C25" s="426"/>
      <c r="D25" s="423"/>
      <c r="E25" s="423"/>
      <c r="F25" s="427"/>
      <c r="G25" s="432"/>
      <c r="H25" s="433"/>
      <c r="I25" s="175">
        <f t="shared" si="0"/>
        <v>12.981000000000002</v>
      </c>
      <c r="J25" s="437"/>
      <c r="K25" s="437"/>
      <c r="L25" s="12">
        <f t="shared" si="1"/>
      </c>
      <c r="M25" s="13">
        <f t="shared" si="2"/>
      </c>
      <c r="N25" s="439"/>
      <c r="O25" s="14">
        <f t="shared" si="3"/>
      </c>
      <c r="P25" s="189" t="str">
        <f t="shared" si="4"/>
        <v>--</v>
      </c>
      <c r="Q25" s="194" t="str">
        <f t="shared" si="5"/>
        <v>--</v>
      </c>
      <c r="R25" s="199" t="str">
        <f t="shared" si="6"/>
        <v>--</v>
      </c>
      <c r="S25" s="200" t="str">
        <f t="shared" si="7"/>
        <v>--</v>
      </c>
      <c r="T25" s="201" t="str">
        <f t="shared" si="8"/>
        <v>--</v>
      </c>
      <c r="U25" s="214" t="str">
        <f t="shared" si="9"/>
        <v>--</v>
      </c>
      <c r="V25" s="218" t="str">
        <f t="shared" si="10"/>
        <v>--</v>
      </c>
      <c r="W25" s="222" t="str">
        <f t="shared" si="11"/>
        <v>--</v>
      </c>
      <c r="X25" s="227" t="str">
        <f t="shared" si="12"/>
        <v>--</v>
      </c>
      <c r="Y25" s="232" t="str">
        <f t="shared" si="13"/>
        <v>--</v>
      </c>
      <c r="Z25" s="444">
        <f t="shared" si="15"/>
      </c>
      <c r="AA25" s="28">
        <f t="shared" si="14"/>
      </c>
      <c r="AB25" s="286"/>
    </row>
    <row r="26" spans="1:28" s="7" customFormat="1" ht="15">
      <c r="A26" s="6"/>
      <c r="B26" s="65"/>
      <c r="C26" s="426"/>
      <c r="D26" s="423"/>
      <c r="E26" s="423"/>
      <c r="F26" s="427"/>
      <c r="G26" s="432"/>
      <c r="H26" s="433"/>
      <c r="I26" s="175">
        <f t="shared" si="0"/>
        <v>12.981000000000002</v>
      </c>
      <c r="J26" s="437"/>
      <c r="K26" s="437"/>
      <c r="L26" s="12">
        <f t="shared" si="1"/>
      </c>
      <c r="M26" s="13">
        <f t="shared" si="2"/>
      </c>
      <c r="N26" s="439"/>
      <c r="O26" s="14">
        <f t="shared" si="3"/>
      </c>
      <c r="P26" s="189" t="str">
        <f t="shared" si="4"/>
        <v>--</v>
      </c>
      <c r="Q26" s="194" t="str">
        <f t="shared" si="5"/>
        <v>--</v>
      </c>
      <c r="R26" s="199" t="str">
        <f t="shared" si="6"/>
        <v>--</v>
      </c>
      <c r="S26" s="200" t="str">
        <f t="shared" si="7"/>
        <v>--</v>
      </c>
      <c r="T26" s="201" t="str">
        <f t="shared" si="8"/>
        <v>--</v>
      </c>
      <c r="U26" s="214" t="str">
        <f t="shared" si="9"/>
        <v>--</v>
      </c>
      <c r="V26" s="218" t="str">
        <f t="shared" si="10"/>
        <v>--</v>
      </c>
      <c r="W26" s="222" t="str">
        <f t="shared" si="11"/>
        <v>--</v>
      </c>
      <c r="X26" s="227" t="str">
        <f t="shared" si="12"/>
        <v>--</v>
      </c>
      <c r="Y26" s="232" t="str">
        <f t="shared" si="13"/>
        <v>--</v>
      </c>
      <c r="Z26" s="444">
        <f t="shared" si="15"/>
      </c>
      <c r="AA26" s="28">
        <f t="shared" si="14"/>
      </c>
      <c r="AB26" s="286"/>
    </row>
    <row r="27" spans="1:28" s="7" customFormat="1" ht="15">
      <c r="A27" s="6"/>
      <c r="B27" s="65"/>
      <c r="C27" s="426"/>
      <c r="D27" s="423"/>
      <c r="E27" s="423"/>
      <c r="F27" s="427"/>
      <c r="G27" s="432"/>
      <c r="H27" s="433"/>
      <c r="I27" s="175">
        <f t="shared" si="0"/>
        <v>12.981000000000002</v>
      </c>
      <c r="J27" s="437"/>
      <c r="K27" s="437"/>
      <c r="L27" s="12">
        <f t="shared" si="1"/>
      </c>
      <c r="M27" s="13">
        <f t="shared" si="2"/>
      </c>
      <c r="N27" s="439"/>
      <c r="O27" s="14">
        <f t="shared" si="3"/>
      </c>
      <c r="P27" s="189" t="str">
        <f t="shared" si="4"/>
        <v>--</v>
      </c>
      <c r="Q27" s="194" t="str">
        <f t="shared" si="5"/>
        <v>--</v>
      </c>
      <c r="R27" s="199" t="str">
        <f t="shared" si="6"/>
        <v>--</v>
      </c>
      <c r="S27" s="200" t="str">
        <f t="shared" si="7"/>
        <v>--</v>
      </c>
      <c r="T27" s="201" t="str">
        <f t="shared" si="8"/>
        <v>--</v>
      </c>
      <c r="U27" s="214" t="str">
        <f t="shared" si="9"/>
        <v>--</v>
      </c>
      <c r="V27" s="218" t="str">
        <f t="shared" si="10"/>
        <v>--</v>
      </c>
      <c r="W27" s="222" t="str">
        <f t="shared" si="11"/>
        <v>--</v>
      </c>
      <c r="X27" s="227" t="str">
        <f t="shared" si="12"/>
        <v>--</v>
      </c>
      <c r="Y27" s="232" t="str">
        <f t="shared" si="13"/>
        <v>--</v>
      </c>
      <c r="Z27" s="444">
        <f t="shared" si="15"/>
      </c>
      <c r="AA27" s="28">
        <f t="shared" si="14"/>
      </c>
      <c r="AB27" s="286"/>
    </row>
    <row r="28" spans="1:28" s="7" customFormat="1" ht="15">
      <c r="A28" s="6"/>
      <c r="B28" s="65"/>
      <c r="C28" s="426"/>
      <c r="D28" s="423"/>
      <c r="E28" s="423"/>
      <c r="F28" s="427"/>
      <c r="G28" s="432"/>
      <c r="H28" s="433"/>
      <c r="I28" s="175">
        <f t="shared" si="0"/>
        <v>12.981000000000002</v>
      </c>
      <c r="J28" s="437"/>
      <c r="K28" s="437"/>
      <c r="L28" s="12">
        <f t="shared" si="1"/>
      </c>
      <c r="M28" s="13">
        <f t="shared" si="2"/>
      </c>
      <c r="N28" s="439"/>
      <c r="O28" s="14">
        <f t="shared" si="3"/>
      </c>
      <c r="P28" s="189" t="str">
        <f t="shared" si="4"/>
        <v>--</v>
      </c>
      <c r="Q28" s="194" t="str">
        <f t="shared" si="5"/>
        <v>--</v>
      </c>
      <c r="R28" s="199" t="str">
        <f t="shared" si="6"/>
        <v>--</v>
      </c>
      <c r="S28" s="200" t="str">
        <f t="shared" si="7"/>
        <v>--</v>
      </c>
      <c r="T28" s="201" t="str">
        <f t="shared" si="8"/>
        <v>--</v>
      </c>
      <c r="U28" s="214" t="str">
        <f t="shared" si="9"/>
        <v>--</v>
      </c>
      <c r="V28" s="218" t="str">
        <f t="shared" si="10"/>
        <v>--</v>
      </c>
      <c r="W28" s="222" t="str">
        <f t="shared" si="11"/>
        <v>--</v>
      </c>
      <c r="X28" s="227" t="str">
        <f t="shared" si="12"/>
        <v>--</v>
      </c>
      <c r="Y28" s="232" t="str">
        <f t="shared" si="13"/>
        <v>--</v>
      </c>
      <c r="Z28" s="444">
        <f t="shared" si="15"/>
      </c>
      <c r="AA28" s="28">
        <f t="shared" si="14"/>
      </c>
      <c r="AB28" s="8"/>
    </row>
    <row r="29" spans="1:28" s="7" customFormat="1" ht="15">
      <c r="A29" s="6"/>
      <c r="B29" s="65"/>
      <c r="C29" s="426"/>
      <c r="D29" s="423"/>
      <c r="E29" s="423"/>
      <c r="F29" s="427"/>
      <c r="G29" s="432"/>
      <c r="H29" s="433"/>
      <c r="I29" s="175">
        <f t="shared" si="0"/>
        <v>12.981000000000002</v>
      </c>
      <c r="J29" s="437"/>
      <c r="K29" s="437"/>
      <c r="L29" s="12">
        <f t="shared" si="1"/>
      </c>
      <c r="M29" s="13">
        <f t="shared" si="2"/>
      </c>
      <c r="N29" s="439"/>
      <c r="O29" s="14">
        <f t="shared" si="3"/>
      </c>
      <c r="P29" s="189" t="str">
        <f t="shared" si="4"/>
        <v>--</v>
      </c>
      <c r="Q29" s="194" t="str">
        <f t="shared" si="5"/>
        <v>--</v>
      </c>
      <c r="R29" s="199" t="str">
        <f t="shared" si="6"/>
        <v>--</v>
      </c>
      <c r="S29" s="200" t="str">
        <f t="shared" si="7"/>
        <v>--</v>
      </c>
      <c r="T29" s="201" t="str">
        <f t="shared" si="8"/>
        <v>--</v>
      </c>
      <c r="U29" s="214" t="str">
        <f t="shared" si="9"/>
        <v>--</v>
      </c>
      <c r="V29" s="218" t="str">
        <f t="shared" si="10"/>
        <v>--</v>
      </c>
      <c r="W29" s="222" t="str">
        <f t="shared" si="11"/>
        <v>--</v>
      </c>
      <c r="X29" s="227" t="str">
        <f t="shared" si="12"/>
        <v>--</v>
      </c>
      <c r="Y29" s="232" t="str">
        <f t="shared" si="13"/>
        <v>--</v>
      </c>
      <c r="Z29" s="444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426"/>
      <c r="D30" s="423"/>
      <c r="E30" s="423"/>
      <c r="F30" s="427"/>
      <c r="G30" s="432"/>
      <c r="H30" s="433"/>
      <c r="I30" s="175">
        <f t="shared" si="0"/>
        <v>12.981000000000002</v>
      </c>
      <c r="J30" s="437"/>
      <c r="K30" s="437"/>
      <c r="L30" s="12">
        <f t="shared" si="1"/>
      </c>
      <c r="M30" s="13">
        <f t="shared" si="2"/>
      </c>
      <c r="N30" s="439"/>
      <c r="O30" s="14">
        <f t="shared" si="3"/>
      </c>
      <c r="P30" s="189" t="str">
        <f t="shared" si="4"/>
        <v>--</v>
      </c>
      <c r="Q30" s="194" t="str">
        <f t="shared" si="5"/>
        <v>--</v>
      </c>
      <c r="R30" s="199" t="str">
        <f t="shared" si="6"/>
        <v>--</v>
      </c>
      <c r="S30" s="200" t="str">
        <f t="shared" si="7"/>
        <v>--</v>
      </c>
      <c r="T30" s="201" t="str">
        <f t="shared" si="8"/>
        <v>--</v>
      </c>
      <c r="U30" s="214" t="str">
        <f t="shared" si="9"/>
        <v>--</v>
      </c>
      <c r="V30" s="218" t="str">
        <f t="shared" si="10"/>
        <v>--</v>
      </c>
      <c r="W30" s="222" t="str">
        <f t="shared" si="11"/>
        <v>--</v>
      </c>
      <c r="X30" s="227" t="str">
        <f t="shared" si="12"/>
        <v>--</v>
      </c>
      <c r="Y30" s="232" t="str">
        <f t="shared" si="13"/>
        <v>--</v>
      </c>
      <c r="Z30" s="444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426"/>
      <c r="D31" s="423"/>
      <c r="E31" s="423"/>
      <c r="F31" s="427"/>
      <c r="G31" s="432"/>
      <c r="H31" s="433"/>
      <c r="I31" s="175">
        <f t="shared" si="0"/>
        <v>12.981000000000002</v>
      </c>
      <c r="J31" s="437"/>
      <c r="K31" s="437"/>
      <c r="L31" s="12">
        <f t="shared" si="1"/>
      </c>
      <c r="M31" s="13">
        <f t="shared" si="2"/>
      </c>
      <c r="N31" s="439"/>
      <c r="O31" s="14">
        <f t="shared" si="3"/>
      </c>
      <c r="P31" s="189" t="str">
        <f t="shared" si="4"/>
        <v>--</v>
      </c>
      <c r="Q31" s="194" t="str">
        <f t="shared" si="5"/>
        <v>--</v>
      </c>
      <c r="R31" s="199" t="str">
        <f t="shared" si="6"/>
        <v>--</v>
      </c>
      <c r="S31" s="200" t="str">
        <f t="shared" si="7"/>
        <v>--</v>
      </c>
      <c r="T31" s="201" t="str">
        <f t="shared" si="8"/>
        <v>--</v>
      </c>
      <c r="U31" s="214" t="str">
        <f t="shared" si="9"/>
        <v>--</v>
      </c>
      <c r="V31" s="218" t="str">
        <f t="shared" si="10"/>
        <v>--</v>
      </c>
      <c r="W31" s="222" t="str">
        <f t="shared" si="11"/>
        <v>--</v>
      </c>
      <c r="X31" s="227" t="str">
        <f t="shared" si="12"/>
        <v>--</v>
      </c>
      <c r="Y31" s="232" t="str">
        <f t="shared" si="13"/>
        <v>--</v>
      </c>
      <c r="Z31" s="444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426"/>
      <c r="D32" s="423"/>
      <c r="E32" s="423"/>
      <c r="F32" s="427"/>
      <c r="G32" s="432"/>
      <c r="H32" s="433"/>
      <c r="I32" s="175">
        <f t="shared" si="0"/>
        <v>12.981000000000002</v>
      </c>
      <c r="J32" s="437"/>
      <c r="K32" s="437"/>
      <c r="L32" s="12">
        <f t="shared" si="1"/>
      </c>
      <c r="M32" s="13">
        <f t="shared" si="2"/>
      </c>
      <c r="N32" s="439"/>
      <c r="O32" s="14">
        <f t="shared" si="3"/>
      </c>
      <c r="P32" s="189" t="str">
        <f t="shared" si="4"/>
        <v>--</v>
      </c>
      <c r="Q32" s="194" t="str">
        <f t="shared" si="5"/>
        <v>--</v>
      </c>
      <c r="R32" s="199" t="str">
        <f t="shared" si="6"/>
        <v>--</v>
      </c>
      <c r="S32" s="200" t="str">
        <f t="shared" si="7"/>
        <v>--</v>
      </c>
      <c r="T32" s="201" t="str">
        <f t="shared" si="8"/>
        <v>--</v>
      </c>
      <c r="U32" s="214" t="str">
        <f t="shared" si="9"/>
        <v>--</v>
      </c>
      <c r="V32" s="218" t="str">
        <f t="shared" si="10"/>
        <v>--</v>
      </c>
      <c r="W32" s="222" t="str">
        <f t="shared" si="11"/>
        <v>--</v>
      </c>
      <c r="X32" s="227" t="str">
        <f t="shared" si="12"/>
        <v>--</v>
      </c>
      <c r="Y32" s="232" t="str">
        <f t="shared" si="13"/>
        <v>--</v>
      </c>
      <c r="Z32" s="444">
        <f t="shared" si="15"/>
      </c>
      <c r="AA32" s="28">
        <f t="shared" si="14"/>
      </c>
      <c r="AB32" s="8"/>
    </row>
    <row r="33" spans="1:28" s="7" customFormat="1" ht="15">
      <c r="A33" s="6"/>
      <c r="B33" s="65"/>
      <c r="C33" s="426"/>
      <c r="D33" s="423"/>
      <c r="E33" s="423"/>
      <c r="F33" s="427"/>
      <c r="G33" s="432"/>
      <c r="H33" s="433"/>
      <c r="I33" s="175">
        <f t="shared" si="0"/>
        <v>12.981000000000002</v>
      </c>
      <c r="J33" s="437"/>
      <c r="K33" s="437"/>
      <c r="L33" s="12">
        <f t="shared" si="1"/>
      </c>
      <c r="M33" s="13">
        <f t="shared" si="2"/>
      </c>
      <c r="N33" s="439"/>
      <c r="O33" s="14">
        <f t="shared" si="3"/>
      </c>
      <c r="P33" s="189" t="str">
        <f t="shared" si="4"/>
        <v>--</v>
      </c>
      <c r="Q33" s="194" t="str">
        <f t="shared" si="5"/>
        <v>--</v>
      </c>
      <c r="R33" s="199" t="str">
        <f t="shared" si="6"/>
        <v>--</v>
      </c>
      <c r="S33" s="200" t="str">
        <f t="shared" si="7"/>
        <v>--</v>
      </c>
      <c r="T33" s="201" t="str">
        <f t="shared" si="8"/>
        <v>--</v>
      </c>
      <c r="U33" s="214" t="str">
        <f t="shared" si="9"/>
        <v>--</v>
      </c>
      <c r="V33" s="218" t="str">
        <f t="shared" si="10"/>
        <v>--</v>
      </c>
      <c r="W33" s="222" t="str">
        <f t="shared" si="11"/>
        <v>--</v>
      </c>
      <c r="X33" s="227" t="str">
        <f t="shared" si="12"/>
        <v>--</v>
      </c>
      <c r="Y33" s="232" t="str">
        <f t="shared" si="13"/>
        <v>--</v>
      </c>
      <c r="Z33" s="444">
        <f t="shared" si="15"/>
      </c>
      <c r="AA33" s="28">
        <f t="shared" si="14"/>
      </c>
      <c r="AB33" s="8"/>
    </row>
    <row r="34" spans="1:28" s="7" customFormat="1" ht="15">
      <c r="A34" s="6"/>
      <c r="B34" s="65"/>
      <c r="C34" s="426"/>
      <c r="D34" s="423"/>
      <c r="E34" s="423"/>
      <c r="F34" s="427"/>
      <c r="G34" s="432"/>
      <c r="H34" s="433"/>
      <c r="I34" s="175">
        <f t="shared" si="0"/>
        <v>12.981000000000002</v>
      </c>
      <c r="J34" s="437"/>
      <c r="K34" s="437"/>
      <c r="L34" s="12">
        <f t="shared" si="1"/>
      </c>
      <c r="M34" s="13">
        <f t="shared" si="2"/>
      </c>
      <c r="N34" s="439"/>
      <c r="O34" s="14">
        <f t="shared" si="3"/>
      </c>
      <c r="P34" s="189" t="str">
        <f t="shared" si="4"/>
        <v>--</v>
      </c>
      <c r="Q34" s="194" t="str">
        <f t="shared" si="5"/>
        <v>--</v>
      </c>
      <c r="R34" s="199" t="str">
        <f t="shared" si="6"/>
        <v>--</v>
      </c>
      <c r="S34" s="200" t="str">
        <f t="shared" si="7"/>
        <v>--</v>
      </c>
      <c r="T34" s="201" t="str">
        <f t="shared" si="8"/>
        <v>--</v>
      </c>
      <c r="U34" s="214" t="str">
        <f t="shared" si="9"/>
        <v>--</v>
      </c>
      <c r="V34" s="218" t="str">
        <f t="shared" si="10"/>
        <v>--</v>
      </c>
      <c r="W34" s="222" t="str">
        <f t="shared" si="11"/>
        <v>--</v>
      </c>
      <c r="X34" s="227" t="str">
        <f t="shared" si="12"/>
        <v>--</v>
      </c>
      <c r="Y34" s="232" t="str">
        <f t="shared" si="13"/>
        <v>--</v>
      </c>
      <c r="Z34" s="444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426"/>
      <c r="D35" s="423"/>
      <c r="E35" s="423"/>
      <c r="F35" s="427"/>
      <c r="G35" s="432"/>
      <c r="H35" s="433"/>
      <c r="I35" s="175">
        <f t="shared" si="0"/>
        <v>12.981000000000002</v>
      </c>
      <c r="J35" s="437"/>
      <c r="K35" s="437"/>
      <c r="L35" s="12">
        <f t="shared" si="1"/>
      </c>
      <c r="M35" s="13">
        <f t="shared" si="2"/>
      </c>
      <c r="N35" s="439"/>
      <c r="O35" s="14">
        <f t="shared" si="3"/>
      </c>
      <c r="P35" s="189" t="str">
        <f t="shared" si="4"/>
        <v>--</v>
      </c>
      <c r="Q35" s="194" t="str">
        <f t="shared" si="5"/>
        <v>--</v>
      </c>
      <c r="R35" s="199" t="str">
        <f t="shared" si="6"/>
        <v>--</v>
      </c>
      <c r="S35" s="200" t="str">
        <f t="shared" si="7"/>
        <v>--</v>
      </c>
      <c r="T35" s="201" t="str">
        <f t="shared" si="8"/>
        <v>--</v>
      </c>
      <c r="U35" s="214" t="str">
        <f t="shared" si="9"/>
        <v>--</v>
      </c>
      <c r="V35" s="218" t="str">
        <f t="shared" si="10"/>
        <v>--</v>
      </c>
      <c r="W35" s="222" t="str">
        <f t="shared" si="11"/>
        <v>--</v>
      </c>
      <c r="X35" s="227" t="str">
        <f t="shared" si="12"/>
        <v>--</v>
      </c>
      <c r="Y35" s="232" t="str">
        <f t="shared" si="13"/>
        <v>--</v>
      </c>
      <c r="Z35" s="444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426"/>
      <c r="D36" s="423"/>
      <c r="E36" s="423"/>
      <c r="F36" s="427"/>
      <c r="G36" s="432"/>
      <c r="H36" s="433"/>
      <c r="I36" s="175">
        <f t="shared" si="0"/>
        <v>12.981000000000002</v>
      </c>
      <c r="J36" s="437"/>
      <c r="K36" s="437"/>
      <c r="L36" s="12">
        <f t="shared" si="1"/>
      </c>
      <c r="M36" s="13">
        <f t="shared" si="2"/>
      </c>
      <c r="N36" s="439"/>
      <c r="O36" s="14">
        <f t="shared" si="3"/>
      </c>
      <c r="P36" s="189" t="str">
        <f t="shared" si="4"/>
        <v>--</v>
      </c>
      <c r="Q36" s="194" t="str">
        <f t="shared" si="5"/>
        <v>--</v>
      </c>
      <c r="R36" s="199" t="str">
        <f t="shared" si="6"/>
        <v>--</v>
      </c>
      <c r="S36" s="200" t="str">
        <f t="shared" si="7"/>
        <v>--</v>
      </c>
      <c r="T36" s="201" t="str">
        <f t="shared" si="8"/>
        <v>--</v>
      </c>
      <c r="U36" s="214" t="str">
        <f t="shared" si="9"/>
        <v>--</v>
      </c>
      <c r="V36" s="218" t="str">
        <f t="shared" si="10"/>
        <v>--</v>
      </c>
      <c r="W36" s="222" t="str">
        <f t="shared" si="11"/>
        <v>--</v>
      </c>
      <c r="X36" s="227" t="str">
        <f t="shared" si="12"/>
        <v>--</v>
      </c>
      <c r="Y36" s="232" t="str">
        <f t="shared" si="13"/>
        <v>--</v>
      </c>
      <c r="Z36" s="444">
        <f t="shared" si="15"/>
      </c>
      <c r="AA36" s="28">
        <f t="shared" si="14"/>
      </c>
      <c r="AB36" s="8"/>
    </row>
    <row r="37" spans="1:28" s="7" customFormat="1" ht="15.75" thickBot="1">
      <c r="A37" s="6"/>
      <c r="B37" s="65"/>
      <c r="C37" s="428"/>
      <c r="D37" s="428"/>
      <c r="E37" s="428"/>
      <c r="F37" s="429"/>
      <c r="G37" s="434"/>
      <c r="H37" s="435"/>
      <c r="I37" s="176"/>
      <c r="J37" s="438"/>
      <c r="K37" s="438"/>
      <c r="L37" s="15"/>
      <c r="M37" s="15"/>
      <c r="N37" s="438"/>
      <c r="O37" s="29"/>
      <c r="P37" s="190"/>
      <c r="Q37" s="195"/>
      <c r="R37" s="202"/>
      <c r="S37" s="203"/>
      <c r="T37" s="204"/>
      <c r="U37" s="215"/>
      <c r="V37" s="219"/>
      <c r="W37" s="223"/>
      <c r="X37" s="228"/>
      <c r="Y37" s="233"/>
      <c r="Z37" s="445"/>
      <c r="AA37" s="105"/>
      <c r="AB37" s="8"/>
    </row>
    <row r="38" spans="1:28" s="7" customFormat="1" ht="17.25" thickBot="1" thickTop="1">
      <c r="A38" s="6"/>
      <c r="B38" s="65"/>
      <c r="C38" s="517" t="s">
        <v>232</v>
      </c>
      <c r="D38" s="516" t="s">
        <v>233</v>
      </c>
      <c r="E38" s="165"/>
      <c r="F38" s="164"/>
      <c r="G38" s="6"/>
      <c r="H38" s="6"/>
      <c r="I38" s="6"/>
      <c r="J38" s="6"/>
      <c r="K38" s="6"/>
      <c r="L38" s="6"/>
      <c r="M38" s="6"/>
      <c r="N38" s="6"/>
      <c r="O38" s="6"/>
      <c r="P38" s="207">
        <f aca="true" t="shared" si="16" ref="P38:Y38">SUM(P19:P37)</f>
        <v>0</v>
      </c>
      <c r="Q38" s="208">
        <f t="shared" si="16"/>
        <v>0</v>
      </c>
      <c r="R38" s="234">
        <f t="shared" si="16"/>
        <v>644.896103768921</v>
      </c>
      <c r="S38" s="234">
        <f t="shared" si="16"/>
        <v>631.9981816935425</v>
      </c>
      <c r="T38" s="234">
        <f t="shared" si="16"/>
        <v>0</v>
      </c>
      <c r="U38" s="235">
        <f t="shared" si="16"/>
        <v>0</v>
      </c>
      <c r="V38" s="235">
        <f t="shared" si="16"/>
        <v>0</v>
      </c>
      <c r="W38" s="235">
        <f t="shared" si="16"/>
        <v>0</v>
      </c>
      <c r="X38" s="236">
        <f t="shared" si="16"/>
        <v>0</v>
      </c>
      <c r="Y38" s="237">
        <f t="shared" si="16"/>
        <v>0</v>
      </c>
      <c r="Z38" s="6"/>
      <c r="AA38" s="172">
        <f>ROUND(SUM(AA19:AA37),2)</f>
        <v>1276.89</v>
      </c>
      <c r="AB38" s="8"/>
    </row>
    <row r="39" spans="1:28" s="169" customFormat="1" ht="13.5" thickTop="1">
      <c r="A39" s="167"/>
      <c r="B39" s="168"/>
      <c r="C39" s="165"/>
      <c r="D39" s="165"/>
      <c r="E39" s="165"/>
      <c r="F39" s="166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70"/>
    </row>
    <row r="40" spans="1:28" s="7" customFormat="1" ht="13.5" thickBot="1">
      <c r="A40" s="6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</row>
    <row r="41" spans="1:2" ht="13.5" thickTop="1">
      <c r="A41" s="1"/>
      <c r="B4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4" r:id="rId3"/>
  <headerFooter alignWithMargins="0">
    <oddFooter>&amp;L&amp;F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S107"/>
  <sheetViews>
    <sheetView zoomScale="75" zoomScaleNormal="75" zoomScalePageLayoutView="0" workbookViewId="0" topLeftCell="E1">
      <selection activeCell="M19" sqref="M19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13.421875" style="0" customWidth="1"/>
    <col min="12" max="12" width="29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1.140625" style="0" customWidth="1"/>
  </cols>
  <sheetData>
    <row r="1" s="32" customFormat="1" ht="39.75" customHeight="1">
      <c r="P1" s="346"/>
    </row>
    <row r="2" spans="2:16" s="32" customFormat="1" ht="26.25">
      <c r="B2" s="33" t="str">
        <f>+'TOT-1212'!B2</f>
        <v>ANEXO III al Memorándum  D.T.E.E.  N°  261/ 2014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" s="39" customFormat="1" ht="11.25">
      <c r="A3" s="111" t="s">
        <v>8</v>
      </c>
      <c r="B3" s="369"/>
    </row>
    <row r="4" spans="1:2" s="39" customFormat="1" ht="11.25">
      <c r="A4" s="111" t="s">
        <v>9</v>
      </c>
      <c r="B4" s="369"/>
    </row>
    <row r="5" s="7" customFormat="1" ht="13.5" thickBot="1"/>
    <row r="6" spans="1:16" s="7" customFormat="1" ht="13.5" thickTop="1">
      <c r="A6" s="6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16" s="43" customFormat="1" ht="20.25">
      <c r="A7" s="44"/>
      <c r="B7" s="98"/>
      <c r="C7" s="44"/>
      <c r="D7" s="18" t="s">
        <v>23</v>
      </c>
      <c r="G7" s="44"/>
      <c r="H7" s="44"/>
      <c r="I7" s="44"/>
      <c r="J7" s="44"/>
      <c r="K7" s="44"/>
      <c r="L7" s="44"/>
      <c r="M7" s="44"/>
      <c r="N7" s="44"/>
      <c r="O7" s="44"/>
      <c r="P7" s="99"/>
    </row>
    <row r="8" spans="1:16" ht="15">
      <c r="A8" s="1"/>
      <c r="B8" s="289"/>
      <c r="C8" s="290"/>
      <c r="D8" s="291"/>
      <c r="E8" s="290"/>
      <c r="F8" s="292"/>
      <c r="G8" s="290"/>
      <c r="H8" s="290"/>
      <c r="I8" s="290"/>
      <c r="J8" s="290"/>
      <c r="K8" s="290"/>
      <c r="L8" s="290"/>
      <c r="M8" s="290"/>
      <c r="N8" s="290"/>
      <c r="O8" s="290"/>
      <c r="P8" s="293"/>
    </row>
    <row r="9" spans="1:19" s="43" customFormat="1" ht="20.25">
      <c r="A9" s="44"/>
      <c r="B9" s="294"/>
      <c r="C9"/>
      <c r="D9" s="19" t="s">
        <v>180</v>
      </c>
      <c r="E9" s="295"/>
      <c r="F9" s="295"/>
      <c r="G9" s="295"/>
      <c r="H9" s="296"/>
      <c r="I9" s="295"/>
      <c r="J9" s="295"/>
      <c r="K9" s="295"/>
      <c r="L9" s="295"/>
      <c r="M9" s="295"/>
      <c r="N9" s="295"/>
      <c r="O9" s="295"/>
      <c r="P9" s="297"/>
      <c r="Q9" s="298"/>
      <c r="R9" s="124"/>
      <c r="S9" s="124"/>
    </row>
    <row r="10" spans="1:19" s="7" customFormat="1" ht="12.75">
      <c r="A10" s="6"/>
      <c r="B10" s="65"/>
      <c r="C10" s="6"/>
      <c r="D10" s="299"/>
      <c r="E10" s="26"/>
      <c r="F10" s="26"/>
      <c r="G10" s="26"/>
      <c r="H10" s="118"/>
      <c r="I10" s="26"/>
      <c r="J10" s="26"/>
      <c r="K10" s="26"/>
      <c r="L10" s="26"/>
      <c r="M10" s="26"/>
      <c r="N10" s="26"/>
      <c r="O10" s="26"/>
      <c r="P10" s="30"/>
      <c r="Q10" s="26"/>
      <c r="R10" s="26"/>
      <c r="S10" s="300"/>
    </row>
    <row r="11" spans="1:19" s="50" customFormat="1" ht="19.5">
      <c r="A11" s="57"/>
      <c r="B11" s="51" t="str">
        <f>'TOT-1212'!B14</f>
        <v>Desde el 01 al 31 de diciembre de 2012</v>
      </c>
      <c r="C11" s="54"/>
      <c r="D11" s="151"/>
      <c r="E11" s="151"/>
      <c r="F11" s="151"/>
      <c r="G11" s="151"/>
      <c r="H11" s="151"/>
      <c r="I11" s="54"/>
      <c r="J11" s="151"/>
      <c r="K11" s="151"/>
      <c r="L11" s="151"/>
      <c r="M11" s="151"/>
      <c r="N11" s="151"/>
      <c r="O11" s="151"/>
      <c r="P11" s="301"/>
      <c r="Q11" s="302"/>
      <c r="R11" s="302"/>
      <c r="S11" s="302"/>
    </row>
    <row r="12" spans="1:19" ht="15">
      <c r="A12" s="1"/>
      <c r="B12" s="289"/>
      <c r="C12" s="290"/>
      <c r="D12" s="303"/>
      <c r="E12" s="303"/>
      <c r="F12" s="303"/>
      <c r="G12" s="303"/>
      <c r="H12" s="304"/>
      <c r="I12" s="290"/>
      <c r="J12" s="303"/>
      <c r="K12" s="303"/>
      <c r="L12" s="303"/>
      <c r="M12" s="303"/>
      <c r="N12" s="303"/>
      <c r="O12" s="303"/>
      <c r="P12" s="305"/>
      <c r="Q12" s="2"/>
      <c r="R12" s="2"/>
      <c r="S12" s="306"/>
    </row>
    <row r="13" spans="1:19" ht="18" customHeight="1">
      <c r="A13" s="1"/>
      <c r="B13" s="289"/>
      <c r="C13" s="290"/>
      <c r="D13" s="303"/>
      <c r="E13" s="303"/>
      <c r="F13" s="303"/>
      <c r="G13" s="303"/>
      <c r="H13" s="307"/>
      <c r="I13" s="307"/>
      <c r="J13" s="303"/>
      <c r="K13" s="303"/>
      <c r="P13" s="305"/>
      <c r="Q13" s="2"/>
      <c r="R13" s="2"/>
      <c r="S13" s="306"/>
    </row>
    <row r="14" spans="1:19" ht="18" customHeight="1">
      <c r="A14" s="1"/>
      <c r="B14" s="289"/>
      <c r="C14" s="290"/>
      <c r="D14" s="308"/>
      <c r="E14" s="309"/>
      <c r="F14" s="303"/>
      <c r="G14" s="303"/>
      <c r="H14" s="307"/>
      <c r="I14" s="307"/>
      <c r="J14" s="303"/>
      <c r="K14" s="303"/>
      <c r="P14" s="305"/>
      <c r="Q14" s="2"/>
      <c r="R14" s="2"/>
      <c r="S14" s="306"/>
    </row>
    <row r="15" spans="1:16" ht="16.5" thickBot="1">
      <c r="A15" s="1"/>
      <c r="B15" s="289"/>
      <c r="C15" s="349" t="s">
        <v>65</v>
      </c>
      <c r="D15" s="292"/>
      <c r="E15" s="311"/>
      <c r="F15" s="312"/>
      <c r="G15" s="290"/>
      <c r="H15" s="290"/>
      <c r="I15" s="290"/>
      <c r="J15" s="313"/>
      <c r="K15" s="313"/>
      <c r="L15" s="314"/>
      <c r="M15" s="290"/>
      <c r="N15" s="290"/>
      <c r="O15" s="290"/>
      <c r="P15" s="293"/>
    </row>
    <row r="16" spans="1:16" ht="15.75">
      <c r="A16" s="1"/>
      <c r="B16" s="289"/>
      <c r="C16" s="310"/>
      <c r="D16" s="292"/>
      <c r="E16" s="311"/>
      <c r="F16" s="312"/>
      <c r="G16" s="290"/>
      <c r="H16" s="361"/>
      <c r="I16" s="362" t="s">
        <v>68</v>
      </c>
      <c r="J16" s="365">
        <v>206.264</v>
      </c>
      <c r="L16" s="353" t="s">
        <v>62</v>
      </c>
      <c r="M16" s="354" t="s">
        <v>234</v>
      </c>
      <c r="N16" s="355"/>
      <c r="O16" s="290"/>
      <c r="P16" s="293"/>
    </row>
    <row r="17" spans="1:16" ht="16.5" thickBot="1">
      <c r="A17" s="1"/>
      <c r="B17" s="289"/>
      <c r="C17" s="310"/>
      <c r="D17" s="313" t="s">
        <v>66</v>
      </c>
      <c r="E17" s="315">
        <f>MID(B11,16,2)*24</f>
        <v>744</v>
      </c>
      <c r="F17" s="290" t="s">
        <v>67</v>
      </c>
      <c r="G17" s="303"/>
      <c r="H17" s="363"/>
      <c r="I17" s="364" t="s">
        <v>70</v>
      </c>
      <c r="J17" s="366">
        <v>0.718</v>
      </c>
      <c r="K17" s="317"/>
      <c r="L17" s="356" t="s">
        <v>63</v>
      </c>
      <c r="M17" s="348">
        <v>7.194</v>
      </c>
      <c r="N17" s="357"/>
      <c r="O17" s="290"/>
      <c r="P17" s="293"/>
    </row>
    <row r="18" spans="1:16" ht="16.5" thickBot="1">
      <c r="A18" s="1"/>
      <c r="B18" s="289"/>
      <c r="C18" s="310"/>
      <c r="D18" s="313" t="s">
        <v>69</v>
      </c>
      <c r="E18" s="318">
        <v>0.025</v>
      </c>
      <c r="F18" s="303"/>
      <c r="G18" s="303"/>
      <c r="H18" s="420"/>
      <c r="I18" s="420"/>
      <c r="J18" s="421"/>
      <c r="K18" s="347"/>
      <c r="L18" s="358" t="s">
        <v>64</v>
      </c>
      <c r="M18" s="359">
        <v>7.194</v>
      </c>
      <c r="N18" s="360"/>
      <c r="O18" s="290"/>
      <c r="P18" s="293"/>
    </row>
    <row r="19" spans="1:16" ht="15.75">
      <c r="A19" s="1"/>
      <c r="B19" s="289"/>
      <c r="C19" s="310"/>
      <c r="D19" s="313"/>
      <c r="E19" s="318"/>
      <c r="F19" s="303"/>
      <c r="G19" s="303"/>
      <c r="H19" s="303"/>
      <c r="I19" s="303"/>
      <c r="L19" s="314"/>
      <c r="M19" s="290"/>
      <c r="N19" s="290"/>
      <c r="O19" s="290"/>
      <c r="P19" s="293"/>
    </row>
    <row r="20" spans="1:16" ht="15">
      <c r="A20" s="1"/>
      <c r="B20" s="289"/>
      <c r="C20" s="308" t="s">
        <v>71</v>
      </c>
      <c r="D20" s="319"/>
      <c r="E20" s="311"/>
      <c r="F20" s="312"/>
      <c r="G20" s="290"/>
      <c r="H20" s="290"/>
      <c r="I20" s="290"/>
      <c r="J20" s="313"/>
      <c r="K20" s="313"/>
      <c r="L20" s="314"/>
      <c r="M20" s="290"/>
      <c r="N20" s="290"/>
      <c r="O20" s="290"/>
      <c r="P20" s="293"/>
    </row>
    <row r="21" spans="1:16" ht="15">
      <c r="A21" s="1"/>
      <c r="B21" s="289"/>
      <c r="C21" s="290"/>
      <c r="D21" s="290"/>
      <c r="E21" s="290"/>
      <c r="F21" s="290"/>
      <c r="G21" s="290"/>
      <c r="H21" s="320"/>
      <c r="I21" s="290"/>
      <c r="J21" s="290"/>
      <c r="K21" s="290"/>
      <c r="L21" s="290"/>
      <c r="M21" s="290"/>
      <c r="N21" s="290"/>
      <c r="O21" s="290"/>
      <c r="P21" s="293"/>
    </row>
    <row r="22" spans="1:16" ht="15">
      <c r="A22" s="1"/>
      <c r="B22" s="289"/>
      <c r="C22" s="290"/>
      <c r="D22" s="313" t="s">
        <v>72</v>
      </c>
      <c r="E22" s="290"/>
      <c r="F22" s="320" t="s">
        <v>3</v>
      </c>
      <c r="G22" s="290"/>
      <c r="H22" s="292"/>
      <c r="I22" s="351">
        <v>5072.36</v>
      </c>
      <c r="J22" s="290"/>
      <c r="K22" s="290"/>
      <c r="L22" s="416" t="s">
        <v>73</v>
      </c>
      <c r="M22" s="290"/>
      <c r="N22" s="290"/>
      <c r="O22" s="290"/>
      <c r="P22" s="293"/>
    </row>
    <row r="23" spans="1:16" ht="15">
      <c r="A23" s="1"/>
      <c r="B23" s="289"/>
      <c r="C23" s="290"/>
      <c r="D23" s="290"/>
      <c r="E23" s="290"/>
      <c r="F23" s="320" t="s">
        <v>4</v>
      </c>
      <c r="G23" s="290"/>
      <c r="H23" s="292"/>
      <c r="I23" s="351">
        <v>0</v>
      </c>
      <c r="J23" s="290"/>
      <c r="K23" s="290"/>
      <c r="L23" s="416"/>
      <c r="M23" s="290"/>
      <c r="N23" s="290"/>
      <c r="O23" s="290"/>
      <c r="P23" s="293"/>
    </row>
    <row r="24" spans="1:16" ht="15">
      <c r="A24" s="1"/>
      <c r="B24" s="289"/>
      <c r="C24" s="290"/>
      <c r="D24" s="290"/>
      <c r="E24" s="290"/>
      <c r="F24" s="320" t="s">
        <v>5</v>
      </c>
      <c r="G24" s="290"/>
      <c r="H24" s="292"/>
      <c r="I24" s="352">
        <v>0</v>
      </c>
      <c r="J24" s="290"/>
      <c r="K24" s="290"/>
      <c r="L24" s="416"/>
      <c r="M24" s="290"/>
      <c r="N24" s="290"/>
      <c r="O24" s="290"/>
      <c r="P24" s="293"/>
    </row>
    <row r="25" spans="1:16" ht="15.75" thickBot="1">
      <c r="A25" s="1"/>
      <c r="B25" s="289"/>
      <c r="C25" s="290"/>
      <c r="D25" s="290"/>
      <c r="E25" s="290"/>
      <c r="F25" s="290"/>
      <c r="G25" s="290"/>
      <c r="H25" s="320"/>
      <c r="I25" s="290"/>
      <c r="J25" s="290"/>
      <c r="K25" s="290"/>
      <c r="L25" s="290"/>
      <c r="M25" s="290"/>
      <c r="N25" s="290"/>
      <c r="O25" s="290"/>
      <c r="P25" s="293"/>
    </row>
    <row r="26" spans="2:16" ht="20.25" thickBot="1" thickTop="1">
      <c r="B26" s="289"/>
      <c r="C26" s="321"/>
      <c r="H26" s="322" t="s">
        <v>74</v>
      </c>
      <c r="I26" s="73">
        <f>SUM(I22:I25)</f>
        <v>5072.36</v>
      </c>
      <c r="L26" s="323"/>
      <c r="M26" s="323"/>
      <c r="N26" s="324"/>
      <c r="O26" s="325"/>
      <c r="P26" s="326"/>
    </row>
    <row r="27" spans="2:16" ht="15.75" thickTop="1">
      <c r="B27" s="289"/>
      <c r="C27" s="321"/>
      <c r="D27" s="319"/>
      <c r="E27" s="319"/>
      <c r="F27" s="327"/>
      <c r="G27" s="323"/>
      <c r="H27" s="323"/>
      <c r="I27" s="323"/>
      <c r="J27" s="323"/>
      <c r="K27" s="323"/>
      <c r="L27" s="323"/>
      <c r="M27" s="323"/>
      <c r="N27" s="324"/>
      <c r="O27" s="325"/>
      <c r="P27" s="326"/>
    </row>
    <row r="28" spans="2:16" ht="15">
      <c r="B28" s="289"/>
      <c r="C28" s="308" t="s">
        <v>75</v>
      </c>
      <c r="D28" s="319"/>
      <c r="E28" s="319"/>
      <c r="F28" s="327"/>
      <c r="G28" s="323"/>
      <c r="H28" s="323"/>
      <c r="I28" s="323"/>
      <c r="J28" s="323"/>
      <c r="K28" s="323"/>
      <c r="L28" s="323"/>
      <c r="M28" s="323"/>
      <c r="N28" s="324"/>
      <c r="O28" s="325"/>
      <c r="P28" s="326"/>
    </row>
    <row r="29" spans="2:16" ht="15">
      <c r="B29" s="289"/>
      <c r="C29" s="321"/>
      <c r="D29" s="319"/>
      <c r="E29" s="319"/>
      <c r="F29" s="327"/>
      <c r="G29" s="323"/>
      <c r="H29" s="323"/>
      <c r="I29" s="323"/>
      <c r="J29" s="323"/>
      <c r="K29" s="323"/>
      <c r="L29" s="323"/>
      <c r="M29" s="323"/>
      <c r="N29" s="324"/>
      <c r="O29" s="325"/>
      <c r="P29" s="326"/>
    </row>
    <row r="30" spans="2:16" ht="15.75">
      <c r="B30" s="289"/>
      <c r="C30" s="321"/>
      <c r="D30" s="370" t="s">
        <v>76</v>
      </c>
      <c r="E30" s="371" t="s">
        <v>77</v>
      </c>
      <c r="F30" s="372" t="s">
        <v>78</v>
      </c>
      <c r="G30" s="373"/>
      <c r="H30" s="373" t="s">
        <v>79</v>
      </c>
      <c r="I30" s="374" t="str">
        <f>"Cargo por E.E.T."</f>
        <v>Cargo por E.E.T.</v>
      </c>
      <c r="J30" s="375"/>
      <c r="K30" s="376"/>
      <c r="L30" s="377" t="s">
        <v>2</v>
      </c>
      <c r="N30" s="324"/>
      <c r="O30" s="325"/>
      <c r="P30" s="326"/>
    </row>
    <row r="31" spans="2:16" ht="15">
      <c r="B31" s="289"/>
      <c r="C31" s="321"/>
      <c r="D31" s="378" t="s">
        <v>6</v>
      </c>
      <c r="E31" s="379">
        <v>132</v>
      </c>
      <c r="F31" s="380">
        <v>75.6</v>
      </c>
      <c r="G31" s="381"/>
      <c r="H31" s="382">
        <f>F31*$J$16*$E$17/100</f>
        <v>116016.074496</v>
      </c>
      <c r="I31" s="383">
        <v>4089</v>
      </c>
      <c r="J31" s="384" t="str">
        <f>"(DTE "&amp;DATO!$G$14&amp;DATO!$H$14&amp;")"</f>
        <v>(DTE 1212)</v>
      </c>
      <c r="K31" s="385"/>
      <c r="L31" s="386">
        <f>SUM(H31:K31)</f>
        <v>120105.074496</v>
      </c>
      <c r="M31" s="323"/>
      <c r="N31" s="324"/>
      <c r="O31" s="325"/>
      <c r="P31" s="326"/>
    </row>
    <row r="32" spans="2:16" ht="15">
      <c r="B32" s="289"/>
      <c r="C32" s="321"/>
      <c r="D32" s="387" t="s">
        <v>80</v>
      </c>
      <c r="E32" s="388">
        <v>132</v>
      </c>
      <c r="F32" s="389">
        <v>41.4</v>
      </c>
      <c r="G32" s="390"/>
      <c r="H32" s="345">
        <f>F32*$J$16*$E$17/100</f>
        <v>63532.612224000004</v>
      </c>
      <c r="I32" s="391">
        <v>7740</v>
      </c>
      <c r="J32" s="392" t="str">
        <f>"(DTE "&amp;DATO!$G$14&amp;DATO!$H$14&amp;")"</f>
        <v>(DTE 1212)</v>
      </c>
      <c r="K32" s="393"/>
      <c r="L32" s="394">
        <f>SUM(H32:K32)</f>
        <v>71272.61222400001</v>
      </c>
      <c r="M32" s="323"/>
      <c r="N32" s="324"/>
      <c r="O32" s="325"/>
      <c r="P32" s="326"/>
    </row>
    <row r="33" spans="2:16" ht="15">
      <c r="B33" s="289"/>
      <c r="C33" s="321"/>
      <c r="D33" s="319"/>
      <c r="E33" s="319"/>
      <c r="F33" s="328"/>
      <c r="G33" s="323"/>
      <c r="I33" s="329"/>
      <c r="J33" s="316"/>
      <c r="K33" s="316"/>
      <c r="L33" s="395">
        <f>SUM(L31:L32)</f>
        <v>191377.68672</v>
      </c>
      <c r="M33" s="323"/>
      <c r="N33" s="324"/>
      <c r="O33" s="325"/>
      <c r="P33" s="326"/>
    </row>
    <row r="34" spans="2:16" ht="15">
      <c r="B34" s="289"/>
      <c r="C34" s="321"/>
      <c r="D34" s="319"/>
      <c r="E34" s="319"/>
      <c r="F34" s="328"/>
      <c r="G34" s="323"/>
      <c r="I34" s="329"/>
      <c r="J34" s="316"/>
      <c r="K34" s="316"/>
      <c r="L34" s="330"/>
      <c r="M34" s="323"/>
      <c r="N34" s="324"/>
      <c r="O34" s="325"/>
      <c r="P34" s="326"/>
    </row>
    <row r="35" spans="2:16" ht="15">
      <c r="B35" s="289"/>
      <c r="C35" s="321"/>
      <c r="D35" s="370" t="s">
        <v>81</v>
      </c>
      <c r="E35" s="371" t="s">
        <v>82</v>
      </c>
      <c r="F35" s="372" t="s">
        <v>83</v>
      </c>
      <c r="G35" s="373"/>
      <c r="H35" s="412" t="s">
        <v>79</v>
      </c>
      <c r="J35" s="396" t="s">
        <v>84</v>
      </c>
      <c r="K35" s="397"/>
      <c r="L35" s="398" t="s">
        <v>32</v>
      </c>
      <c r="M35" s="371" t="s">
        <v>77</v>
      </c>
      <c r="N35" s="399" t="s">
        <v>85</v>
      </c>
      <c r="O35" s="400"/>
      <c r="P35" s="326"/>
    </row>
    <row r="36" spans="2:16" ht="15">
      <c r="B36" s="289"/>
      <c r="C36" s="321"/>
      <c r="D36" s="378" t="s">
        <v>86</v>
      </c>
      <c r="E36" s="379" t="s">
        <v>87</v>
      </c>
      <c r="F36" s="380">
        <v>7.5</v>
      </c>
      <c r="G36" s="381"/>
      <c r="H36" s="386">
        <f>+F36*$J$17*$E$17</f>
        <v>4006.44</v>
      </c>
      <c r="J36" s="401" t="s">
        <v>86</v>
      </c>
      <c r="K36" s="384"/>
      <c r="L36" s="381" t="s">
        <v>88</v>
      </c>
      <c r="M36" s="402">
        <v>33</v>
      </c>
      <c r="N36" s="403">
        <f>$M$17*$E$17</f>
        <v>5352.336</v>
      </c>
      <c r="O36" s="404"/>
      <c r="P36" s="326"/>
    </row>
    <row r="37" spans="2:16" ht="15">
      <c r="B37" s="289"/>
      <c r="C37" s="321"/>
      <c r="D37" s="413" t="s">
        <v>86</v>
      </c>
      <c r="E37" s="319" t="s">
        <v>89</v>
      </c>
      <c r="F37" s="327">
        <v>7.5</v>
      </c>
      <c r="G37" s="323"/>
      <c r="H37" s="414">
        <f>+F37*$J$17*$E$17</f>
        <v>4006.44</v>
      </c>
      <c r="J37" s="405" t="s">
        <v>86</v>
      </c>
      <c r="K37" s="367"/>
      <c r="L37" s="323" t="s">
        <v>90</v>
      </c>
      <c r="M37" s="324">
        <v>33</v>
      </c>
      <c r="N37" s="368">
        <f>$M$17*$E$17</f>
        <v>5352.336</v>
      </c>
      <c r="O37" s="406"/>
      <c r="P37" s="326"/>
    </row>
    <row r="38" spans="2:16" ht="15">
      <c r="B38" s="289"/>
      <c r="C38" s="321"/>
      <c r="D38" s="413" t="s">
        <v>7</v>
      </c>
      <c r="E38" s="319" t="s">
        <v>87</v>
      </c>
      <c r="F38" s="327">
        <v>7.5</v>
      </c>
      <c r="G38" s="323"/>
      <c r="H38" s="414">
        <f>+F38*$J$17*$E$17</f>
        <v>4006.44</v>
      </c>
      <c r="J38" s="405" t="s">
        <v>86</v>
      </c>
      <c r="K38" s="367"/>
      <c r="L38" s="323" t="s">
        <v>91</v>
      </c>
      <c r="M38" s="324">
        <v>13.2</v>
      </c>
      <c r="N38" s="368">
        <f>$M$17*$E$17</f>
        <v>5352.336</v>
      </c>
      <c r="O38" s="406"/>
      <c r="P38" s="326"/>
    </row>
    <row r="39" spans="2:16" ht="15">
      <c r="B39" s="289"/>
      <c r="C39" s="321"/>
      <c r="D39" s="387" t="s">
        <v>7</v>
      </c>
      <c r="E39" s="388" t="s">
        <v>89</v>
      </c>
      <c r="F39" s="389">
        <v>7.5</v>
      </c>
      <c r="G39" s="390"/>
      <c r="H39" s="394">
        <f>+F39*$J$17*$E$17</f>
        <v>4006.44</v>
      </c>
      <c r="J39" s="405" t="s">
        <v>86</v>
      </c>
      <c r="K39" s="367"/>
      <c r="L39" s="323" t="s">
        <v>92</v>
      </c>
      <c r="M39" s="324">
        <v>13.2</v>
      </c>
      <c r="N39" s="368">
        <f>$M$17*$E$17</f>
        <v>5352.336</v>
      </c>
      <c r="O39" s="406"/>
      <c r="P39" s="326"/>
    </row>
    <row r="40" spans="2:16" ht="15">
      <c r="B40" s="289"/>
      <c r="C40" s="321"/>
      <c r="D40" s="319"/>
      <c r="E40" s="319"/>
      <c r="F40" s="328"/>
      <c r="G40" s="323"/>
      <c r="H40" s="415">
        <f>SUM(H36:H39)</f>
        <v>16025.76</v>
      </c>
      <c r="J40" s="407" t="s">
        <v>86</v>
      </c>
      <c r="K40" s="392"/>
      <c r="L40" s="390" t="s">
        <v>93</v>
      </c>
      <c r="M40" s="408">
        <v>13.2</v>
      </c>
      <c r="N40" s="409">
        <f>$M$17*$E$17</f>
        <v>5352.336</v>
      </c>
      <c r="O40" s="410"/>
      <c r="P40" s="326"/>
    </row>
    <row r="41" spans="2:16" ht="15">
      <c r="B41" s="289"/>
      <c r="C41" s="321"/>
      <c r="D41" s="319"/>
      <c r="E41" s="319"/>
      <c r="F41" s="328"/>
      <c r="G41" s="323"/>
      <c r="I41" s="329"/>
      <c r="J41" s="316"/>
      <c r="K41" s="316"/>
      <c r="L41" s="330"/>
      <c r="M41" s="323"/>
      <c r="N41" s="411">
        <f>SUM(N36:N40)</f>
        <v>26761.68</v>
      </c>
      <c r="O41" s="400"/>
      <c r="P41" s="326"/>
    </row>
    <row r="42" spans="2:16" ht="12.75" customHeight="1" thickBot="1">
      <c r="B42" s="289"/>
      <c r="C42" s="321"/>
      <c r="D42" s="319"/>
      <c r="E42" s="319"/>
      <c r="F42" s="327"/>
      <c r="G42" s="323"/>
      <c r="H42" s="329"/>
      <c r="I42" s="319"/>
      <c r="J42" s="319"/>
      <c r="K42" s="319"/>
      <c r="L42" s="323"/>
      <c r="M42" s="323"/>
      <c r="N42" s="324"/>
      <c r="O42" s="325"/>
      <c r="P42" s="326"/>
    </row>
    <row r="43" spans="2:16" ht="20.25" thickBot="1" thickTop="1">
      <c r="B43" s="289"/>
      <c r="C43" s="321"/>
      <c r="D43" s="319"/>
      <c r="E43" s="319"/>
      <c r="F43" s="327"/>
      <c r="G43" s="323"/>
      <c r="H43" s="331" t="s">
        <v>94</v>
      </c>
      <c r="I43" s="332">
        <f>+H40+N41+L33</f>
        <v>234165.12672</v>
      </c>
      <c r="J43" s="319"/>
      <c r="K43" s="331" t="s">
        <v>235</v>
      </c>
      <c r="L43" s="332">
        <v>67804.64352</v>
      </c>
      <c r="M43" s="323"/>
      <c r="N43" s="324"/>
      <c r="O43" s="325"/>
      <c r="P43" s="326"/>
    </row>
    <row r="44" spans="2:16" ht="15.75" thickTop="1">
      <c r="B44" s="289"/>
      <c r="C44" s="321"/>
      <c r="D44" s="319"/>
      <c r="E44" s="319"/>
      <c r="F44" s="327"/>
      <c r="G44" s="323"/>
      <c r="H44" s="329"/>
      <c r="I44" s="319"/>
      <c r="J44" s="319"/>
      <c r="K44" s="319"/>
      <c r="L44" s="323"/>
      <c r="M44" s="323"/>
      <c r="N44" s="324"/>
      <c r="O44" s="325"/>
      <c r="P44" s="326"/>
    </row>
    <row r="45" spans="2:16" ht="15.75">
      <c r="B45" s="289"/>
      <c r="C45" s="350" t="s">
        <v>95</v>
      </c>
      <c r="D45" s="319"/>
      <c r="E45" s="319"/>
      <c r="F45" s="327"/>
      <c r="G45" s="323"/>
      <c r="H45" s="329"/>
      <c r="I45" s="319"/>
      <c r="J45" s="319"/>
      <c r="K45" s="319"/>
      <c r="L45" s="323"/>
      <c r="M45" s="323"/>
      <c r="N45" s="324"/>
      <c r="O45" s="325"/>
      <c r="P45" s="326"/>
    </row>
    <row r="46" spans="2:16" ht="15.75" thickBot="1">
      <c r="B46" s="289"/>
      <c r="C46" s="321"/>
      <c r="D46" s="319"/>
      <c r="E46" s="319"/>
      <c r="F46" s="327"/>
      <c r="G46" s="323"/>
      <c r="H46" s="329"/>
      <c r="I46" s="319"/>
      <c r="J46" s="319"/>
      <c r="K46" s="319"/>
      <c r="L46" s="323"/>
      <c r="M46" s="323"/>
      <c r="N46" s="324"/>
      <c r="O46" s="325"/>
      <c r="P46" s="326"/>
    </row>
    <row r="47" spans="2:16" ht="20.25" thickBot="1" thickTop="1">
      <c r="B47" s="289"/>
      <c r="C47" s="321"/>
      <c r="D47" s="333" t="s">
        <v>96</v>
      </c>
      <c r="F47" s="334"/>
      <c r="G47" s="290"/>
      <c r="H47" s="72" t="s">
        <v>97</v>
      </c>
      <c r="I47" s="335">
        <f>E18*L43</f>
        <v>1695.116088</v>
      </c>
      <c r="J47" s="303"/>
      <c r="K47" s="303"/>
      <c r="O47" s="303"/>
      <c r="P47" s="326"/>
    </row>
    <row r="48" spans="2:16" ht="21.75" thickTop="1">
      <c r="B48" s="289"/>
      <c r="C48" s="321"/>
      <c r="F48" s="336"/>
      <c r="G48" s="44"/>
      <c r="I48" s="303"/>
      <c r="J48" s="303"/>
      <c r="K48" s="303"/>
      <c r="O48" s="303"/>
      <c r="P48" s="326"/>
    </row>
    <row r="49" spans="2:16" ht="15">
      <c r="B49" s="289"/>
      <c r="C49" s="308" t="s">
        <v>98</v>
      </c>
      <c r="E49" s="303"/>
      <c r="F49" s="303"/>
      <c r="G49" s="303"/>
      <c r="H49" s="303"/>
      <c r="I49" s="323"/>
      <c r="J49" s="323"/>
      <c r="K49" s="323"/>
      <c r="L49" s="323"/>
      <c r="M49" s="323"/>
      <c r="N49" s="324"/>
      <c r="O49" s="325"/>
      <c r="P49" s="326"/>
    </row>
    <row r="50" spans="2:16" ht="15">
      <c r="B50" s="289"/>
      <c r="C50" s="321"/>
      <c r="D50" s="337" t="s">
        <v>99</v>
      </c>
      <c r="E50" s="338">
        <f>10*I26*I47/I43</f>
        <v>367.1870000697805</v>
      </c>
      <c r="F50" s="339"/>
      <c r="H50" s="303"/>
      <c r="I50" s="323"/>
      <c r="J50" s="323"/>
      <c r="K50" s="323"/>
      <c r="L50" s="323"/>
      <c r="M50" s="323"/>
      <c r="N50" s="324"/>
      <c r="O50" s="325"/>
      <c r="P50" s="326"/>
    </row>
    <row r="51" spans="2:16" ht="15">
      <c r="B51" s="289"/>
      <c r="C51" s="321"/>
      <c r="D51" s="303"/>
      <c r="E51" s="303"/>
      <c r="J51" s="323"/>
      <c r="K51" s="323"/>
      <c r="L51" s="323"/>
      <c r="M51" s="323"/>
      <c r="N51" s="324"/>
      <c r="O51" s="325"/>
      <c r="P51" s="326"/>
    </row>
    <row r="52" spans="2:16" ht="15">
      <c r="B52" s="289"/>
      <c r="C52" s="321"/>
      <c r="D52" s="303" t="s">
        <v>100</v>
      </c>
      <c r="E52" s="303"/>
      <c r="F52" s="303"/>
      <c r="G52" s="303"/>
      <c r="H52" s="303"/>
      <c r="M52" s="323"/>
      <c r="N52" s="324"/>
      <c r="O52" s="325"/>
      <c r="P52" s="326"/>
    </row>
    <row r="53" spans="2:16" ht="15.75" thickBot="1">
      <c r="B53" s="289"/>
      <c r="C53" s="321"/>
      <c r="D53" s="303"/>
      <c r="E53" s="303"/>
      <c r="F53" s="303"/>
      <c r="G53" s="303"/>
      <c r="H53" s="303"/>
      <c r="M53" s="323"/>
      <c r="N53" s="324"/>
      <c r="O53" s="325"/>
      <c r="P53" s="326"/>
    </row>
    <row r="54" spans="2:16" ht="20.25" thickBot="1" thickTop="1">
      <c r="B54" s="289"/>
      <c r="C54" s="321"/>
      <c r="D54" s="319"/>
      <c r="E54" s="319"/>
      <c r="F54" s="327"/>
      <c r="G54" s="323"/>
      <c r="H54" s="340" t="s">
        <v>101</v>
      </c>
      <c r="I54" s="341">
        <f>IF($E$50&gt;3*I47,3*I47,$E$50)</f>
        <v>367.1870000697805</v>
      </c>
      <c r="J54" s="323"/>
      <c r="K54" s="518" t="s">
        <v>236</v>
      </c>
      <c r="L54" s="323"/>
      <c r="M54" s="323"/>
      <c r="N54" s="324"/>
      <c r="O54" s="325"/>
      <c r="P54" s="326"/>
    </row>
    <row r="55" spans="2:16" ht="16.5" thickBot="1" thickTop="1">
      <c r="B55" s="342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4"/>
    </row>
    <row r="56" spans="2:16" ht="13.5" thickTop="1">
      <c r="B56" s="1"/>
      <c r="P56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5" ht="12" customHeight="1"/>
    <row r="101" ht="12.75">
      <c r="B101" s="1"/>
    </row>
    <row r="107" ht="12.75">
      <c r="A107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138"/>
  <sheetViews>
    <sheetView zoomScale="55" zoomScaleNormal="55" zoomScalePageLayoutView="0" workbookViewId="0" topLeftCell="A91">
      <selection activeCell="D134" sqref="D134"/>
    </sheetView>
  </sheetViews>
  <sheetFormatPr defaultColWidth="11.421875" defaultRowHeight="12.75"/>
  <cols>
    <col min="1" max="1" width="65.28125" style="0" customWidth="1"/>
    <col min="2" max="2" width="8.7109375" style="0" customWidth="1"/>
    <col min="3" max="3" width="5.7109375" style="0" customWidth="1"/>
    <col min="4" max="4" width="53.140625" style="0" bestFit="1" customWidth="1"/>
    <col min="5" max="5" width="8.57421875" style="0" customWidth="1"/>
    <col min="6" max="6" width="10.7109375" style="0" customWidth="1"/>
    <col min="7" max="19" width="7.7109375" style="0" customWidth="1"/>
    <col min="20" max="20" width="8.7109375" style="0" customWidth="1"/>
  </cols>
  <sheetData>
    <row r="1" ht="40.5" customHeight="1">
      <c r="T1" s="520"/>
    </row>
    <row r="2" spans="2:20" s="521" customFormat="1" ht="31.5" customHeight="1">
      <c r="B2" s="522" t="str">
        <f>'TOT-1212'!B2</f>
        <v>ANEXO III al Memorándum  D.T.E.E.  N°  261/ 2014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</row>
    <row r="3" spans="1:3" ht="12.75" customHeight="1">
      <c r="A3" s="601" t="s">
        <v>8</v>
      </c>
      <c r="B3" s="601"/>
      <c r="C3" s="601"/>
    </row>
    <row r="4" spans="1:4" ht="12.75" customHeight="1">
      <c r="A4" s="601" t="s">
        <v>9</v>
      </c>
      <c r="B4" s="601"/>
      <c r="C4" s="601"/>
      <c r="D4" s="524"/>
    </row>
    <row r="5" spans="1:4" ht="12" customHeight="1">
      <c r="A5" s="525"/>
      <c r="D5" s="524"/>
    </row>
    <row r="6" spans="1:20" ht="26.25">
      <c r="A6" s="525"/>
      <c r="B6" s="526" t="s">
        <v>237</v>
      </c>
      <c r="C6" s="527"/>
      <c r="D6" s="524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</row>
    <row r="7" spans="1:4" ht="18.75" customHeight="1">
      <c r="A7" s="525"/>
      <c r="D7" s="524"/>
    </row>
    <row r="8" spans="1:20" ht="26.25">
      <c r="A8" s="525"/>
      <c r="B8" s="528" t="s">
        <v>1</v>
      </c>
      <c r="C8" s="527"/>
      <c r="D8" s="524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</row>
    <row r="9" spans="1:4" ht="18.75" customHeight="1">
      <c r="A9" s="525"/>
      <c r="D9" s="524"/>
    </row>
    <row r="10" spans="1:20" ht="26.25">
      <c r="A10" s="525"/>
      <c r="B10" s="528" t="s">
        <v>238</v>
      </c>
      <c r="C10" s="527"/>
      <c r="D10" s="524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</row>
    <row r="11" ht="18.75" customHeight="1" thickBot="1"/>
    <row r="12" spans="2:20" ht="18.75" customHeight="1" thickTop="1">
      <c r="B12" s="529"/>
      <c r="C12" s="530"/>
      <c r="D12" s="531"/>
      <c r="E12" s="531"/>
      <c r="F12" s="531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2"/>
    </row>
    <row r="13" spans="1:20" ht="19.5">
      <c r="A13" s="533"/>
      <c r="B13" s="534" t="s">
        <v>239</v>
      </c>
      <c r="C13" s="535"/>
      <c r="D13" s="54" t="s">
        <v>255</v>
      </c>
      <c r="E13" s="536"/>
      <c r="F13" s="536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8"/>
    </row>
    <row r="14" spans="2:20" ht="18.75" customHeight="1" thickBot="1">
      <c r="B14" s="539"/>
      <c r="C14" s="540"/>
      <c r="D14" s="541"/>
      <c r="E14" s="541"/>
      <c r="F14" s="54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33"/>
    </row>
    <row r="15" spans="1:20" s="550" customFormat="1" ht="34.5" customHeight="1" thickBot="1" thickTop="1">
      <c r="A15" s="543"/>
      <c r="B15" s="544"/>
      <c r="C15" s="112" t="s">
        <v>28</v>
      </c>
      <c r="D15" s="545" t="s">
        <v>3</v>
      </c>
      <c r="E15" s="546" t="s">
        <v>29</v>
      </c>
      <c r="F15" s="547" t="s">
        <v>30</v>
      </c>
      <c r="G15" s="548">
        <v>40878</v>
      </c>
      <c r="H15" s="548">
        <v>40909</v>
      </c>
      <c r="I15" s="548">
        <v>40940</v>
      </c>
      <c r="J15" s="548">
        <v>40969</v>
      </c>
      <c r="K15" s="548">
        <v>41000</v>
      </c>
      <c r="L15" s="548">
        <v>41030</v>
      </c>
      <c r="M15" s="548">
        <v>41061</v>
      </c>
      <c r="N15" s="548">
        <v>41091</v>
      </c>
      <c r="O15" s="548">
        <v>41122</v>
      </c>
      <c r="P15" s="548">
        <v>41153</v>
      </c>
      <c r="Q15" s="548">
        <v>41183</v>
      </c>
      <c r="R15" s="548">
        <v>41214</v>
      </c>
      <c r="S15" s="548">
        <v>41244</v>
      </c>
      <c r="T15" s="549"/>
    </row>
    <row r="16" spans="2:20" s="551" customFormat="1" ht="19.5" customHeight="1" thickTop="1">
      <c r="B16" s="552"/>
      <c r="C16" s="553"/>
      <c r="D16" s="554"/>
      <c r="E16" s="554"/>
      <c r="F16" s="555"/>
      <c r="G16" s="556">
        <f>IF('[1]Tasa de Falla'!HI16=0,"",'[1]Tasa de Falla'!HI16)</f>
      </c>
      <c r="H16" s="556">
        <f>IF('[1]Tasa de Falla'!HJ16=0,"",'[1]Tasa de Falla'!HJ16)</f>
      </c>
      <c r="I16" s="556">
        <f>IF('[1]Tasa de Falla'!HK16=0,"",'[1]Tasa de Falla'!HK16)</f>
      </c>
      <c r="J16" s="556">
        <f>IF('[1]Tasa de Falla'!HL16=0,"",'[1]Tasa de Falla'!HL16)</f>
      </c>
      <c r="K16" s="556">
        <f>IF('[1]Tasa de Falla'!HM16=0,"",'[1]Tasa de Falla'!HM16)</f>
      </c>
      <c r="L16" s="556">
        <f>IF('[1]Tasa de Falla'!HN16=0,"",'[1]Tasa de Falla'!HN16)</f>
      </c>
      <c r="M16" s="556">
        <f>IF('[1]Tasa de Falla'!HO16=0,"",'[1]Tasa de Falla'!HO16)</f>
      </c>
      <c r="N16" s="556">
        <f>IF('[1]Tasa de Falla'!HP16=0,"",'[1]Tasa de Falla'!HP16)</f>
      </c>
      <c r="O16" s="556">
        <f>IF('[1]Tasa de Falla'!HQ16=0,"",'[1]Tasa de Falla'!HQ16)</f>
      </c>
      <c r="P16" s="556">
        <f>IF('[1]Tasa de Falla'!HR16=0,"",'[1]Tasa de Falla'!HR16)</f>
      </c>
      <c r="Q16" s="556">
        <f>IF('[1]Tasa de Falla'!HS16=0,"",'[1]Tasa de Falla'!HS16)</f>
      </c>
      <c r="R16" s="556">
        <f>IF('[1]Tasa de Falla'!HT16=0,"",'[1]Tasa de Falla'!HT16)</f>
      </c>
      <c r="S16" s="555"/>
      <c r="T16" s="557"/>
    </row>
    <row r="17" spans="2:20" s="551" customFormat="1" ht="19.5" customHeight="1">
      <c r="B17" s="552"/>
      <c r="C17" s="558">
        <f>'[3]Tasa de Falla'!C17</f>
        <v>1</v>
      </c>
      <c r="D17" s="558" t="str">
        <f>'[3]Tasa de Falla'!D17</f>
        <v>AGUA BLANCA - VILLA QUINTEROS</v>
      </c>
      <c r="E17" s="558">
        <f>'[3]Tasa de Falla'!E17</f>
        <v>132</v>
      </c>
      <c r="F17" s="558">
        <f>'[3]Tasa de Falla'!F17</f>
        <v>23.8</v>
      </c>
      <c r="G17" s="556">
        <f>IF('[3]Tasa de Falla'!HI17=0,"",'[3]Tasa de Falla'!HI17)</f>
      </c>
      <c r="H17" s="556">
        <f>IF('[3]Tasa de Falla'!HJ17=0,"",'[3]Tasa de Falla'!HJ17)</f>
      </c>
      <c r="I17" s="556">
        <f>IF('[3]Tasa de Falla'!HK17=0,"",'[3]Tasa de Falla'!HK17)</f>
      </c>
      <c r="J17" s="556">
        <f>IF('[3]Tasa de Falla'!HL17=0,"",'[3]Tasa de Falla'!HL17)</f>
      </c>
      <c r="K17" s="556">
        <f>IF('[3]Tasa de Falla'!HM17=0,"",'[3]Tasa de Falla'!HM17)</f>
      </c>
      <c r="L17" s="556">
        <f>IF('[3]Tasa de Falla'!HN17=0,"",'[3]Tasa de Falla'!HN17)</f>
      </c>
      <c r="M17" s="556">
        <f>IF('[3]Tasa de Falla'!HO17=0,"",'[3]Tasa de Falla'!HO17)</f>
      </c>
      <c r="N17" s="556">
        <f>IF('[3]Tasa de Falla'!HP17=0,"",'[3]Tasa de Falla'!HP17)</f>
      </c>
      <c r="O17" s="556">
        <f>IF('[3]Tasa de Falla'!HQ17=0,"",'[3]Tasa de Falla'!HQ17)</f>
      </c>
      <c r="P17" s="556">
        <f>IF('[3]Tasa de Falla'!HR17=0,"",'[3]Tasa de Falla'!HR17)</f>
      </c>
      <c r="Q17" s="556">
        <f>IF('[3]Tasa de Falla'!HS17=0,"",'[3]Tasa de Falla'!HS17)</f>
      </c>
      <c r="R17" s="556">
        <f>IF('[3]Tasa de Falla'!HT17=0,"",'[3]Tasa de Falla'!HT17)</f>
      </c>
      <c r="S17" s="559"/>
      <c r="T17" s="557"/>
    </row>
    <row r="18" spans="2:20" s="551" customFormat="1" ht="19.5" customHeight="1">
      <c r="B18" s="552"/>
      <c r="C18" s="558">
        <f>'[3]Tasa de Falla'!C18</f>
        <v>2</v>
      </c>
      <c r="D18" s="558" t="str">
        <f>'[3]Tasa de Falla'!D18</f>
        <v>AGUILARES - ESCABA</v>
      </c>
      <c r="E18" s="558">
        <f>'[3]Tasa de Falla'!E18</f>
        <v>132</v>
      </c>
      <c r="F18" s="558">
        <f>'[3]Tasa de Falla'!F18</f>
        <v>27.6</v>
      </c>
      <c r="G18" s="556">
        <f>IF('[3]Tasa de Falla'!HI18=0,"",'[3]Tasa de Falla'!HI18)</f>
      </c>
      <c r="H18" s="556">
        <f>IF('[3]Tasa de Falla'!HJ18=0,"",'[3]Tasa de Falla'!HJ18)</f>
      </c>
      <c r="I18" s="556">
        <f>IF('[3]Tasa de Falla'!HK18=0,"",'[3]Tasa de Falla'!HK18)</f>
      </c>
      <c r="J18" s="556">
        <f>IF('[3]Tasa de Falla'!HL18=0,"",'[3]Tasa de Falla'!HL18)</f>
      </c>
      <c r="K18" s="556">
        <f>IF('[3]Tasa de Falla'!HM18=0,"",'[3]Tasa de Falla'!HM18)</f>
      </c>
      <c r="L18" s="556">
        <f>IF('[3]Tasa de Falla'!HN18=0,"",'[3]Tasa de Falla'!HN18)</f>
      </c>
      <c r="M18" s="556">
        <f>IF('[3]Tasa de Falla'!HO18=0,"",'[3]Tasa de Falla'!HO18)</f>
      </c>
      <c r="N18" s="556">
        <f>IF('[3]Tasa de Falla'!HP18=0,"",'[3]Tasa de Falla'!HP18)</f>
      </c>
      <c r="O18" s="556">
        <f>IF('[3]Tasa de Falla'!HQ18=0,"",'[3]Tasa de Falla'!HQ18)</f>
      </c>
      <c r="P18" s="556">
        <f>IF('[3]Tasa de Falla'!HR18=0,"",'[3]Tasa de Falla'!HR18)</f>
      </c>
      <c r="Q18" s="556">
        <f>IF('[3]Tasa de Falla'!HS18=0,"",'[3]Tasa de Falla'!HS18)</f>
      </c>
      <c r="R18" s="556">
        <f>IF('[3]Tasa de Falla'!HT18=0,"",'[3]Tasa de Falla'!HT18)</f>
      </c>
      <c r="S18" s="559"/>
      <c r="T18" s="557"/>
    </row>
    <row r="19" spans="2:20" s="551" customFormat="1" ht="18">
      <c r="B19" s="552"/>
      <c r="C19" s="558">
        <f>'[3]Tasa de Falla'!C19</f>
        <v>3</v>
      </c>
      <c r="D19" s="558" t="str">
        <f>'[3]Tasa de Falla'!D19</f>
        <v>CABRA CORRAL - SALTA SUR</v>
      </c>
      <c r="E19" s="558">
        <f>'[3]Tasa de Falla'!E19</f>
        <v>132</v>
      </c>
      <c r="F19" s="558">
        <f>'[3]Tasa de Falla'!F19</f>
        <v>62</v>
      </c>
      <c r="G19" s="556" t="str">
        <f>IF('[3]Tasa de Falla'!HI19=0,"",'[3]Tasa de Falla'!HI19)</f>
        <v>XXXX</v>
      </c>
      <c r="H19" s="556" t="str">
        <f>IF('[3]Tasa de Falla'!HJ19=0,"",'[3]Tasa de Falla'!HJ19)</f>
        <v>XXXX</v>
      </c>
      <c r="I19" s="556" t="str">
        <f>IF('[3]Tasa de Falla'!HK19=0,"",'[3]Tasa de Falla'!HK19)</f>
        <v>XXXX</v>
      </c>
      <c r="J19" s="556" t="str">
        <f>IF('[3]Tasa de Falla'!HL19=0,"",'[3]Tasa de Falla'!HL19)</f>
        <v>XXXX</v>
      </c>
      <c r="K19" s="556" t="str">
        <f>IF('[3]Tasa de Falla'!HM19=0,"",'[3]Tasa de Falla'!HM19)</f>
        <v>XXXX</v>
      </c>
      <c r="L19" s="556" t="str">
        <f>IF('[3]Tasa de Falla'!HN19=0,"",'[3]Tasa de Falla'!HN19)</f>
        <v>XXXX</v>
      </c>
      <c r="M19" s="556" t="str">
        <f>IF('[3]Tasa de Falla'!HO19=0,"",'[3]Tasa de Falla'!HO19)</f>
        <v>XXXX</v>
      </c>
      <c r="N19" s="556" t="str">
        <f>IF('[3]Tasa de Falla'!HP19=0,"",'[3]Tasa de Falla'!HP19)</f>
        <v>XXXX</v>
      </c>
      <c r="O19" s="556" t="str">
        <f>IF('[3]Tasa de Falla'!HQ19=0,"",'[3]Tasa de Falla'!HQ19)</f>
        <v>XXXX</v>
      </c>
      <c r="P19" s="556" t="str">
        <f>IF('[3]Tasa de Falla'!HR19=0,"",'[3]Tasa de Falla'!HR19)</f>
        <v>XXXX</v>
      </c>
      <c r="Q19" s="556" t="str">
        <f>IF('[3]Tasa de Falla'!HS19=0,"",'[3]Tasa de Falla'!HS19)</f>
        <v>XXXX</v>
      </c>
      <c r="R19" s="556" t="str">
        <f>IF('[3]Tasa de Falla'!HT19=0,"",'[3]Tasa de Falla'!HT19)</f>
        <v>XXXX</v>
      </c>
      <c r="S19" s="559"/>
      <c r="T19" s="557"/>
    </row>
    <row r="20" spans="2:20" s="551" customFormat="1" ht="19.5" customHeight="1">
      <c r="B20" s="552"/>
      <c r="C20" s="558">
        <f>'[3]Tasa de Falla'!C20</f>
        <v>4</v>
      </c>
      <c r="D20" s="558" t="str">
        <f>'[3]Tasa de Falla'!D20</f>
        <v>CEVIL POZO - TUCUMAN NORTE</v>
      </c>
      <c r="E20" s="558">
        <f>'[3]Tasa de Falla'!E20</f>
        <v>132</v>
      </c>
      <c r="F20" s="558">
        <f>'[3]Tasa de Falla'!F20</f>
        <v>14.5</v>
      </c>
      <c r="G20" s="556">
        <f>IF('[3]Tasa de Falla'!HI20=0,"",'[3]Tasa de Falla'!HI20)</f>
      </c>
      <c r="H20" s="556">
        <f>IF('[3]Tasa de Falla'!HJ20=0,"",'[3]Tasa de Falla'!HJ20)</f>
      </c>
      <c r="I20" s="556">
        <f>IF('[3]Tasa de Falla'!HK20=0,"",'[3]Tasa de Falla'!HK20)</f>
        <v>1</v>
      </c>
      <c r="J20" s="556">
        <f>IF('[3]Tasa de Falla'!HL20=0,"",'[3]Tasa de Falla'!HL20)</f>
      </c>
      <c r="K20" s="556">
        <f>IF('[3]Tasa de Falla'!HM20=0,"",'[3]Tasa de Falla'!HM20)</f>
      </c>
      <c r="L20" s="556">
        <f>IF('[3]Tasa de Falla'!HN20=0,"",'[3]Tasa de Falla'!HN20)</f>
      </c>
      <c r="M20" s="556">
        <f>IF('[3]Tasa de Falla'!HO20=0,"",'[3]Tasa de Falla'!HO20)</f>
      </c>
      <c r="N20" s="556">
        <f>IF('[3]Tasa de Falla'!HP20=0,"",'[3]Tasa de Falla'!HP20)</f>
      </c>
      <c r="O20" s="556">
        <f>IF('[3]Tasa de Falla'!HQ20=0,"",'[3]Tasa de Falla'!HQ20)</f>
      </c>
      <c r="P20" s="556">
        <f>IF('[3]Tasa de Falla'!HR20=0,"",'[3]Tasa de Falla'!HR20)</f>
      </c>
      <c r="Q20" s="556">
        <f>IF('[3]Tasa de Falla'!HS20=0,"",'[3]Tasa de Falla'!HS20)</f>
      </c>
      <c r="R20" s="556">
        <f>IF('[3]Tasa de Falla'!HT20=0,"",'[3]Tasa de Falla'!HT20)</f>
      </c>
      <c r="S20" s="559"/>
      <c r="T20" s="557"/>
    </row>
    <row r="21" spans="2:20" s="551" customFormat="1" ht="18">
      <c r="B21" s="552"/>
      <c r="C21" s="558">
        <f>'[3]Tasa de Falla'!C21</f>
        <v>5</v>
      </c>
      <c r="D21" s="558" t="str">
        <f>'[3]Tasa de Falla'!D21</f>
        <v>CAMPO SANTO - MINETTI</v>
      </c>
      <c r="E21" s="558">
        <f>'[3]Tasa de Falla'!E21</f>
        <v>132</v>
      </c>
      <c r="F21" s="558">
        <f>'[3]Tasa de Falla'!F21</f>
        <v>29.9</v>
      </c>
      <c r="G21" s="556" t="str">
        <f>IF('[3]Tasa de Falla'!HI21=0,"",'[3]Tasa de Falla'!HI21)</f>
        <v>XXXX</v>
      </c>
      <c r="H21" s="556" t="str">
        <f>IF('[3]Tasa de Falla'!HJ21=0,"",'[3]Tasa de Falla'!HJ21)</f>
        <v>XXXX</v>
      </c>
      <c r="I21" s="556" t="str">
        <f>IF('[3]Tasa de Falla'!HK21=0,"",'[3]Tasa de Falla'!HK21)</f>
        <v>XXXX</v>
      </c>
      <c r="J21" s="556" t="str">
        <f>IF('[3]Tasa de Falla'!HL21=0,"",'[3]Tasa de Falla'!HL21)</f>
        <v>XXXX</v>
      </c>
      <c r="K21" s="556" t="str">
        <f>IF('[3]Tasa de Falla'!HM21=0,"",'[3]Tasa de Falla'!HM21)</f>
        <v>XXXX</v>
      </c>
      <c r="L21" s="556" t="str">
        <f>IF('[3]Tasa de Falla'!HN21=0,"",'[3]Tasa de Falla'!HN21)</f>
        <v>XXXX</v>
      </c>
      <c r="M21" s="556" t="str">
        <f>IF('[3]Tasa de Falla'!HO21=0,"",'[3]Tasa de Falla'!HO21)</f>
        <v>XXXX</v>
      </c>
      <c r="N21" s="556" t="str">
        <f>IF('[3]Tasa de Falla'!HP21=0,"",'[3]Tasa de Falla'!HP21)</f>
        <v>XXXX</v>
      </c>
      <c r="O21" s="556" t="str">
        <f>IF('[3]Tasa de Falla'!HQ21=0,"",'[3]Tasa de Falla'!HQ21)</f>
        <v>XXXX</v>
      </c>
      <c r="P21" s="556" t="str">
        <f>IF('[3]Tasa de Falla'!HR21=0,"",'[3]Tasa de Falla'!HR21)</f>
        <v>XXXX</v>
      </c>
      <c r="Q21" s="556" t="str">
        <f>IF('[3]Tasa de Falla'!HS21=0,"",'[3]Tasa de Falla'!HS21)</f>
        <v>XXXX</v>
      </c>
      <c r="R21" s="556" t="str">
        <f>IF('[3]Tasa de Falla'!HT21=0,"",'[3]Tasa de Falla'!HT21)</f>
        <v>XXXX</v>
      </c>
      <c r="S21" s="559"/>
      <c r="T21" s="557"/>
    </row>
    <row r="22" spans="2:20" s="551" customFormat="1" ht="18">
      <c r="B22" s="552"/>
      <c r="C22" s="558">
        <f>'[3]Tasa de Falla'!C22</f>
        <v>6</v>
      </c>
      <c r="D22" s="558" t="str">
        <f>'[3]Tasa de Falla'!D22</f>
        <v>ESCABA - HUACRA</v>
      </c>
      <c r="E22" s="558">
        <f>'[3]Tasa de Falla'!E22</f>
        <v>132</v>
      </c>
      <c r="F22" s="558">
        <f>'[3]Tasa de Falla'!F22</f>
        <v>49.9</v>
      </c>
      <c r="G22" s="556" t="str">
        <f>IF('[3]Tasa de Falla'!HI22=0,"",'[3]Tasa de Falla'!HI22)</f>
        <v>XXXX</v>
      </c>
      <c r="H22" s="556" t="str">
        <f>IF('[3]Tasa de Falla'!HJ22=0,"",'[3]Tasa de Falla'!HJ22)</f>
        <v>XXXX</v>
      </c>
      <c r="I22" s="556" t="str">
        <f>IF('[3]Tasa de Falla'!HK22=0,"",'[3]Tasa de Falla'!HK22)</f>
        <v>XXXX</v>
      </c>
      <c r="J22" s="556" t="str">
        <f>IF('[3]Tasa de Falla'!HL22=0,"",'[3]Tasa de Falla'!HL22)</f>
        <v>XXXX</v>
      </c>
      <c r="K22" s="556" t="str">
        <f>IF('[3]Tasa de Falla'!HM22=0,"",'[3]Tasa de Falla'!HM22)</f>
        <v>XXXX</v>
      </c>
      <c r="L22" s="556" t="str">
        <f>IF('[3]Tasa de Falla'!HN22=0,"",'[3]Tasa de Falla'!HN22)</f>
        <v>XXXX</v>
      </c>
      <c r="M22" s="556" t="str">
        <f>IF('[3]Tasa de Falla'!HO22=0,"",'[3]Tasa de Falla'!HO22)</f>
        <v>XXXX</v>
      </c>
      <c r="N22" s="556" t="str">
        <f>IF('[3]Tasa de Falla'!HP22=0,"",'[3]Tasa de Falla'!HP22)</f>
        <v>XXXX</v>
      </c>
      <c r="O22" s="556" t="str">
        <f>IF('[3]Tasa de Falla'!HQ22=0,"",'[3]Tasa de Falla'!HQ22)</f>
        <v>XXXX</v>
      </c>
      <c r="P22" s="556" t="str">
        <f>IF('[3]Tasa de Falla'!HR22=0,"",'[3]Tasa de Falla'!HR22)</f>
        <v>XXXX</v>
      </c>
      <c r="Q22" s="556" t="str">
        <f>IF('[3]Tasa de Falla'!HS22=0,"",'[3]Tasa de Falla'!HS22)</f>
        <v>XXXX</v>
      </c>
      <c r="R22" s="556" t="str">
        <f>IF('[3]Tasa de Falla'!HT22=0,"",'[3]Tasa de Falla'!HT22)</f>
        <v>XXXX</v>
      </c>
      <c r="S22" s="559"/>
      <c r="T22" s="557"/>
    </row>
    <row r="23" spans="2:20" s="551" customFormat="1" ht="19.5" customHeight="1">
      <c r="B23" s="552"/>
      <c r="C23" s="558">
        <f>'[3]Tasa de Falla'!C23</f>
        <v>7</v>
      </c>
      <c r="D23" s="558" t="str">
        <f>'[3]Tasa de Falla'!D23</f>
        <v>ESTATICA SUR - EL BRACHO</v>
      </c>
      <c r="E23" s="558">
        <f>'[3]Tasa de Falla'!E23</f>
        <v>132</v>
      </c>
      <c r="F23" s="558">
        <f>'[3]Tasa de Falla'!F23</f>
        <v>19.6</v>
      </c>
      <c r="G23" s="556">
        <f>IF('[3]Tasa de Falla'!HI23=0,"",'[3]Tasa de Falla'!HI23)</f>
      </c>
      <c r="H23" s="556">
        <f>IF('[3]Tasa de Falla'!HJ23=0,"",'[3]Tasa de Falla'!HJ23)</f>
      </c>
      <c r="I23" s="556">
        <f>IF('[3]Tasa de Falla'!HK23=0,"",'[3]Tasa de Falla'!HK23)</f>
      </c>
      <c r="J23" s="556">
        <f>IF('[3]Tasa de Falla'!HL23=0,"",'[3]Tasa de Falla'!HL23)</f>
      </c>
      <c r="K23" s="556">
        <f>IF('[3]Tasa de Falla'!HM23=0,"",'[3]Tasa de Falla'!HM23)</f>
      </c>
      <c r="L23" s="556">
        <f>IF('[3]Tasa de Falla'!HN23=0,"",'[3]Tasa de Falla'!HN23)</f>
      </c>
      <c r="M23" s="556">
        <f>IF('[3]Tasa de Falla'!HO23=0,"",'[3]Tasa de Falla'!HO23)</f>
      </c>
      <c r="N23" s="556">
        <f>IF('[3]Tasa de Falla'!HP23=0,"",'[3]Tasa de Falla'!HP23)</f>
      </c>
      <c r="O23" s="556">
        <f>IF('[3]Tasa de Falla'!HQ23=0,"",'[3]Tasa de Falla'!HQ23)</f>
      </c>
      <c r="P23" s="556">
        <f>IF('[3]Tasa de Falla'!HR23=0,"",'[3]Tasa de Falla'!HR23)</f>
      </c>
      <c r="Q23" s="556">
        <f>IF('[3]Tasa de Falla'!HS23=0,"",'[3]Tasa de Falla'!HS23)</f>
      </c>
      <c r="R23" s="556">
        <f>IF('[3]Tasa de Falla'!HT23=0,"",'[3]Tasa de Falla'!HT23)</f>
      </c>
      <c r="S23" s="559"/>
      <c r="T23" s="557"/>
    </row>
    <row r="24" spans="2:20" s="551" customFormat="1" ht="19.5" customHeight="1">
      <c r="B24" s="552"/>
      <c r="C24" s="558">
        <f>'[3]Tasa de Falla'!C24</f>
        <v>8</v>
      </c>
      <c r="D24" s="558" t="str">
        <f>'[3]Tasa de Falla'!D24</f>
        <v>ESTATICA SUR - INDEPENDENCIA (O.F.)</v>
      </c>
      <c r="E24" s="558">
        <f>'[3]Tasa de Falla'!E24</f>
        <v>132</v>
      </c>
      <c r="F24" s="558">
        <f>'[3]Tasa de Falla'!F24</f>
        <v>2.6</v>
      </c>
      <c r="G24" s="556">
        <f>IF('[3]Tasa de Falla'!HI24=0,"",'[3]Tasa de Falla'!HI24)</f>
      </c>
      <c r="H24" s="556">
        <f>IF('[3]Tasa de Falla'!HJ24=0,"",'[3]Tasa de Falla'!HJ24)</f>
      </c>
      <c r="I24" s="556">
        <f>IF('[3]Tasa de Falla'!HK24=0,"",'[3]Tasa de Falla'!HK24)</f>
      </c>
      <c r="J24" s="556">
        <f>IF('[3]Tasa de Falla'!HL24=0,"",'[3]Tasa de Falla'!HL24)</f>
      </c>
      <c r="K24" s="556">
        <f>IF('[3]Tasa de Falla'!HM24=0,"",'[3]Tasa de Falla'!HM24)</f>
      </c>
      <c r="L24" s="556">
        <f>IF('[3]Tasa de Falla'!HN24=0,"",'[3]Tasa de Falla'!HN24)</f>
      </c>
      <c r="M24" s="556">
        <f>IF('[3]Tasa de Falla'!HO24=0,"",'[3]Tasa de Falla'!HO24)</f>
      </c>
      <c r="N24" s="556">
        <f>IF('[3]Tasa de Falla'!HP24=0,"",'[3]Tasa de Falla'!HP24)</f>
      </c>
      <c r="O24" s="556">
        <f>IF('[3]Tasa de Falla'!HQ24=0,"",'[3]Tasa de Falla'!HQ24)</f>
      </c>
      <c r="P24" s="556">
        <f>IF('[3]Tasa de Falla'!HR24=0,"",'[3]Tasa de Falla'!HR24)</f>
      </c>
      <c r="Q24" s="556">
        <f>IF('[3]Tasa de Falla'!HS24=0,"",'[3]Tasa de Falla'!HS24)</f>
      </c>
      <c r="R24" s="556">
        <f>IF('[3]Tasa de Falla'!HT24=0,"",'[3]Tasa de Falla'!HT24)</f>
      </c>
      <c r="S24" s="559"/>
      <c r="T24" s="557"/>
    </row>
    <row r="25" spans="2:20" s="551" customFormat="1" ht="19.5" customHeight="1">
      <c r="B25" s="552"/>
      <c r="C25" s="558">
        <f>'[3]Tasa de Falla'!C25</f>
        <v>9</v>
      </c>
      <c r="D25" s="558" t="str">
        <f>'[3]Tasa de Falla'!D25</f>
        <v>ESTATICA SUR - SARMIENTO "TRANSNOA S.A."</v>
      </c>
      <c r="E25" s="558">
        <f>'[3]Tasa de Falla'!E25</f>
        <v>132</v>
      </c>
      <c r="F25" s="558">
        <f>'[3]Tasa de Falla'!F25</f>
        <v>4.4</v>
      </c>
      <c r="G25" s="556">
        <f>IF('[3]Tasa de Falla'!HI25=0,"",'[3]Tasa de Falla'!HI25)</f>
      </c>
      <c r="H25" s="556">
        <f>IF('[3]Tasa de Falla'!HJ25=0,"",'[3]Tasa de Falla'!HJ25)</f>
      </c>
      <c r="I25" s="556">
        <f>IF('[3]Tasa de Falla'!HK25=0,"",'[3]Tasa de Falla'!HK25)</f>
      </c>
      <c r="J25" s="556">
        <f>IF('[3]Tasa de Falla'!HL25=0,"",'[3]Tasa de Falla'!HL25)</f>
      </c>
      <c r="K25" s="556">
        <f>IF('[3]Tasa de Falla'!HM25=0,"",'[3]Tasa de Falla'!HM25)</f>
      </c>
      <c r="L25" s="556">
        <f>IF('[3]Tasa de Falla'!HN25=0,"",'[3]Tasa de Falla'!HN25)</f>
      </c>
      <c r="M25" s="556">
        <f>IF('[3]Tasa de Falla'!HO25=0,"",'[3]Tasa de Falla'!HO25)</f>
      </c>
      <c r="N25" s="556">
        <f>IF('[3]Tasa de Falla'!HP25=0,"",'[3]Tasa de Falla'!HP25)</f>
      </c>
      <c r="O25" s="556">
        <f>IF('[3]Tasa de Falla'!HQ25=0,"",'[3]Tasa de Falla'!HQ25)</f>
      </c>
      <c r="P25" s="556">
        <f>IF('[3]Tasa de Falla'!HR25=0,"",'[3]Tasa de Falla'!HR25)</f>
      </c>
      <c r="Q25" s="556">
        <f>IF('[3]Tasa de Falla'!HS25=0,"",'[3]Tasa de Falla'!HS25)</f>
      </c>
      <c r="R25" s="556">
        <f>IF('[3]Tasa de Falla'!HT25=0,"",'[3]Tasa de Falla'!HT25)</f>
      </c>
      <c r="S25" s="559"/>
      <c r="T25" s="557"/>
    </row>
    <row r="26" spans="2:20" s="551" customFormat="1" ht="18">
      <c r="B26" s="552"/>
      <c r="C26" s="558">
        <f>'[3]Tasa de Falla'!C26</f>
        <v>10</v>
      </c>
      <c r="D26" s="558" t="str">
        <f>'[3]Tasa de Falla'!D26</f>
        <v>GÜEMES - EL BRACHO</v>
      </c>
      <c r="E26" s="558">
        <f>'[3]Tasa de Falla'!E26</f>
        <v>132</v>
      </c>
      <c r="F26" s="558">
        <f>'[3]Tasa de Falla'!F26</f>
        <v>308</v>
      </c>
      <c r="G26" s="556" t="str">
        <f>IF('[3]Tasa de Falla'!HI26=0,"",'[3]Tasa de Falla'!HI26)</f>
        <v>XXXX</v>
      </c>
      <c r="H26" s="556" t="str">
        <f>IF('[3]Tasa de Falla'!HJ26=0,"",'[3]Tasa de Falla'!HJ26)</f>
        <v>XXXX</v>
      </c>
      <c r="I26" s="556" t="str">
        <f>IF('[3]Tasa de Falla'!HK26=0,"",'[3]Tasa de Falla'!HK26)</f>
        <v>XXXX</v>
      </c>
      <c r="J26" s="556" t="str">
        <f>IF('[3]Tasa de Falla'!HL26=0,"",'[3]Tasa de Falla'!HL26)</f>
        <v>XXXX</v>
      </c>
      <c r="K26" s="556" t="str">
        <f>IF('[3]Tasa de Falla'!HM26=0,"",'[3]Tasa de Falla'!HM26)</f>
        <v>XXXX</v>
      </c>
      <c r="L26" s="556" t="str">
        <f>IF('[3]Tasa de Falla'!HN26=0,"",'[3]Tasa de Falla'!HN26)</f>
        <v>XXXX</v>
      </c>
      <c r="M26" s="556" t="str">
        <f>IF('[3]Tasa de Falla'!HO26=0,"",'[3]Tasa de Falla'!HO26)</f>
        <v>XXXX</v>
      </c>
      <c r="N26" s="556" t="str">
        <f>IF('[3]Tasa de Falla'!HP26=0,"",'[3]Tasa de Falla'!HP26)</f>
        <v>XXXX</v>
      </c>
      <c r="O26" s="556" t="str">
        <f>IF('[3]Tasa de Falla'!HQ26=0,"",'[3]Tasa de Falla'!HQ26)</f>
        <v>XXXX</v>
      </c>
      <c r="P26" s="556" t="str">
        <f>IF('[3]Tasa de Falla'!HR26=0,"",'[3]Tasa de Falla'!HR26)</f>
        <v>XXXX</v>
      </c>
      <c r="Q26" s="556" t="str">
        <f>IF('[3]Tasa de Falla'!HS26=0,"",'[3]Tasa de Falla'!HS26)</f>
        <v>XXXX</v>
      </c>
      <c r="R26" s="556" t="str">
        <f>IF('[3]Tasa de Falla'!HT26=0,"",'[3]Tasa de Falla'!HT26)</f>
        <v>XXXX</v>
      </c>
      <c r="S26" s="559"/>
      <c r="T26" s="557"/>
    </row>
    <row r="27" spans="2:20" s="551" customFormat="1" ht="19.5" customHeight="1">
      <c r="B27" s="552"/>
      <c r="C27" s="558">
        <f>'[3]Tasa de Falla'!C27</f>
        <v>11</v>
      </c>
      <c r="D27" s="558" t="str">
        <f>'[3]Tasa de Falla'!D27</f>
        <v>CAMPO SANTO - GÜEMES</v>
      </c>
      <c r="E27" s="558">
        <f>'[3]Tasa de Falla'!E27</f>
        <v>132</v>
      </c>
      <c r="F27" s="558">
        <f>'[3]Tasa de Falla'!F27</f>
        <v>6.2</v>
      </c>
      <c r="G27" s="556" t="str">
        <f>IF('[3]Tasa de Falla'!HI27=0,"",'[3]Tasa de Falla'!HI27)</f>
        <v>XXXX</v>
      </c>
      <c r="H27" s="556" t="str">
        <f>IF('[3]Tasa de Falla'!HJ27=0,"",'[3]Tasa de Falla'!HJ27)</f>
        <v>XXXX</v>
      </c>
      <c r="I27" s="556" t="str">
        <f>IF('[3]Tasa de Falla'!HK27=0,"",'[3]Tasa de Falla'!HK27)</f>
        <v>XXXX</v>
      </c>
      <c r="J27" s="556" t="str">
        <f>IF('[3]Tasa de Falla'!HL27=0,"",'[3]Tasa de Falla'!HL27)</f>
        <v>XXXX</v>
      </c>
      <c r="K27" s="556" t="str">
        <f>IF('[3]Tasa de Falla'!HM27=0,"",'[3]Tasa de Falla'!HM27)</f>
        <v>XXXX</v>
      </c>
      <c r="L27" s="556" t="str">
        <f>IF('[3]Tasa de Falla'!HN27=0,"",'[3]Tasa de Falla'!HN27)</f>
        <v>XXXX</v>
      </c>
      <c r="M27" s="556" t="str">
        <f>IF('[3]Tasa de Falla'!HO27=0,"",'[3]Tasa de Falla'!HO27)</f>
        <v>XXXX</v>
      </c>
      <c r="N27" s="556" t="str">
        <f>IF('[3]Tasa de Falla'!HP27=0,"",'[3]Tasa de Falla'!HP27)</f>
        <v>XXXX</v>
      </c>
      <c r="O27" s="556" t="str">
        <f>IF('[3]Tasa de Falla'!HQ27=0,"",'[3]Tasa de Falla'!HQ27)</f>
        <v>XXXX</v>
      </c>
      <c r="P27" s="556" t="str">
        <f>IF('[3]Tasa de Falla'!HR27=0,"",'[3]Tasa de Falla'!HR27)</f>
        <v>XXXX</v>
      </c>
      <c r="Q27" s="556" t="str">
        <f>IF('[3]Tasa de Falla'!HS27=0,"",'[3]Tasa de Falla'!HS27)</f>
        <v>XXXX</v>
      </c>
      <c r="R27" s="556" t="str">
        <f>IF('[3]Tasa de Falla'!HT27=0,"",'[3]Tasa de Falla'!HT27)</f>
        <v>XXXX</v>
      </c>
      <c r="S27" s="559"/>
      <c r="T27" s="557"/>
    </row>
    <row r="28" spans="2:20" s="551" customFormat="1" ht="19.5" customHeight="1">
      <c r="B28" s="552"/>
      <c r="C28" s="558">
        <f>'[3]Tasa de Falla'!C28</f>
        <v>12</v>
      </c>
      <c r="D28" s="558" t="str">
        <f>'[3]Tasa de Falla'!D28</f>
        <v>GÜEMES - SAN JUANCITO</v>
      </c>
      <c r="E28" s="558">
        <f>'[3]Tasa de Falla'!E28</f>
        <v>132</v>
      </c>
      <c r="F28" s="558">
        <f>'[3]Tasa de Falla'!F28</f>
        <v>36.24</v>
      </c>
      <c r="G28" s="556">
        <f>IF('[3]Tasa de Falla'!HI28=0,"",'[3]Tasa de Falla'!HI28)</f>
        <v>1</v>
      </c>
      <c r="H28" s="556">
        <f>IF('[3]Tasa de Falla'!HJ28=0,"",'[3]Tasa de Falla'!HJ28)</f>
      </c>
      <c r="I28" s="556">
        <f>IF('[3]Tasa de Falla'!HK28=0,"",'[3]Tasa de Falla'!HK28)</f>
      </c>
      <c r="J28" s="556">
        <f>IF('[3]Tasa de Falla'!HL28=0,"",'[3]Tasa de Falla'!HL28)</f>
      </c>
      <c r="K28" s="556">
        <f>IF('[3]Tasa de Falla'!HM28=0,"",'[3]Tasa de Falla'!HM28)</f>
      </c>
      <c r="L28" s="556">
        <f>IF('[3]Tasa de Falla'!HN28=0,"",'[3]Tasa de Falla'!HN28)</f>
      </c>
      <c r="M28" s="556">
        <f>IF('[3]Tasa de Falla'!HO28=0,"",'[3]Tasa de Falla'!HO28)</f>
      </c>
      <c r="N28" s="556">
        <f>IF('[3]Tasa de Falla'!HP28=0,"",'[3]Tasa de Falla'!HP28)</f>
      </c>
      <c r="O28" s="556">
        <f>IF('[3]Tasa de Falla'!HQ28=0,"",'[3]Tasa de Falla'!HQ28)</f>
      </c>
      <c r="P28" s="556">
        <f>IF('[3]Tasa de Falla'!HR28=0,"",'[3]Tasa de Falla'!HR28)</f>
      </c>
      <c r="Q28" s="556">
        <f>IF('[3]Tasa de Falla'!HS28=0,"",'[3]Tasa de Falla'!HS28)</f>
      </c>
      <c r="R28" s="556">
        <f>IF('[3]Tasa de Falla'!HT28=0,"",'[3]Tasa de Falla'!HT28)</f>
      </c>
      <c r="S28" s="559"/>
      <c r="T28" s="557"/>
    </row>
    <row r="29" spans="2:20" s="551" customFormat="1" ht="19.5" customHeight="1">
      <c r="B29" s="552"/>
      <c r="C29" s="558">
        <f>'[3]Tasa de Falla'!C29</f>
        <v>13</v>
      </c>
      <c r="D29" s="558" t="str">
        <f>'[3]Tasa de Falla'!D29</f>
        <v>CATAMARCA - HUACRA</v>
      </c>
      <c r="E29" s="558">
        <f>'[3]Tasa de Falla'!E29</f>
        <v>132</v>
      </c>
      <c r="F29" s="558">
        <f>'[3]Tasa de Falla'!F29</f>
        <v>67.3</v>
      </c>
      <c r="G29" s="556">
        <f>IF('[3]Tasa de Falla'!HI29=0,"",'[3]Tasa de Falla'!HI29)</f>
      </c>
      <c r="H29" s="556">
        <f>IF('[3]Tasa de Falla'!HJ29=0,"",'[3]Tasa de Falla'!HJ29)</f>
      </c>
      <c r="I29" s="556">
        <f>IF('[3]Tasa de Falla'!HK29=0,"",'[3]Tasa de Falla'!HK29)</f>
      </c>
      <c r="J29" s="556">
        <f>IF('[3]Tasa de Falla'!HL29=0,"",'[3]Tasa de Falla'!HL29)</f>
      </c>
      <c r="K29" s="556">
        <f>IF('[3]Tasa de Falla'!HM29=0,"",'[3]Tasa de Falla'!HM29)</f>
      </c>
      <c r="L29" s="556">
        <f>IF('[3]Tasa de Falla'!HN29=0,"",'[3]Tasa de Falla'!HN29)</f>
      </c>
      <c r="M29" s="556">
        <f>IF('[3]Tasa de Falla'!HO29=0,"",'[3]Tasa de Falla'!HO29)</f>
      </c>
      <c r="N29" s="556">
        <f>IF('[3]Tasa de Falla'!HP29=0,"",'[3]Tasa de Falla'!HP29)</f>
      </c>
      <c r="O29" s="556">
        <f>IF('[3]Tasa de Falla'!HQ29=0,"",'[3]Tasa de Falla'!HQ29)</f>
      </c>
      <c r="P29" s="556">
        <f>IF('[3]Tasa de Falla'!HR29=0,"",'[3]Tasa de Falla'!HR29)</f>
      </c>
      <c r="Q29" s="556">
        <f>IF('[3]Tasa de Falla'!HS29=0,"",'[3]Tasa de Falla'!HS29)</f>
        <v>1</v>
      </c>
      <c r="R29" s="556">
        <f>IF('[3]Tasa de Falla'!HT29=0,"",'[3]Tasa de Falla'!HT29)</f>
        <v>1</v>
      </c>
      <c r="S29" s="559"/>
      <c r="T29" s="557"/>
    </row>
    <row r="30" spans="2:20" s="551" customFormat="1" ht="19.5" customHeight="1">
      <c r="B30" s="552"/>
      <c r="C30" s="558">
        <f>'[3]Tasa de Falla'!C30</f>
        <v>14</v>
      </c>
      <c r="D30" s="558" t="str">
        <f>'[3]Tasa de Falla'!D30</f>
        <v>HUACRA - LA CALERA</v>
      </c>
      <c r="E30" s="558">
        <f>'[3]Tasa de Falla'!E30</f>
        <v>132</v>
      </c>
      <c r="F30" s="558">
        <f>'[3]Tasa de Falla'!F30</f>
        <v>91.2</v>
      </c>
      <c r="G30" s="556">
        <f>IF('[3]Tasa de Falla'!HI30=0,"",'[3]Tasa de Falla'!HI30)</f>
      </c>
      <c r="H30" s="556">
        <f>IF('[3]Tasa de Falla'!HJ30=0,"",'[3]Tasa de Falla'!HJ30)</f>
      </c>
      <c r="I30" s="556">
        <f>IF('[3]Tasa de Falla'!HK30=0,"",'[3]Tasa de Falla'!HK30)</f>
      </c>
      <c r="J30" s="556">
        <f>IF('[3]Tasa de Falla'!HL30=0,"",'[3]Tasa de Falla'!HL30)</f>
        <v>2</v>
      </c>
      <c r="K30" s="556">
        <f>IF('[3]Tasa de Falla'!HM30=0,"",'[3]Tasa de Falla'!HM30)</f>
        <v>1</v>
      </c>
      <c r="L30" s="556">
        <f>IF('[3]Tasa de Falla'!HN30=0,"",'[3]Tasa de Falla'!HN30)</f>
      </c>
      <c r="M30" s="556">
        <f>IF('[3]Tasa de Falla'!HO30=0,"",'[3]Tasa de Falla'!HO30)</f>
      </c>
      <c r="N30" s="556">
        <f>IF('[3]Tasa de Falla'!HP30=0,"",'[3]Tasa de Falla'!HP30)</f>
      </c>
      <c r="O30" s="556">
        <f>IF('[3]Tasa de Falla'!HQ30=0,"",'[3]Tasa de Falla'!HQ30)</f>
      </c>
      <c r="P30" s="556">
        <f>IF('[3]Tasa de Falla'!HR30=0,"",'[3]Tasa de Falla'!HR30)</f>
      </c>
      <c r="Q30" s="556">
        <f>IF('[3]Tasa de Falla'!HS30=0,"",'[3]Tasa de Falla'!HS30)</f>
      </c>
      <c r="R30" s="556">
        <f>IF('[3]Tasa de Falla'!HT30=0,"",'[3]Tasa de Falla'!HT30)</f>
      </c>
      <c r="S30" s="559"/>
      <c r="T30" s="557"/>
    </row>
    <row r="31" spans="2:20" s="551" customFormat="1" ht="19.5" customHeight="1">
      <c r="B31" s="552"/>
      <c r="C31" s="558">
        <f>'[3]Tasa de Falla'!C31</f>
        <v>15</v>
      </c>
      <c r="D31" s="558" t="str">
        <f>'[3]Tasa de Falla'!D31</f>
        <v>AGUA BLANCA - INDEPENDENCIA</v>
      </c>
      <c r="E31" s="558">
        <f>'[3]Tasa de Falla'!E31</f>
        <v>132</v>
      </c>
      <c r="F31" s="558">
        <f>'[3]Tasa de Falla'!F31</f>
        <v>34.14</v>
      </c>
      <c r="G31" s="556">
        <f>IF('[3]Tasa de Falla'!HI31=0,"",'[3]Tasa de Falla'!HI31)</f>
      </c>
      <c r="H31" s="556">
        <f>IF('[3]Tasa de Falla'!HJ31=0,"",'[3]Tasa de Falla'!HJ31)</f>
      </c>
      <c r="I31" s="556">
        <f>IF('[3]Tasa de Falla'!HK31=0,"",'[3]Tasa de Falla'!HK31)</f>
      </c>
      <c r="J31" s="556">
        <f>IF('[3]Tasa de Falla'!HL31=0,"",'[3]Tasa de Falla'!HL31)</f>
        <v>2</v>
      </c>
      <c r="K31" s="556">
        <f>IF('[3]Tasa de Falla'!HM31=0,"",'[3]Tasa de Falla'!HM31)</f>
      </c>
      <c r="L31" s="556">
        <f>IF('[3]Tasa de Falla'!HN31=0,"",'[3]Tasa de Falla'!HN31)</f>
      </c>
      <c r="M31" s="556">
        <f>IF('[3]Tasa de Falla'!HO31=0,"",'[3]Tasa de Falla'!HO31)</f>
      </c>
      <c r="N31" s="556">
        <f>IF('[3]Tasa de Falla'!HP31=0,"",'[3]Tasa de Falla'!HP31)</f>
      </c>
      <c r="O31" s="556">
        <f>IF('[3]Tasa de Falla'!HQ31=0,"",'[3]Tasa de Falla'!HQ31)</f>
      </c>
      <c r="P31" s="556">
        <f>IF('[3]Tasa de Falla'!HR31=0,"",'[3]Tasa de Falla'!HR31)</f>
      </c>
      <c r="Q31" s="556">
        <f>IF('[3]Tasa de Falla'!HS31=0,"",'[3]Tasa de Falla'!HS31)</f>
      </c>
      <c r="R31" s="556">
        <f>IF('[3]Tasa de Falla'!HT31=0,"",'[3]Tasa de Falla'!HT31)</f>
      </c>
      <c r="S31" s="559"/>
      <c r="T31" s="557"/>
    </row>
    <row r="32" spans="2:20" s="551" customFormat="1" ht="19.5" customHeight="1">
      <c r="B32" s="552"/>
      <c r="C32" s="558">
        <f>'[3]Tasa de Falla'!C32</f>
        <v>16</v>
      </c>
      <c r="D32" s="558" t="str">
        <f>'[3]Tasa de Falla'!D32</f>
        <v>INDEPENDENCIA - EL BRACHO 1</v>
      </c>
      <c r="E32" s="558">
        <f>'[3]Tasa de Falla'!E32</f>
        <v>132</v>
      </c>
      <c r="F32" s="558">
        <f>'[3]Tasa de Falla'!F32</f>
        <v>17.1</v>
      </c>
      <c r="G32" s="556">
        <f>IF('[3]Tasa de Falla'!HI32=0,"",'[3]Tasa de Falla'!HI32)</f>
      </c>
      <c r="H32" s="556">
        <f>IF('[3]Tasa de Falla'!HJ32=0,"",'[3]Tasa de Falla'!HJ32)</f>
        <v>1</v>
      </c>
      <c r="I32" s="556">
        <f>IF('[3]Tasa de Falla'!HK32=0,"",'[3]Tasa de Falla'!HK32)</f>
        <v>1</v>
      </c>
      <c r="J32" s="556">
        <f>IF('[3]Tasa de Falla'!HL32=0,"",'[3]Tasa de Falla'!HL32)</f>
      </c>
      <c r="K32" s="556">
        <f>IF('[3]Tasa de Falla'!HM32=0,"",'[3]Tasa de Falla'!HM32)</f>
      </c>
      <c r="L32" s="556">
        <f>IF('[3]Tasa de Falla'!HN32=0,"",'[3]Tasa de Falla'!HN32)</f>
      </c>
      <c r="M32" s="556">
        <f>IF('[3]Tasa de Falla'!HO32=0,"",'[3]Tasa de Falla'!HO32)</f>
      </c>
      <c r="N32" s="556">
        <f>IF('[3]Tasa de Falla'!HP32=0,"",'[3]Tasa de Falla'!HP32)</f>
      </c>
      <c r="O32" s="556">
        <f>IF('[3]Tasa de Falla'!HQ32=0,"",'[3]Tasa de Falla'!HQ32)</f>
      </c>
      <c r="P32" s="556">
        <f>IF('[3]Tasa de Falla'!HR32=0,"",'[3]Tasa de Falla'!HR32)</f>
        <v>1</v>
      </c>
      <c r="Q32" s="556">
        <f>IF('[3]Tasa de Falla'!HS32=0,"",'[3]Tasa de Falla'!HS32)</f>
      </c>
      <c r="R32" s="556">
        <f>IF('[3]Tasa de Falla'!HT32=0,"",'[3]Tasa de Falla'!HT32)</f>
      </c>
      <c r="S32" s="559"/>
      <c r="T32" s="557"/>
    </row>
    <row r="33" spans="2:20" s="551" customFormat="1" ht="19.5" customHeight="1">
      <c r="B33" s="552"/>
      <c r="C33" s="558">
        <f>'[3]Tasa de Falla'!C33</f>
        <v>17</v>
      </c>
      <c r="D33" s="558" t="str">
        <f>'[3]Tasa de Falla'!D33</f>
        <v>INDEPENDENCIA - LULES - PAPEL TUCUMAN</v>
      </c>
      <c r="E33" s="558">
        <f>'[3]Tasa de Falla'!E33</f>
        <v>132</v>
      </c>
      <c r="F33" s="558">
        <f>'[3]Tasa de Falla'!F33</f>
        <v>19.3</v>
      </c>
      <c r="G33" s="556">
        <f>IF('[3]Tasa de Falla'!HI33=0,"",'[3]Tasa de Falla'!HI33)</f>
      </c>
      <c r="H33" s="556">
        <f>IF('[3]Tasa de Falla'!HJ33=0,"",'[3]Tasa de Falla'!HJ33)</f>
      </c>
      <c r="I33" s="556">
        <f>IF('[3]Tasa de Falla'!HK33=0,"",'[3]Tasa de Falla'!HK33)</f>
      </c>
      <c r="J33" s="556">
        <f>IF('[3]Tasa de Falla'!HL33=0,"",'[3]Tasa de Falla'!HL33)</f>
      </c>
      <c r="K33" s="556">
        <f>IF('[3]Tasa de Falla'!HM33=0,"",'[3]Tasa de Falla'!HM33)</f>
      </c>
      <c r="L33" s="556">
        <f>IF('[3]Tasa de Falla'!HN33=0,"",'[3]Tasa de Falla'!HN33)</f>
      </c>
      <c r="M33" s="556">
        <f>IF('[3]Tasa de Falla'!HO33=0,"",'[3]Tasa de Falla'!HO33)</f>
      </c>
      <c r="N33" s="556">
        <f>IF('[3]Tasa de Falla'!HP33=0,"",'[3]Tasa de Falla'!HP33)</f>
      </c>
      <c r="O33" s="556">
        <f>IF('[3]Tasa de Falla'!HQ33=0,"",'[3]Tasa de Falla'!HQ33)</f>
      </c>
      <c r="P33" s="556">
        <f>IF('[3]Tasa de Falla'!HR33=0,"",'[3]Tasa de Falla'!HR33)</f>
      </c>
      <c r="Q33" s="556">
        <f>IF('[3]Tasa de Falla'!HS33=0,"",'[3]Tasa de Falla'!HS33)</f>
      </c>
      <c r="R33" s="556">
        <f>IF('[3]Tasa de Falla'!HT33=0,"",'[3]Tasa de Falla'!HT33)</f>
      </c>
      <c r="S33" s="559"/>
      <c r="T33" s="557"/>
    </row>
    <row r="34" spans="2:20" s="551" customFormat="1" ht="19.5" customHeight="1">
      <c r="B34" s="552"/>
      <c r="C34" s="558">
        <f>'[3]Tasa de Falla'!C34</f>
        <v>18</v>
      </c>
      <c r="D34" s="558" t="str">
        <f>'[3]Tasa de Falla'!D34</f>
        <v>FRIAS - LA CALERA NOA.</v>
      </c>
      <c r="E34" s="558">
        <f>'[3]Tasa de Falla'!E34</f>
        <v>132</v>
      </c>
      <c r="F34" s="558">
        <f>'[3]Tasa de Falla'!F34</f>
        <v>27.3</v>
      </c>
      <c r="G34" s="556">
        <f>IF('[3]Tasa de Falla'!HI34=0,"",'[3]Tasa de Falla'!HI34)</f>
      </c>
      <c r="H34" s="556">
        <f>IF('[3]Tasa de Falla'!HJ34=0,"",'[3]Tasa de Falla'!HJ34)</f>
      </c>
      <c r="I34" s="556">
        <f>IF('[3]Tasa de Falla'!HK34=0,"",'[3]Tasa de Falla'!HK34)</f>
      </c>
      <c r="J34" s="556">
        <f>IF('[3]Tasa de Falla'!HL34=0,"",'[3]Tasa de Falla'!HL34)</f>
        <v>2</v>
      </c>
      <c r="K34" s="556">
        <f>IF('[3]Tasa de Falla'!HM34=0,"",'[3]Tasa de Falla'!HM34)</f>
      </c>
      <c r="L34" s="556">
        <f>IF('[3]Tasa de Falla'!HN34=0,"",'[3]Tasa de Falla'!HN34)</f>
      </c>
      <c r="M34" s="556">
        <f>IF('[3]Tasa de Falla'!HO34=0,"",'[3]Tasa de Falla'!HO34)</f>
      </c>
      <c r="N34" s="556">
        <f>IF('[3]Tasa de Falla'!HP34=0,"",'[3]Tasa de Falla'!HP34)</f>
      </c>
      <c r="O34" s="556">
        <f>IF('[3]Tasa de Falla'!HQ34=0,"",'[3]Tasa de Falla'!HQ34)</f>
      </c>
      <c r="P34" s="556">
        <f>IF('[3]Tasa de Falla'!HR34=0,"",'[3]Tasa de Falla'!HR34)</f>
      </c>
      <c r="Q34" s="556">
        <f>IF('[3]Tasa de Falla'!HS34=0,"",'[3]Tasa de Falla'!HS34)</f>
      </c>
      <c r="R34" s="556">
        <f>IF('[3]Tasa de Falla'!HT34=0,"",'[3]Tasa de Falla'!HT34)</f>
      </c>
      <c r="S34" s="559"/>
      <c r="T34" s="557"/>
    </row>
    <row r="35" spans="2:20" s="551" customFormat="1" ht="19.5" customHeight="1">
      <c r="B35" s="552"/>
      <c r="C35" s="558">
        <f>'[3]Tasa de Falla'!C35</f>
        <v>19</v>
      </c>
      <c r="D35" s="558" t="str">
        <f>'[3]Tasa de Falla'!D35</f>
        <v>LA BANDA - SANTIAGO CENTRO</v>
      </c>
      <c r="E35" s="558">
        <f>'[3]Tasa de Falla'!E35</f>
        <v>132</v>
      </c>
      <c r="F35" s="558">
        <f>'[3]Tasa de Falla'!F35</f>
        <v>10.91</v>
      </c>
      <c r="G35" s="556">
        <f>IF('[3]Tasa de Falla'!HI35=0,"",'[3]Tasa de Falla'!HI35)</f>
      </c>
      <c r="H35" s="556">
        <f>IF('[3]Tasa de Falla'!HJ35=0,"",'[3]Tasa de Falla'!HJ35)</f>
      </c>
      <c r="I35" s="556">
        <f>IF('[3]Tasa de Falla'!HK35=0,"",'[3]Tasa de Falla'!HK35)</f>
      </c>
      <c r="J35" s="556">
        <f>IF('[3]Tasa de Falla'!HL35=0,"",'[3]Tasa de Falla'!HL35)</f>
      </c>
      <c r="K35" s="556">
        <f>IF('[3]Tasa de Falla'!HM35=0,"",'[3]Tasa de Falla'!HM35)</f>
      </c>
      <c r="L35" s="556">
        <f>IF('[3]Tasa de Falla'!HN35=0,"",'[3]Tasa de Falla'!HN35)</f>
      </c>
      <c r="M35" s="556">
        <f>IF('[3]Tasa de Falla'!HO35=0,"",'[3]Tasa de Falla'!HO35)</f>
      </c>
      <c r="N35" s="556">
        <f>IF('[3]Tasa de Falla'!HP35=0,"",'[3]Tasa de Falla'!HP35)</f>
      </c>
      <c r="O35" s="556">
        <f>IF('[3]Tasa de Falla'!HQ35=0,"",'[3]Tasa de Falla'!HQ35)</f>
      </c>
      <c r="P35" s="556">
        <f>IF('[3]Tasa de Falla'!HR35=0,"",'[3]Tasa de Falla'!HR35)</f>
      </c>
      <c r="Q35" s="556">
        <f>IF('[3]Tasa de Falla'!HS35=0,"",'[3]Tasa de Falla'!HS35)</f>
      </c>
      <c r="R35" s="556">
        <f>IF('[3]Tasa de Falla'!HT35=0,"",'[3]Tasa de Falla'!HT35)</f>
      </c>
      <c r="S35" s="559"/>
      <c r="T35" s="557"/>
    </row>
    <row r="36" spans="2:20" s="551" customFormat="1" ht="19.5" customHeight="1">
      <c r="B36" s="552"/>
      <c r="C36" s="558">
        <f>'[3]Tasa de Falla'!C36</f>
        <v>20</v>
      </c>
      <c r="D36" s="558" t="str">
        <f>'[3]Tasa de Falla'!D36</f>
        <v>LIBERTADOR NOA. - PICHANAL</v>
      </c>
      <c r="E36" s="558">
        <f>'[3]Tasa de Falla'!E36</f>
        <v>132</v>
      </c>
      <c r="F36" s="558">
        <f>'[3]Tasa de Falla'!F36</f>
        <v>76</v>
      </c>
      <c r="G36" s="556">
        <f>IF('[3]Tasa de Falla'!HI36=0,"",'[3]Tasa de Falla'!HI36)</f>
      </c>
      <c r="H36" s="556">
        <f>IF('[3]Tasa de Falla'!HJ36=0,"",'[3]Tasa de Falla'!HJ36)</f>
        <v>1</v>
      </c>
      <c r="I36" s="556">
        <f>IF('[3]Tasa de Falla'!HK36=0,"",'[3]Tasa de Falla'!HK36)</f>
        <v>2</v>
      </c>
      <c r="J36" s="556">
        <f>IF('[3]Tasa de Falla'!HL36=0,"",'[3]Tasa de Falla'!HL36)</f>
      </c>
      <c r="K36" s="556">
        <f>IF('[3]Tasa de Falla'!HM36=0,"",'[3]Tasa de Falla'!HM36)</f>
      </c>
      <c r="L36" s="556">
        <f>IF('[3]Tasa de Falla'!HN36=0,"",'[3]Tasa de Falla'!HN36)</f>
        <v>2</v>
      </c>
      <c r="M36" s="556">
        <f>IF('[3]Tasa de Falla'!HO36=0,"",'[3]Tasa de Falla'!HO36)</f>
      </c>
      <c r="N36" s="556">
        <f>IF('[3]Tasa de Falla'!HP36=0,"",'[3]Tasa de Falla'!HP36)</f>
        <v>1</v>
      </c>
      <c r="O36" s="556">
        <f>IF('[3]Tasa de Falla'!HQ36=0,"",'[3]Tasa de Falla'!HQ36)</f>
      </c>
      <c r="P36" s="556">
        <f>IF('[3]Tasa de Falla'!HR36=0,"",'[3]Tasa de Falla'!HR36)</f>
      </c>
      <c r="Q36" s="556">
        <f>IF('[3]Tasa de Falla'!HS36=0,"",'[3]Tasa de Falla'!HS36)</f>
      </c>
      <c r="R36" s="556">
        <f>IF('[3]Tasa de Falla'!HT36=0,"",'[3]Tasa de Falla'!HT36)</f>
      </c>
      <c r="S36" s="559"/>
      <c r="T36" s="557"/>
    </row>
    <row r="37" spans="2:20" s="551" customFormat="1" ht="19.5" customHeight="1">
      <c r="B37" s="552"/>
      <c r="C37" s="558">
        <f>'[3]Tasa de Falla'!C37</f>
        <v>21</v>
      </c>
      <c r="D37" s="558" t="str">
        <f>'[3]Tasa de Falla'!D37</f>
        <v>GÜEMES - METAN</v>
      </c>
      <c r="E37" s="558">
        <f>'[3]Tasa de Falla'!E37</f>
        <v>132</v>
      </c>
      <c r="F37" s="558">
        <f>'[3]Tasa de Falla'!F37</f>
        <v>97.13</v>
      </c>
      <c r="G37" s="556" t="str">
        <f>IF('[3]Tasa de Falla'!HI37=0,"",'[3]Tasa de Falla'!HI37)</f>
        <v>XXXX</v>
      </c>
      <c r="H37" s="556" t="str">
        <f>IF('[3]Tasa de Falla'!HJ37=0,"",'[3]Tasa de Falla'!HJ37)</f>
        <v>XXXX</v>
      </c>
      <c r="I37" s="556" t="str">
        <f>IF('[3]Tasa de Falla'!HK37=0,"",'[3]Tasa de Falla'!HK37)</f>
        <v>XXXX</v>
      </c>
      <c r="J37" s="556" t="str">
        <f>IF('[3]Tasa de Falla'!HL37=0,"",'[3]Tasa de Falla'!HL37)</f>
        <v>XXXX</v>
      </c>
      <c r="K37" s="556" t="str">
        <f>IF('[3]Tasa de Falla'!HM37=0,"",'[3]Tasa de Falla'!HM37)</f>
        <v>XXXX</v>
      </c>
      <c r="L37" s="556" t="str">
        <f>IF('[3]Tasa de Falla'!HN37=0,"",'[3]Tasa de Falla'!HN37)</f>
        <v>XXXX</v>
      </c>
      <c r="M37" s="556" t="str">
        <f>IF('[3]Tasa de Falla'!HO37=0,"",'[3]Tasa de Falla'!HO37)</f>
        <v>XXXX</v>
      </c>
      <c r="N37" s="556" t="str">
        <f>IF('[3]Tasa de Falla'!HP37=0,"",'[3]Tasa de Falla'!HP37)</f>
        <v>XXXX</v>
      </c>
      <c r="O37" s="556" t="str">
        <f>IF('[3]Tasa de Falla'!HQ37=0,"",'[3]Tasa de Falla'!HQ37)</f>
        <v>XXXX</v>
      </c>
      <c r="P37" s="556" t="str">
        <f>IF('[3]Tasa de Falla'!HR37=0,"",'[3]Tasa de Falla'!HR37)</f>
        <v>XXXX</v>
      </c>
      <c r="Q37" s="556" t="str">
        <f>IF('[3]Tasa de Falla'!HS37=0,"",'[3]Tasa de Falla'!HS37)</f>
        <v>XXXX</v>
      </c>
      <c r="R37" s="556" t="str">
        <f>IF('[3]Tasa de Falla'!HT37=0,"",'[3]Tasa de Falla'!HT37)</f>
        <v>XXXX</v>
      </c>
      <c r="S37" s="559"/>
      <c r="T37" s="557"/>
    </row>
    <row r="38" spans="2:20" s="551" customFormat="1" ht="19.5" customHeight="1">
      <c r="B38" s="552"/>
      <c r="C38" s="558">
        <f>'[3]Tasa de Falla'!C38</f>
        <v>22</v>
      </c>
      <c r="D38" s="558" t="str">
        <f>'[3]Tasa de Falla'!D38</f>
        <v>MINETTI - SAN JUANCITO</v>
      </c>
      <c r="E38" s="558">
        <f>'[3]Tasa de Falla'!E38</f>
        <v>132</v>
      </c>
      <c r="F38" s="558">
        <f>'[3]Tasa de Falla'!F38</f>
        <v>26</v>
      </c>
      <c r="G38" s="556">
        <f>IF('[3]Tasa de Falla'!HI38=0,"",'[3]Tasa de Falla'!HI38)</f>
      </c>
      <c r="H38" s="556">
        <f>IF('[3]Tasa de Falla'!HJ38=0,"",'[3]Tasa de Falla'!HJ38)</f>
      </c>
      <c r="I38" s="556">
        <f>IF('[3]Tasa de Falla'!HK38=0,"",'[3]Tasa de Falla'!HK38)</f>
      </c>
      <c r="J38" s="556">
        <f>IF('[3]Tasa de Falla'!HL38=0,"",'[3]Tasa de Falla'!HL38)</f>
        <v>1</v>
      </c>
      <c r="K38" s="556">
        <f>IF('[3]Tasa de Falla'!HM38=0,"",'[3]Tasa de Falla'!HM38)</f>
        <v>1</v>
      </c>
      <c r="L38" s="556">
        <f>IF('[3]Tasa de Falla'!HN38=0,"",'[3]Tasa de Falla'!HN38)</f>
      </c>
      <c r="M38" s="556">
        <f>IF('[3]Tasa de Falla'!HO38=0,"",'[3]Tasa de Falla'!HO38)</f>
      </c>
      <c r="N38" s="556">
        <f>IF('[3]Tasa de Falla'!HP38=0,"",'[3]Tasa de Falla'!HP38)</f>
      </c>
      <c r="O38" s="556">
        <f>IF('[3]Tasa de Falla'!HQ38=0,"",'[3]Tasa de Falla'!HQ38)</f>
      </c>
      <c r="P38" s="556">
        <f>IF('[3]Tasa de Falla'!HR38=0,"",'[3]Tasa de Falla'!HR38)</f>
      </c>
      <c r="Q38" s="556">
        <f>IF('[3]Tasa de Falla'!HS38=0,"",'[3]Tasa de Falla'!HS38)</f>
        <v>1</v>
      </c>
      <c r="R38" s="556">
        <f>IF('[3]Tasa de Falla'!HT38=0,"",'[3]Tasa de Falla'!HT38)</f>
      </c>
      <c r="S38" s="559"/>
      <c r="T38" s="557"/>
    </row>
    <row r="39" spans="2:20" s="551" customFormat="1" ht="18">
      <c r="B39" s="552"/>
      <c r="C39" s="558">
        <f>'[3]Tasa de Falla'!C39</f>
        <v>23</v>
      </c>
      <c r="D39" s="558" t="str">
        <f>'[3]Tasa de Falla'!D39</f>
        <v>PALPALA - JUJUY SUR</v>
      </c>
      <c r="E39" s="558">
        <f>'[3]Tasa de Falla'!E39</f>
        <v>132</v>
      </c>
      <c r="F39" s="558">
        <f>'[3]Tasa de Falla'!F39</f>
        <v>14</v>
      </c>
      <c r="G39" s="556" t="str">
        <f>IF('[3]Tasa de Falla'!HI39=0,"",'[3]Tasa de Falla'!HI39)</f>
        <v>XXXX</v>
      </c>
      <c r="H39" s="556" t="str">
        <f>IF('[3]Tasa de Falla'!HJ39=0,"",'[3]Tasa de Falla'!HJ39)</f>
        <v>XXXX</v>
      </c>
      <c r="I39" s="556" t="str">
        <f>IF('[3]Tasa de Falla'!HK39=0,"",'[3]Tasa de Falla'!HK39)</f>
        <v>XXXX</v>
      </c>
      <c r="J39" s="556" t="str">
        <f>IF('[3]Tasa de Falla'!HL39=0,"",'[3]Tasa de Falla'!HL39)</f>
        <v>XXXX</v>
      </c>
      <c r="K39" s="556" t="str">
        <f>IF('[3]Tasa de Falla'!HM39=0,"",'[3]Tasa de Falla'!HM39)</f>
        <v>XXXX</v>
      </c>
      <c r="L39" s="556" t="str">
        <f>IF('[3]Tasa de Falla'!HN39=0,"",'[3]Tasa de Falla'!HN39)</f>
        <v>XXXX</v>
      </c>
      <c r="M39" s="556" t="str">
        <f>IF('[3]Tasa de Falla'!HO39=0,"",'[3]Tasa de Falla'!HO39)</f>
        <v>XXXX</v>
      </c>
      <c r="N39" s="556" t="str">
        <f>IF('[3]Tasa de Falla'!HP39=0,"",'[3]Tasa de Falla'!HP39)</f>
        <v>XXXX</v>
      </c>
      <c r="O39" s="556" t="str">
        <f>IF('[3]Tasa de Falla'!HQ39=0,"",'[3]Tasa de Falla'!HQ39)</f>
        <v>XXXX</v>
      </c>
      <c r="P39" s="556" t="str">
        <f>IF('[3]Tasa de Falla'!HR39=0,"",'[3]Tasa de Falla'!HR39)</f>
        <v>XXXX</v>
      </c>
      <c r="Q39" s="556" t="str">
        <f>IF('[3]Tasa de Falla'!HS39=0,"",'[3]Tasa de Falla'!HS39)</f>
        <v>XXXX</v>
      </c>
      <c r="R39" s="556" t="str">
        <f>IF('[3]Tasa de Falla'!HT39=0,"",'[3]Tasa de Falla'!HT39)</f>
        <v>XXXX</v>
      </c>
      <c r="S39" s="559"/>
      <c r="T39" s="557"/>
    </row>
    <row r="40" spans="2:20" s="551" customFormat="1" ht="19.5" customHeight="1">
      <c r="B40" s="552"/>
      <c r="C40" s="558">
        <f>'[3]Tasa de Falla'!C40</f>
        <v>24</v>
      </c>
      <c r="D40" s="558" t="str">
        <f>'[3]Tasa de Falla'!D40</f>
        <v>ORAN - PICHANAL</v>
      </c>
      <c r="E40" s="558">
        <f>'[3]Tasa de Falla'!E40</f>
        <v>132</v>
      </c>
      <c r="F40" s="558">
        <f>'[3]Tasa de Falla'!F40</f>
        <v>17</v>
      </c>
      <c r="G40" s="556">
        <f>IF('[3]Tasa de Falla'!HI40=0,"",'[3]Tasa de Falla'!HI40)</f>
        <v>1</v>
      </c>
      <c r="H40" s="556" t="str">
        <f>IF('[3]Tasa de Falla'!HJ40=0,"",'[3]Tasa de Falla'!HJ40)</f>
        <v>XXXX</v>
      </c>
      <c r="I40" s="556" t="str">
        <f>IF('[3]Tasa de Falla'!HK40=0,"",'[3]Tasa de Falla'!HK40)</f>
        <v>XXXX</v>
      </c>
      <c r="J40" s="556" t="str">
        <f>IF('[3]Tasa de Falla'!HL40=0,"",'[3]Tasa de Falla'!HL40)</f>
        <v>XXXX</v>
      </c>
      <c r="K40" s="556" t="str">
        <f>IF('[3]Tasa de Falla'!HM40=0,"",'[3]Tasa de Falla'!HM40)</f>
        <v>XXXX</v>
      </c>
      <c r="L40" s="556" t="str">
        <f>IF('[3]Tasa de Falla'!HN40=0,"",'[3]Tasa de Falla'!HN40)</f>
        <v>XXXX</v>
      </c>
      <c r="M40" s="556" t="str">
        <f>IF('[3]Tasa de Falla'!HO40=0,"",'[3]Tasa de Falla'!HO40)</f>
        <v>XXXX</v>
      </c>
      <c r="N40" s="556" t="str">
        <f>IF('[3]Tasa de Falla'!HP40=0,"",'[3]Tasa de Falla'!HP40)</f>
        <v>XXXX</v>
      </c>
      <c r="O40" s="556" t="str">
        <f>IF('[3]Tasa de Falla'!HQ40=0,"",'[3]Tasa de Falla'!HQ40)</f>
        <v>XXXX</v>
      </c>
      <c r="P40" s="556" t="str">
        <f>IF('[3]Tasa de Falla'!HR40=0,"",'[3]Tasa de Falla'!HR40)</f>
        <v>XXXX</v>
      </c>
      <c r="Q40" s="556" t="str">
        <f>IF('[3]Tasa de Falla'!HS40=0,"",'[3]Tasa de Falla'!HS40)</f>
        <v>XXXX</v>
      </c>
      <c r="R40" s="556" t="str">
        <f>IF('[3]Tasa de Falla'!HT40=0,"",'[3]Tasa de Falla'!HT40)</f>
        <v>XXXX</v>
      </c>
      <c r="S40" s="559"/>
      <c r="T40" s="557"/>
    </row>
    <row r="41" spans="2:20" s="551" customFormat="1" ht="19.5" customHeight="1">
      <c r="B41" s="552"/>
      <c r="C41" s="558">
        <f>'[3]Tasa de Falla'!C41</f>
        <v>25</v>
      </c>
      <c r="D41" s="558" t="str">
        <f>'[3]Tasa de Falla'!D41</f>
        <v>PICHANAL - TARTAGAL</v>
      </c>
      <c r="E41" s="558">
        <f>'[3]Tasa de Falla'!E41</f>
        <v>132</v>
      </c>
      <c r="F41" s="558">
        <f>'[3]Tasa de Falla'!F41</f>
        <v>105</v>
      </c>
      <c r="G41" s="556">
        <f>IF('[3]Tasa de Falla'!HI41=0,"",'[3]Tasa de Falla'!HI41)</f>
      </c>
      <c r="H41" s="556">
        <f>IF('[3]Tasa de Falla'!HJ41=0,"",'[3]Tasa de Falla'!HJ41)</f>
      </c>
      <c r="I41" s="556">
        <f>IF('[3]Tasa de Falla'!HK41=0,"",'[3]Tasa de Falla'!HK41)</f>
      </c>
      <c r="J41" s="556">
        <f>IF('[3]Tasa de Falla'!HL41=0,"",'[3]Tasa de Falla'!HL41)</f>
      </c>
      <c r="K41" s="556">
        <f>IF('[3]Tasa de Falla'!HM41=0,"",'[3]Tasa de Falla'!HM41)</f>
      </c>
      <c r="L41" s="556">
        <f>IF('[3]Tasa de Falla'!HN41=0,"",'[3]Tasa de Falla'!HN41)</f>
      </c>
      <c r="M41" s="556">
        <f>IF('[3]Tasa de Falla'!HO41=0,"",'[3]Tasa de Falla'!HO41)</f>
      </c>
      <c r="N41" s="556">
        <f>IF('[3]Tasa de Falla'!HP41=0,"",'[3]Tasa de Falla'!HP41)</f>
      </c>
      <c r="O41" s="556">
        <f>IF('[3]Tasa de Falla'!HQ41=0,"",'[3]Tasa de Falla'!HQ41)</f>
      </c>
      <c r="P41" s="556">
        <f>IF('[3]Tasa de Falla'!HR41=0,"",'[3]Tasa de Falla'!HR41)</f>
        <v>1</v>
      </c>
      <c r="Q41" s="556">
        <f>IF('[3]Tasa de Falla'!HS41=0,"",'[3]Tasa de Falla'!HS41)</f>
      </c>
      <c r="R41" s="556">
        <f>IF('[3]Tasa de Falla'!HT41=0,"",'[3]Tasa de Falla'!HT41)</f>
      </c>
      <c r="S41" s="559"/>
      <c r="T41" s="557"/>
    </row>
    <row r="42" spans="2:20" s="551" customFormat="1" ht="19.5" customHeight="1">
      <c r="B42" s="552"/>
      <c r="C42" s="558">
        <f>'[3]Tasa de Falla'!C42</f>
        <v>26</v>
      </c>
      <c r="D42" s="558" t="str">
        <f>'[3]Tasa de Falla'!D42</f>
        <v>C.H. RIO HONDO - LA BANDA</v>
      </c>
      <c r="E42" s="558">
        <f>'[3]Tasa de Falla'!E42</f>
        <v>132</v>
      </c>
      <c r="F42" s="558">
        <f>'[3]Tasa de Falla'!F42</f>
        <v>76.5</v>
      </c>
      <c r="G42" s="556">
        <f>IF('[3]Tasa de Falla'!HI42=0,"",'[3]Tasa de Falla'!HI42)</f>
      </c>
      <c r="H42" s="556">
        <f>IF('[3]Tasa de Falla'!HJ42=0,"",'[3]Tasa de Falla'!HJ42)</f>
      </c>
      <c r="I42" s="556">
        <f>IF('[3]Tasa de Falla'!HK42=0,"",'[3]Tasa de Falla'!HK42)</f>
      </c>
      <c r="J42" s="556">
        <f>IF('[3]Tasa de Falla'!HL42=0,"",'[3]Tasa de Falla'!HL42)</f>
      </c>
      <c r="K42" s="556">
        <f>IF('[3]Tasa de Falla'!HM42=0,"",'[3]Tasa de Falla'!HM42)</f>
      </c>
      <c r="L42" s="556">
        <f>IF('[3]Tasa de Falla'!HN42=0,"",'[3]Tasa de Falla'!HN42)</f>
      </c>
      <c r="M42" s="556">
        <f>IF('[3]Tasa de Falla'!HO42=0,"",'[3]Tasa de Falla'!HO42)</f>
      </c>
      <c r="N42" s="556">
        <f>IF('[3]Tasa de Falla'!HP42=0,"",'[3]Tasa de Falla'!HP42)</f>
        <v>1</v>
      </c>
      <c r="O42" s="556">
        <f>IF('[3]Tasa de Falla'!HQ42=0,"",'[3]Tasa de Falla'!HQ42)</f>
        <v>1</v>
      </c>
      <c r="P42" s="556">
        <f>IF('[3]Tasa de Falla'!HR42=0,"",'[3]Tasa de Falla'!HR42)</f>
      </c>
      <c r="Q42" s="556">
        <f>IF('[3]Tasa de Falla'!HS42=0,"",'[3]Tasa de Falla'!HS42)</f>
        <v>1</v>
      </c>
      <c r="R42" s="556">
        <f>IF('[3]Tasa de Falla'!HT42=0,"",'[3]Tasa de Falla'!HT42)</f>
      </c>
      <c r="S42" s="559"/>
      <c r="T42" s="557"/>
    </row>
    <row r="43" spans="2:20" s="551" customFormat="1" ht="18">
      <c r="B43" s="552"/>
      <c r="C43" s="558">
        <f>'[3]Tasa de Falla'!C43</f>
        <v>27</v>
      </c>
      <c r="D43" s="558" t="str">
        <f>'[3]Tasa de Falla'!D43</f>
        <v>LA RIOJA - RECREO  2</v>
      </c>
      <c r="E43" s="558">
        <f>'[3]Tasa de Falla'!E43</f>
        <v>132</v>
      </c>
      <c r="F43" s="558">
        <f>'[3]Tasa de Falla'!F43</f>
        <v>220</v>
      </c>
      <c r="G43" s="556" t="str">
        <f>IF('[3]Tasa de Falla'!HI43=0,"",'[3]Tasa de Falla'!HI43)</f>
        <v>XXXX</v>
      </c>
      <c r="H43" s="556" t="str">
        <f>IF('[3]Tasa de Falla'!HJ43=0,"",'[3]Tasa de Falla'!HJ43)</f>
        <v>XXXX</v>
      </c>
      <c r="I43" s="556" t="str">
        <f>IF('[3]Tasa de Falla'!HK43=0,"",'[3]Tasa de Falla'!HK43)</f>
        <v>XXXX</v>
      </c>
      <c r="J43" s="556" t="str">
        <f>IF('[3]Tasa de Falla'!HL43=0,"",'[3]Tasa de Falla'!HL43)</f>
        <v>XXXX</v>
      </c>
      <c r="K43" s="556" t="str">
        <f>IF('[3]Tasa de Falla'!HM43=0,"",'[3]Tasa de Falla'!HM43)</f>
        <v>XXXX</v>
      </c>
      <c r="L43" s="556" t="str">
        <f>IF('[3]Tasa de Falla'!HN43=0,"",'[3]Tasa de Falla'!HN43)</f>
        <v>XXXX</v>
      </c>
      <c r="M43" s="556" t="str">
        <f>IF('[3]Tasa de Falla'!HO43=0,"",'[3]Tasa de Falla'!HO43)</f>
        <v>XXXX</v>
      </c>
      <c r="N43" s="556" t="str">
        <f>IF('[3]Tasa de Falla'!HP43=0,"",'[3]Tasa de Falla'!HP43)</f>
        <v>XXXX</v>
      </c>
      <c r="O43" s="556" t="str">
        <f>IF('[3]Tasa de Falla'!HQ43=0,"",'[3]Tasa de Falla'!HQ43)</f>
        <v>XXXX</v>
      </c>
      <c r="P43" s="556" t="str">
        <f>IF('[3]Tasa de Falla'!HR43=0,"",'[3]Tasa de Falla'!HR43)</f>
        <v>XXXX</v>
      </c>
      <c r="Q43" s="556" t="str">
        <f>IF('[3]Tasa de Falla'!HS43=0,"",'[3]Tasa de Falla'!HS43)</f>
        <v>XXXX</v>
      </c>
      <c r="R43" s="556" t="str">
        <f>IF('[3]Tasa de Falla'!HT43=0,"",'[3]Tasa de Falla'!HT43)</f>
        <v>XXXX</v>
      </c>
      <c r="S43" s="559"/>
      <c r="T43" s="557"/>
    </row>
    <row r="44" spans="2:20" s="551" customFormat="1" ht="19.5" customHeight="1">
      <c r="B44" s="552"/>
      <c r="C44" s="558">
        <f>'[3]Tasa de Falla'!C44</f>
        <v>28</v>
      </c>
      <c r="D44" s="558" t="str">
        <f>'[3]Tasa de Falla'!D44</f>
        <v>CAMPO SANTO - SALTA SUR</v>
      </c>
      <c r="E44" s="558">
        <f>'[3]Tasa de Falla'!E44</f>
        <v>132</v>
      </c>
      <c r="F44" s="558">
        <f>'[3]Tasa de Falla'!F44</f>
        <v>40.92</v>
      </c>
      <c r="G44" s="556" t="str">
        <f>IF('[3]Tasa de Falla'!HI44=0,"",'[3]Tasa de Falla'!HI44)</f>
        <v>XXXX</v>
      </c>
      <c r="H44" s="556" t="str">
        <f>IF('[3]Tasa de Falla'!HJ44=0,"",'[3]Tasa de Falla'!HJ44)</f>
        <v>XXXX</v>
      </c>
      <c r="I44" s="556" t="str">
        <f>IF('[3]Tasa de Falla'!HK44=0,"",'[3]Tasa de Falla'!HK44)</f>
        <v>XXXX</v>
      </c>
      <c r="J44" s="556" t="str">
        <f>IF('[3]Tasa de Falla'!HL44=0,"",'[3]Tasa de Falla'!HL44)</f>
        <v>XXXX</v>
      </c>
      <c r="K44" s="556" t="str">
        <f>IF('[3]Tasa de Falla'!HM44=0,"",'[3]Tasa de Falla'!HM44)</f>
        <v>XXXX</v>
      </c>
      <c r="L44" s="556" t="str">
        <f>IF('[3]Tasa de Falla'!HN44=0,"",'[3]Tasa de Falla'!HN44)</f>
        <v>XXXX</v>
      </c>
      <c r="M44" s="556" t="str">
        <f>IF('[3]Tasa de Falla'!HO44=0,"",'[3]Tasa de Falla'!HO44)</f>
        <v>XXXX</v>
      </c>
      <c r="N44" s="556" t="str">
        <f>IF('[3]Tasa de Falla'!HP44=0,"",'[3]Tasa de Falla'!HP44)</f>
        <v>XXXX</v>
      </c>
      <c r="O44" s="556" t="str">
        <f>IF('[3]Tasa de Falla'!HQ44=0,"",'[3]Tasa de Falla'!HQ44)</f>
        <v>XXXX</v>
      </c>
      <c r="P44" s="556" t="str">
        <f>IF('[3]Tasa de Falla'!HR44=0,"",'[3]Tasa de Falla'!HR44)</f>
        <v>XXXX</v>
      </c>
      <c r="Q44" s="556" t="str">
        <f>IF('[3]Tasa de Falla'!HS44=0,"",'[3]Tasa de Falla'!HS44)</f>
        <v>XXXX</v>
      </c>
      <c r="R44" s="556" t="str">
        <f>IF('[3]Tasa de Falla'!HT44=0,"",'[3]Tasa de Falla'!HT44)</f>
        <v>XXXX</v>
      </c>
      <c r="S44" s="559"/>
      <c r="T44" s="557"/>
    </row>
    <row r="45" spans="2:20" s="551" customFormat="1" ht="19.5" customHeight="1">
      <c r="B45" s="552"/>
      <c r="C45" s="558">
        <f>'[3]Tasa de Falla'!C45</f>
        <v>29</v>
      </c>
      <c r="D45" s="558" t="str">
        <f>'[3]Tasa de Falla'!D45</f>
        <v>PALPALA - SAN JUANCITO</v>
      </c>
      <c r="E45" s="558">
        <f>'[3]Tasa de Falla'!E45</f>
        <v>132</v>
      </c>
      <c r="F45" s="558">
        <f>'[3]Tasa de Falla'!F45</f>
        <v>23.9</v>
      </c>
      <c r="G45" s="556">
        <f>IF('[3]Tasa de Falla'!HI45=0,"",'[3]Tasa de Falla'!HI45)</f>
      </c>
      <c r="H45" s="556">
        <f>IF('[3]Tasa de Falla'!HJ45=0,"",'[3]Tasa de Falla'!HJ45)</f>
      </c>
      <c r="I45" s="556">
        <f>IF('[3]Tasa de Falla'!HK45=0,"",'[3]Tasa de Falla'!HK45)</f>
        <v>1</v>
      </c>
      <c r="J45" s="556">
        <f>IF('[3]Tasa de Falla'!HL45=0,"",'[3]Tasa de Falla'!HL45)</f>
      </c>
      <c r="K45" s="556">
        <f>IF('[3]Tasa de Falla'!HM45=0,"",'[3]Tasa de Falla'!HM45)</f>
        <v>1</v>
      </c>
      <c r="L45" s="556">
        <f>IF('[3]Tasa de Falla'!HN45=0,"",'[3]Tasa de Falla'!HN45)</f>
      </c>
      <c r="M45" s="556">
        <f>IF('[3]Tasa de Falla'!HO45=0,"",'[3]Tasa de Falla'!HO45)</f>
      </c>
      <c r="N45" s="556">
        <f>IF('[3]Tasa de Falla'!HP45=0,"",'[3]Tasa de Falla'!HP45)</f>
        <v>1</v>
      </c>
      <c r="O45" s="556">
        <f>IF('[3]Tasa de Falla'!HQ45=0,"",'[3]Tasa de Falla'!HQ45)</f>
      </c>
      <c r="P45" s="556">
        <f>IF('[3]Tasa de Falla'!HR45=0,"",'[3]Tasa de Falla'!HR45)</f>
        <v>1</v>
      </c>
      <c r="Q45" s="556">
        <f>IF('[3]Tasa de Falla'!HS45=0,"",'[3]Tasa de Falla'!HS45)</f>
      </c>
      <c r="R45" s="556">
        <f>IF('[3]Tasa de Falla'!HT45=0,"",'[3]Tasa de Falla'!HT45)</f>
      </c>
      <c r="S45" s="559"/>
      <c r="T45" s="557"/>
    </row>
    <row r="46" spans="2:20" s="551" customFormat="1" ht="19.5" customHeight="1">
      <c r="B46" s="552"/>
      <c r="C46" s="558">
        <f>'[3]Tasa de Falla'!C46</f>
        <v>30</v>
      </c>
      <c r="D46" s="558" t="str">
        <f>'[3]Tasa de Falla'!D46</f>
        <v>SAN JUANCITO - SAN PEDRO JUJUY</v>
      </c>
      <c r="E46" s="558">
        <f>'[3]Tasa de Falla'!E46</f>
        <v>132</v>
      </c>
      <c r="F46" s="558">
        <f>'[3]Tasa de Falla'!F46</f>
        <v>27</v>
      </c>
      <c r="G46" s="556">
        <f>IF('[3]Tasa de Falla'!HI46=0,"",'[3]Tasa de Falla'!HI46)</f>
      </c>
      <c r="H46" s="556">
        <f>IF('[3]Tasa de Falla'!HJ46=0,"",'[3]Tasa de Falla'!HJ46)</f>
      </c>
      <c r="I46" s="556">
        <f>IF('[3]Tasa de Falla'!HK46=0,"",'[3]Tasa de Falla'!HK46)</f>
      </c>
      <c r="J46" s="556">
        <f>IF('[3]Tasa de Falla'!HL46=0,"",'[3]Tasa de Falla'!HL46)</f>
      </c>
      <c r="K46" s="556">
        <f>IF('[3]Tasa de Falla'!HM46=0,"",'[3]Tasa de Falla'!HM46)</f>
      </c>
      <c r="L46" s="556">
        <f>IF('[3]Tasa de Falla'!HN46=0,"",'[3]Tasa de Falla'!HN46)</f>
      </c>
      <c r="M46" s="556">
        <f>IF('[3]Tasa de Falla'!HO46=0,"",'[3]Tasa de Falla'!HO46)</f>
      </c>
      <c r="N46" s="556">
        <f>IF('[3]Tasa de Falla'!HP46=0,"",'[3]Tasa de Falla'!HP46)</f>
      </c>
      <c r="O46" s="556">
        <f>IF('[3]Tasa de Falla'!HQ46=0,"",'[3]Tasa de Falla'!HQ46)</f>
        <v>2</v>
      </c>
      <c r="P46" s="556">
        <f>IF('[3]Tasa de Falla'!HR46=0,"",'[3]Tasa de Falla'!HR46)</f>
      </c>
      <c r="Q46" s="556">
        <f>IF('[3]Tasa de Falla'!HS46=0,"",'[3]Tasa de Falla'!HS46)</f>
      </c>
      <c r="R46" s="556">
        <f>IF('[3]Tasa de Falla'!HT46=0,"",'[3]Tasa de Falla'!HT46)</f>
        <v>1</v>
      </c>
      <c r="S46" s="559"/>
      <c r="T46" s="557"/>
    </row>
    <row r="47" spans="2:20" s="551" customFormat="1" ht="18">
      <c r="B47" s="552"/>
      <c r="C47" s="558">
        <f>'[3]Tasa de Falla'!C47</f>
        <v>31</v>
      </c>
      <c r="D47" s="558" t="str">
        <f>'[3]Tasa de Falla'!D47</f>
        <v>SAN MARTIN - CATAMARCA</v>
      </c>
      <c r="E47" s="558">
        <f>'[3]Tasa de Falla'!E47</f>
        <v>132</v>
      </c>
      <c r="F47" s="558">
        <f>'[3]Tasa de Falla'!F47</f>
        <v>88</v>
      </c>
      <c r="G47" s="556" t="str">
        <f>IF('[3]Tasa de Falla'!HI47=0,"",'[3]Tasa de Falla'!HI47)</f>
        <v>XXXX</v>
      </c>
      <c r="H47" s="556" t="str">
        <f>IF('[3]Tasa de Falla'!HJ47=0,"",'[3]Tasa de Falla'!HJ47)</f>
        <v>XXXX</v>
      </c>
      <c r="I47" s="556" t="str">
        <f>IF('[3]Tasa de Falla'!HK47=0,"",'[3]Tasa de Falla'!HK47)</f>
        <v>XXXX</v>
      </c>
      <c r="J47" s="556" t="str">
        <f>IF('[3]Tasa de Falla'!HL47=0,"",'[3]Tasa de Falla'!HL47)</f>
        <v>XXXX</v>
      </c>
      <c r="K47" s="556" t="str">
        <f>IF('[3]Tasa de Falla'!HM47=0,"",'[3]Tasa de Falla'!HM47)</f>
        <v>XXXX</v>
      </c>
      <c r="L47" s="556" t="str">
        <f>IF('[3]Tasa de Falla'!HN47=0,"",'[3]Tasa de Falla'!HN47)</f>
        <v>XXXX</v>
      </c>
      <c r="M47" s="556" t="str">
        <f>IF('[3]Tasa de Falla'!HO47=0,"",'[3]Tasa de Falla'!HO47)</f>
        <v>XXXX</v>
      </c>
      <c r="N47" s="556" t="str">
        <f>IF('[3]Tasa de Falla'!HP47=0,"",'[3]Tasa de Falla'!HP47)</f>
        <v>XXXX</v>
      </c>
      <c r="O47" s="556" t="str">
        <f>IF('[3]Tasa de Falla'!HQ47=0,"",'[3]Tasa de Falla'!HQ47)</f>
        <v>XXXX</v>
      </c>
      <c r="P47" s="556" t="str">
        <f>IF('[3]Tasa de Falla'!HR47=0,"",'[3]Tasa de Falla'!HR47)</f>
        <v>XXXX</v>
      </c>
      <c r="Q47" s="556" t="str">
        <f>IF('[3]Tasa de Falla'!HS47=0,"",'[3]Tasa de Falla'!HS47)</f>
        <v>XXXX</v>
      </c>
      <c r="R47" s="556" t="str">
        <f>IF('[3]Tasa de Falla'!HT47=0,"",'[3]Tasa de Falla'!HT47)</f>
        <v>XXXX</v>
      </c>
      <c r="S47" s="559"/>
      <c r="T47" s="557"/>
    </row>
    <row r="48" spans="2:20" s="551" customFormat="1" ht="18">
      <c r="B48" s="552"/>
      <c r="C48" s="558">
        <f>'[3]Tasa de Falla'!C48</f>
        <v>32</v>
      </c>
      <c r="D48" s="558" t="str">
        <f>'[3]Tasa de Falla'!D48</f>
        <v>SAN MARTIN - RECREO</v>
      </c>
      <c r="E48" s="558">
        <f>'[3]Tasa de Falla'!E48</f>
        <v>132</v>
      </c>
      <c r="F48" s="558">
        <f>'[3]Tasa de Falla'!F48</f>
        <v>115</v>
      </c>
      <c r="G48" s="556" t="str">
        <f>IF('[3]Tasa de Falla'!HI48=0,"",'[3]Tasa de Falla'!HI48)</f>
        <v>XXXX</v>
      </c>
      <c r="H48" s="556" t="str">
        <f>IF('[3]Tasa de Falla'!HJ48=0,"",'[3]Tasa de Falla'!HJ48)</f>
        <v>XXXX</v>
      </c>
      <c r="I48" s="556" t="str">
        <f>IF('[3]Tasa de Falla'!HK48=0,"",'[3]Tasa de Falla'!HK48)</f>
        <v>XXXX</v>
      </c>
      <c r="J48" s="556" t="str">
        <f>IF('[3]Tasa de Falla'!HL48=0,"",'[3]Tasa de Falla'!HL48)</f>
        <v>XXXX</v>
      </c>
      <c r="K48" s="556" t="str">
        <f>IF('[3]Tasa de Falla'!HM48=0,"",'[3]Tasa de Falla'!HM48)</f>
        <v>XXXX</v>
      </c>
      <c r="L48" s="556" t="str">
        <f>IF('[3]Tasa de Falla'!HN48=0,"",'[3]Tasa de Falla'!HN48)</f>
        <v>XXXX</v>
      </c>
      <c r="M48" s="556" t="str">
        <f>IF('[3]Tasa de Falla'!HO48=0,"",'[3]Tasa de Falla'!HO48)</f>
        <v>XXXX</v>
      </c>
      <c r="N48" s="556" t="str">
        <f>IF('[3]Tasa de Falla'!HP48=0,"",'[3]Tasa de Falla'!HP48)</f>
        <v>XXXX</v>
      </c>
      <c r="O48" s="556" t="str">
        <f>IF('[3]Tasa de Falla'!HQ48=0,"",'[3]Tasa de Falla'!HQ48)</f>
        <v>XXXX</v>
      </c>
      <c r="P48" s="556" t="str">
        <f>IF('[3]Tasa de Falla'!HR48=0,"",'[3]Tasa de Falla'!HR48)</f>
        <v>XXXX</v>
      </c>
      <c r="Q48" s="556" t="str">
        <f>IF('[3]Tasa de Falla'!HS48=0,"",'[3]Tasa de Falla'!HS48)</f>
        <v>XXXX</v>
      </c>
      <c r="R48" s="556" t="str">
        <f>IF('[3]Tasa de Falla'!HT48=0,"",'[3]Tasa de Falla'!HT48)</f>
        <v>XXXX</v>
      </c>
      <c r="S48" s="559"/>
      <c r="T48" s="557"/>
    </row>
    <row r="49" spans="2:20" s="551" customFormat="1" ht="18">
      <c r="B49" s="552"/>
      <c r="C49" s="558">
        <f>'[3]Tasa de Falla'!C49</f>
        <v>33</v>
      </c>
      <c r="D49" s="558" t="str">
        <f>'[3]Tasa de Falla'!D49</f>
        <v>SAN MARTIN C. - LA RIOJA</v>
      </c>
      <c r="E49" s="558">
        <f>'[3]Tasa de Falla'!E49</f>
        <v>132</v>
      </c>
      <c r="F49" s="558">
        <f>'[3]Tasa de Falla'!F49</f>
        <v>105</v>
      </c>
      <c r="G49" s="556" t="str">
        <f>IF('[3]Tasa de Falla'!HI49=0,"",'[3]Tasa de Falla'!HI49)</f>
        <v>XXXX</v>
      </c>
      <c r="H49" s="556" t="str">
        <f>IF('[3]Tasa de Falla'!HJ49=0,"",'[3]Tasa de Falla'!HJ49)</f>
        <v>XXXX</v>
      </c>
      <c r="I49" s="556" t="str">
        <f>IF('[3]Tasa de Falla'!HK49=0,"",'[3]Tasa de Falla'!HK49)</f>
        <v>XXXX</v>
      </c>
      <c r="J49" s="556" t="str">
        <f>IF('[3]Tasa de Falla'!HL49=0,"",'[3]Tasa de Falla'!HL49)</f>
        <v>XXXX</v>
      </c>
      <c r="K49" s="556" t="str">
        <f>IF('[3]Tasa de Falla'!HM49=0,"",'[3]Tasa de Falla'!HM49)</f>
        <v>XXXX</v>
      </c>
      <c r="L49" s="556" t="str">
        <f>IF('[3]Tasa de Falla'!HN49=0,"",'[3]Tasa de Falla'!HN49)</f>
        <v>XXXX</v>
      </c>
      <c r="M49" s="556" t="str">
        <f>IF('[3]Tasa de Falla'!HO49=0,"",'[3]Tasa de Falla'!HO49)</f>
        <v>XXXX</v>
      </c>
      <c r="N49" s="556" t="str">
        <f>IF('[3]Tasa de Falla'!HP49=0,"",'[3]Tasa de Falla'!HP49)</f>
        <v>XXXX</v>
      </c>
      <c r="O49" s="556" t="str">
        <f>IF('[3]Tasa de Falla'!HQ49=0,"",'[3]Tasa de Falla'!HQ49)</f>
        <v>XXXX</v>
      </c>
      <c r="P49" s="556" t="str">
        <f>IF('[3]Tasa de Falla'!HR49=0,"",'[3]Tasa de Falla'!HR49)</f>
        <v>XXXX</v>
      </c>
      <c r="Q49" s="556" t="str">
        <f>IF('[3]Tasa de Falla'!HS49=0,"",'[3]Tasa de Falla'!HS49)</f>
        <v>XXXX</v>
      </c>
      <c r="R49" s="556" t="str">
        <f>IF('[3]Tasa de Falla'!HT49=0,"",'[3]Tasa de Falla'!HT49)</f>
        <v>XXXX</v>
      </c>
      <c r="S49" s="559"/>
      <c r="T49" s="557"/>
    </row>
    <row r="50" spans="2:20" s="551" customFormat="1" ht="19.5" customHeight="1">
      <c r="B50" s="552"/>
      <c r="C50" s="558">
        <f>'[3]Tasa de Falla'!C50</f>
        <v>34</v>
      </c>
      <c r="D50" s="558" t="str">
        <f>'[3]Tasa de Falla'!D50</f>
        <v>SAN PEDRO JUJUY - LIBERTADOR NOA.</v>
      </c>
      <c r="E50" s="558">
        <f>'[3]Tasa de Falla'!E50</f>
        <v>132</v>
      </c>
      <c r="F50" s="558">
        <f>'[3]Tasa de Falla'!F50</f>
        <v>49</v>
      </c>
      <c r="G50" s="556">
        <f>IF('[3]Tasa de Falla'!HI50=0,"",'[3]Tasa de Falla'!HI50)</f>
      </c>
      <c r="H50" s="556">
        <f>IF('[3]Tasa de Falla'!HJ50=0,"",'[3]Tasa de Falla'!HJ50)</f>
      </c>
      <c r="I50" s="556">
        <f>IF('[3]Tasa de Falla'!HK50=0,"",'[3]Tasa de Falla'!HK50)</f>
      </c>
      <c r="J50" s="556">
        <f>IF('[3]Tasa de Falla'!HL50=0,"",'[3]Tasa de Falla'!HL50)</f>
      </c>
      <c r="K50" s="556">
        <f>IF('[3]Tasa de Falla'!HM50=0,"",'[3]Tasa de Falla'!HM50)</f>
      </c>
      <c r="L50" s="556">
        <f>IF('[3]Tasa de Falla'!HN50=0,"",'[3]Tasa de Falla'!HN50)</f>
      </c>
      <c r="M50" s="556">
        <f>IF('[3]Tasa de Falla'!HO50=0,"",'[3]Tasa de Falla'!HO50)</f>
      </c>
      <c r="N50" s="556">
        <f>IF('[3]Tasa de Falla'!HP50=0,"",'[3]Tasa de Falla'!HP50)</f>
      </c>
      <c r="O50" s="556">
        <f>IF('[3]Tasa de Falla'!HQ50=0,"",'[3]Tasa de Falla'!HQ50)</f>
      </c>
      <c r="P50" s="556">
        <f>IF('[3]Tasa de Falla'!HR50=0,"",'[3]Tasa de Falla'!HR50)</f>
        <v>1</v>
      </c>
      <c r="Q50" s="556">
        <f>IF('[3]Tasa de Falla'!HS50=0,"",'[3]Tasa de Falla'!HS50)</f>
      </c>
      <c r="R50" s="556">
        <f>IF('[3]Tasa de Falla'!HT50=0,"",'[3]Tasa de Falla'!HT50)</f>
        <v>1</v>
      </c>
      <c r="S50" s="559"/>
      <c r="T50" s="557"/>
    </row>
    <row r="51" spans="2:20" s="551" customFormat="1" ht="19.5" customHeight="1">
      <c r="B51" s="552"/>
      <c r="C51" s="558">
        <f>'[3]Tasa de Falla'!C51</f>
        <v>35</v>
      </c>
      <c r="D51" s="558" t="str">
        <f>'[3]Tasa de Falla'!D51</f>
        <v>TUCUMAN NORTE - EL BRACHO</v>
      </c>
      <c r="E51" s="558">
        <f>'[3]Tasa de Falla'!E51</f>
        <v>132</v>
      </c>
      <c r="F51" s="558">
        <f>'[3]Tasa de Falla'!F51</f>
        <v>31.5</v>
      </c>
      <c r="G51" s="556">
        <f>IF('[3]Tasa de Falla'!HI51=0,"",'[3]Tasa de Falla'!HI51)</f>
      </c>
      <c r="H51" s="556">
        <f>IF('[3]Tasa de Falla'!HJ51=0,"",'[3]Tasa de Falla'!HJ51)</f>
      </c>
      <c r="I51" s="556">
        <f>IF('[3]Tasa de Falla'!HK51=0,"",'[3]Tasa de Falla'!HK51)</f>
      </c>
      <c r="J51" s="556">
        <f>IF('[3]Tasa de Falla'!HL51=0,"",'[3]Tasa de Falla'!HL51)</f>
      </c>
      <c r="K51" s="556">
        <f>IF('[3]Tasa de Falla'!HM51=0,"",'[3]Tasa de Falla'!HM51)</f>
      </c>
      <c r="L51" s="556">
        <f>IF('[3]Tasa de Falla'!HN51=0,"",'[3]Tasa de Falla'!HN51)</f>
      </c>
      <c r="M51" s="556">
        <f>IF('[3]Tasa de Falla'!HO51=0,"",'[3]Tasa de Falla'!HO51)</f>
      </c>
      <c r="N51" s="556">
        <f>IF('[3]Tasa de Falla'!HP51=0,"",'[3]Tasa de Falla'!HP51)</f>
      </c>
      <c r="O51" s="556">
        <f>IF('[3]Tasa de Falla'!HQ51=0,"",'[3]Tasa de Falla'!HQ51)</f>
      </c>
      <c r="P51" s="556">
        <f>IF('[3]Tasa de Falla'!HR51=0,"",'[3]Tasa de Falla'!HR51)</f>
      </c>
      <c r="Q51" s="556">
        <f>IF('[3]Tasa de Falla'!HS51=0,"",'[3]Tasa de Falla'!HS51)</f>
      </c>
      <c r="R51" s="556">
        <f>IF('[3]Tasa de Falla'!HT51=0,"",'[3]Tasa de Falla'!HT51)</f>
      </c>
      <c r="S51" s="559"/>
      <c r="T51" s="557"/>
    </row>
    <row r="52" spans="2:20" s="551" customFormat="1" ht="19.5" customHeight="1">
      <c r="B52" s="552"/>
      <c r="C52" s="558">
        <f>'[3]Tasa de Falla'!C52</f>
        <v>36</v>
      </c>
      <c r="D52" s="558" t="str">
        <f>'[3]Tasa de Falla'!D52</f>
        <v>C.H. EL CADILLAL - TUCUMAN NORTE</v>
      </c>
      <c r="E52" s="558">
        <f>'[3]Tasa de Falla'!E52</f>
        <v>132</v>
      </c>
      <c r="F52" s="558">
        <f>'[3]Tasa de Falla'!F52</f>
        <v>21.78</v>
      </c>
      <c r="G52" s="556">
        <f>IF('[3]Tasa de Falla'!HI52=0,"",'[3]Tasa de Falla'!HI52)</f>
      </c>
      <c r="H52" s="556">
        <f>IF('[3]Tasa de Falla'!HJ52=0,"",'[3]Tasa de Falla'!HJ52)</f>
        <v>1</v>
      </c>
      <c r="I52" s="556">
        <f>IF('[3]Tasa de Falla'!HK52=0,"",'[3]Tasa de Falla'!HK52)</f>
      </c>
      <c r="J52" s="556">
        <f>IF('[3]Tasa de Falla'!HL52=0,"",'[3]Tasa de Falla'!HL52)</f>
      </c>
      <c r="K52" s="556">
        <f>IF('[3]Tasa de Falla'!HM52=0,"",'[3]Tasa de Falla'!HM52)</f>
      </c>
      <c r="L52" s="556">
        <f>IF('[3]Tasa de Falla'!HN52=0,"",'[3]Tasa de Falla'!HN52)</f>
      </c>
      <c r="M52" s="556">
        <f>IF('[3]Tasa de Falla'!HO52=0,"",'[3]Tasa de Falla'!HO52)</f>
      </c>
      <c r="N52" s="556">
        <f>IF('[3]Tasa de Falla'!HP52=0,"",'[3]Tasa de Falla'!HP52)</f>
      </c>
      <c r="O52" s="556">
        <f>IF('[3]Tasa de Falla'!HQ52=0,"",'[3]Tasa de Falla'!HQ52)</f>
      </c>
      <c r="P52" s="556">
        <f>IF('[3]Tasa de Falla'!HR52=0,"",'[3]Tasa de Falla'!HR52)</f>
      </c>
      <c r="Q52" s="556">
        <f>IF('[3]Tasa de Falla'!HS52=0,"",'[3]Tasa de Falla'!HS52)</f>
      </c>
      <c r="R52" s="556">
        <f>IF('[3]Tasa de Falla'!HT52=0,"",'[3]Tasa de Falla'!HT52)</f>
      </c>
      <c r="S52" s="559"/>
      <c r="T52" s="557"/>
    </row>
    <row r="53" spans="2:20" s="551" customFormat="1" ht="19.5" customHeight="1">
      <c r="B53" s="552"/>
      <c r="C53" s="558">
        <f>'[3]Tasa de Falla'!C53</f>
        <v>37</v>
      </c>
      <c r="D53" s="558" t="str">
        <f>'[3]Tasa de Falla'!D53</f>
        <v>TUCUMAN NORTE - CABRA CORRAL</v>
      </c>
      <c r="E53" s="558">
        <f>'[3]Tasa de Falla'!E53</f>
        <v>132</v>
      </c>
      <c r="F53" s="558">
        <f>'[3]Tasa de Falla'!F53</f>
        <v>190</v>
      </c>
      <c r="G53" s="556" t="str">
        <f>IF('[3]Tasa de Falla'!HI53=0,"",'[3]Tasa de Falla'!HI53)</f>
        <v>XXXX</v>
      </c>
      <c r="H53" s="556" t="str">
        <f>IF('[3]Tasa de Falla'!HJ53=0,"",'[3]Tasa de Falla'!HJ53)</f>
        <v>XXXX</v>
      </c>
      <c r="I53" s="556" t="str">
        <f>IF('[3]Tasa de Falla'!HK53=0,"",'[3]Tasa de Falla'!HK53)</f>
        <v>XXXX</v>
      </c>
      <c r="J53" s="556" t="str">
        <f>IF('[3]Tasa de Falla'!HL53=0,"",'[3]Tasa de Falla'!HL53)</f>
        <v>XXXX</v>
      </c>
      <c r="K53" s="556" t="str">
        <f>IF('[3]Tasa de Falla'!HM53=0,"",'[3]Tasa de Falla'!HM53)</f>
        <v>XXXX</v>
      </c>
      <c r="L53" s="556" t="str">
        <f>IF('[3]Tasa de Falla'!HN53=0,"",'[3]Tasa de Falla'!HN53)</f>
        <v>XXXX</v>
      </c>
      <c r="M53" s="556" t="str">
        <f>IF('[3]Tasa de Falla'!HO53=0,"",'[3]Tasa de Falla'!HO53)</f>
        <v>XXXX</v>
      </c>
      <c r="N53" s="556" t="str">
        <f>IF('[3]Tasa de Falla'!HP53=0,"",'[3]Tasa de Falla'!HP53)</f>
        <v>XXXX</v>
      </c>
      <c r="O53" s="556" t="str">
        <f>IF('[3]Tasa de Falla'!HQ53=0,"",'[3]Tasa de Falla'!HQ53)</f>
        <v>XXXX</v>
      </c>
      <c r="P53" s="556" t="str">
        <f>IF('[3]Tasa de Falla'!HR53=0,"",'[3]Tasa de Falla'!HR53)</f>
        <v>XXXX</v>
      </c>
      <c r="Q53" s="556" t="str">
        <f>IF('[3]Tasa de Falla'!HS53=0,"",'[3]Tasa de Falla'!HS53)</f>
        <v>XXXX</v>
      </c>
      <c r="R53" s="556" t="str">
        <f>IF('[3]Tasa de Falla'!HT53=0,"",'[3]Tasa de Falla'!HT53)</f>
        <v>XXXX</v>
      </c>
      <c r="S53" s="559"/>
      <c r="T53" s="557"/>
    </row>
    <row r="54" spans="2:20" s="551" customFormat="1" ht="19.5" customHeight="1">
      <c r="B54" s="552"/>
      <c r="C54" s="558">
        <f>'[3]Tasa de Falla'!C54</f>
        <v>38</v>
      </c>
      <c r="D54" s="558" t="str">
        <f>'[3]Tasa de Falla'!D54</f>
        <v>METAN - TUCUMAN NORTE</v>
      </c>
      <c r="E54" s="558">
        <f>'[3]Tasa de Falla'!E54</f>
        <v>132</v>
      </c>
      <c r="F54" s="558">
        <f>'[3]Tasa de Falla'!F54</f>
        <v>155.6</v>
      </c>
      <c r="G54" s="556">
        <f>IF('[3]Tasa de Falla'!HI54=0,"",'[3]Tasa de Falla'!HI54)</f>
      </c>
      <c r="H54" s="556">
        <f>IF('[3]Tasa de Falla'!HJ54=0,"",'[3]Tasa de Falla'!HJ54)</f>
      </c>
      <c r="I54" s="556">
        <f>IF('[3]Tasa de Falla'!HK54=0,"",'[3]Tasa de Falla'!HK54)</f>
        <v>1</v>
      </c>
      <c r="J54" s="556">
        <f>IF('[3]Tasa de Falla'!HL54=0,"",'[3]Tasa de Falla'!HL54)</f>
        <v>1</v>
      </c>
      <c r="K54" s="556">
        <f>IF('[3]Tasa de Falla'!HM54=0,"",'[3]Tasa de Falla'!HM54)</f>
        <v>1</v>
      </c>
      <c r="L54" s="556">
        <f>IF('[3]Tasa de Falla'!HN54=0,"",'[3]Tasa de Falla'!HN54)</f>
      </c>
      <c r="M54" s="556">
        <f>IF('[3]Tasa de Falla'!HO54=0,"",'[3]Tasa de Falla'!HO54)</f>
        <v>1</v>
      </c>
      <c r="N54" s="556">
        <f>IF('[3]Tasa de Falla'!HP54=0,"",'[3]Tasa de Falla'!HP54)</f>
      </c>
      <c r="O54" s="556">
        <f>IF('[3]Tasa de Falla'!HQ54=0,"",'[3]Tasa de Falla'!HQ54)</f>
      </c>
      <c r="P54" s="556">
        <f>IF('[3]Tasa de Falla'!HR54=0,"",'[3]Tasa de Falla'!HR54)</f>
        <v>1</v>
      </c>
      <c r="Q54" s="556">
        <f>IF('[3]Tasa de Falla'!HS54=0,"",'[3]Tasa de Falla'!HS54)</f>
      </c>
      <c r="R54" s="556">
        <f>IF('[3]Tasa de Falla'!HT54=0,"",'[3]Tasa de Falla'!HT54)</f>
      </c>
      <c r="S54" s="559"/>
      <c r="T54" s="557"/>
    </row>
    <row r="55" spans="2:20" s="551" customFormat="1" ht="19.5" customHeight="1">
      <c r="B55" s="552"/>
      <c r="C55" s="558">
        <f>'[3]Tasa de Falla'!C55</f>
        <v>39</v>
      </c>
      <c r="D55" s="558" t="str">
        <f>'[3]Tasa de Falla'!D55</f>
        <v>SARMIENTO - TUCUMAN NORTE (O.F.)</v>
      </c>
      <c r="E55" s="558">
        <f>'[3]Tasa de Falla'!E55</f>
        <v>132</v>
      </c>
      <c r="F55" s="558">
        <f>'[3]Tasa de Falla'!F55</f>
        <v>3.3</v>
      </c>
      <c r="G55" s="556">
        <f>IF('[3]Tasa de Falla'!HI55=0,"",'[3]Tasa de Falla'!HI55)</f>
      </c>
      <c r="H55" s="556">
        <f>IF('[3]Tasa de Falla'!HJ55=0,"",'[3]Tasa de Falla'!HJ55)</f>
      </c>
      <c r="I55" s="556">
        <f>IF('[3]Tasa de Falla'!HK55=0,"",'[3]Tasa de Falla'!HK55)</f>
      </c>
      <c r="J55" s="556">
        <f>IF('[3]Tasa de Falla'!HL55=0,"",'[3]Tasa de Falla'!HL55)</f>
      </c>
      <c r="K55" s="556">
        <f>IF('[3]Tasa de Falla'!HM55=0,"",'[3]Tasa de Falla'!HM55)</f>
      </c>
      <c r="L55" s="556">
        <f>IF('[3]Tasa de Falla'!HN55=0,"",'[3]Tasa de Falla'!HN55)</f>
      </c>
      <c r="M55" s="556">
        <f>IF('[3]Tasa de Falla'!HO55=0,"",'[3]Tasa de Falla'!HO55)</f>
      </c>
      <c r="N55" s="556">
        <f>IF('[3]Tasa de Falla'!HP55=0,"",'[3]Tasa de Falla'!HP55)</f>
      </c>
      <c r="O55" s="556">
        <f>IF('[3]Tasa de Falla'!HQ55=0,"",'[3]Tasa de Falla'!HQ55)</f>
      </c>
      <c r="P55" s="556">
        <f>IF('[3]Tasa de Falla'!HR55=0,"",'[3]Tasa de Falla'!HR55)</f>
      </c>
      <c r="Q55" s="556">
        <f>IF('[3]Tasa de Falla'!HS55=0,"",'[3]Tasa de Falla'!HS55)</f>
      </c>
      <c r="R55" s="556">
        <f>IF('[3]Tasa de Falla'!HT55=0,"",'[3]Tasa de Falla'!HT55)</f>
      </c>
      <c r="S55" s="559"/>
      <c r="T55" s="557"/>
    </row>
    <row r="56" spans="2:20" s="551" customFormat="1" ht="19.5" customHeight="1">
      <c r="B56" s="552"/>
      <c r="C56" s="558">
        <f>'[3]Tasa de Falla'!C56</f>
        <v>40</v>
      </c>
      <c r="D56" s="558" t="str">
        <f>'[3]Tasa de Falla'!D56</f>
        <v>TUCUMAN OESTE - TUCUMAN NORTE</v>
      </c>
      <c r="E56" s="558">
        <f>'[3]Tasa de Falla'!E56</f>
        <v>132</v>
      </c>
      <c r="F56" s="558">
        <f>'[3]Tasa de Falla'!F56</f>
        <v>7</v>
      </c>
      <c r="G56" s="556">
        <f>IF('[3]Tasa de Falla'!HI56=0,"",'[3]Tasa de Falla'!HI56)</f>
      </c>
      <c r="H56" s="556">
        <f>IF('[3]Tasa de Falla'!HJ56=0,"",'[3]Tasa de Falla'!HJ56)</f>
      </c>
      <c r="I56" s="556">
        <f>IF('[3]Tasa de Falla'!HK56=0,"",'[3]Tasa de Falla'!HK56)</f>
      </c>
      <c r="J56" s="556">
        <f>IF('[3]Tasa de Falla'!HL56=0,"",'[3]Tasa de Falla'!HL56)</f>
      </c>
      <c r="K56" s="556">
        <f>IF('[3]Tasa de Falla'!HM56=0,"",'[3]Tasa de Falla'!HM56)</f>
      </c>
      <c r="L56" s="556">
        <f>IF('[3]Tasa de Falla'!HN56=0,"",'[3]Tasa de Falla'!HN56)</f>
      </c>
      <c r="M56" s="556">
        <f>IF('[3]Tasa de Falla'!HO56=0,"",'[3]Tasa de Falla'!HO56)</f>
      </c>
      <c r="N56" s="556">
        <f>IF('[3]Tasa de Falla'!HP56=0,"",'[3]Tasa de Falla'!HP56)</f>
      </c>
      <c r="O56" s="556">
        <f>IF('[3]Tasa de Falla'!HQ56=0,"",'[3]Tasa de Falla'!HQ56)</f>
      </c>
      <c r="P56" s="556">
        <f>IF('[3]Tasa de Falla'!HR56=0,"",'[3]Tasa de Falla'!HR56)</f>
      </c>
      <c r="Q56" s="556">
        <f>IF('[3]Tasa de Falla'!HS56=0,"",'[3]Tasa de Falla'!HS56)</f>
      </c>
      <c r="R56" s="556">
        <f>IF('[3]Tasa de Falla'!HT56=0,"",'[3]Tasa de Falla'!HT56)</f>
      </c>
      <c r="S56" s="559"/>
      <c r="T56" s="557"/>
    </row>
    <row r="57" spans="2:20" s="551" customFormat="1" ht="19.5" customHeight="1">
      <c r="B57" s="552"/>
      <c r="C57" s="558">
        <f>'[3]Tasa de Falla'!C57</f>
        <v>41</v>
      </c>
      <c r="D57" s="558" t="str">
        <f>'[3]Tasa de Falla'!D57</f>
        <v>AGUILARES - VILLA QUINTEROS</v>
      </c>
      <c r="E57" s="558">
        <f>'[3]Tasa de Falla'!E57</f>
        <v>132</v>
      </c>
      <c r="F57" s="558">
        <f>'[3]Tasa de Falla'!F57</f>
        <v>21</v>
      </c>
      <c r="G57" s="556">
        <f>IF('[3]Tasa de Falla'!HI57=0,"",'[3]Tasa de Falla'!HI57)</f>
      </c>
      <c r="H57" s="556">
        <f>IF('[3]Tasa de Falla'!HJ57=0,"",'[3]Tasa de Falla'!HJ57)</f>
      </c>
      <c r="I57" s="556">
        <f>IF('[3]Tasa de Falla'!HK57=0,"",'[3]Tasa de Falla'!HK57)</f>
      </c>
      <c r="J57" s="556">
        <f>IF('[3]Tasa de Falla'!HL57=0,"",'[3]Tasa de Falla'!HL57)</f>
      </c>
      <c r="K57" s="556">
        <f>IF('[3]Tasa de Falla'!HM57=0,"",'[3]Tasa de Falla'!HM57)</f>
      </c>
      <c r="L57" s="556">
        <f>IF('[3]Tasa de Falla'!HN57=0,"",'[3]Tasa de Falla'!HN57)</f>
      </c>
      <c r="M57" s="556">
        <f>IF('[3]Tasa de Falla'!HO57=0,"",'[3]Tasa de Falla'!HO57)</f>
      </c>
      <c r="N57" s="556">
        <f>IF('[3]Tasa de Falla'!HP57=0,"",'[3]Tasa de Falla'!HP57)</f>
      </c>
      <c r="O57" s="556">
        <f>IF('[3]Tasa de Falla'!HQ57=0,"",'[3]Tasa de Falla'!HQ57)</f>
      </c>
      <c r="P57" s="556">
        <f>IF('[3]Tasa de Falla'!HR57=0,"",'[3]Tasa de Falla'!HR57)</f>
      </c>
      <c r="Q57" s="556">
        <f>IF('[3]Tasa de Falla'!HS57=0,"",'[3]Tasa de Falla'!HS57)</f>
      </c>
      <c r="R57" s="556">
        <f>IF('[3]Tasa de Falla'!HT57=0,"",'[3]Tasa de Falla'!HT57)</f>
      </c>
      <c r="S57" s="559"/>
      <c r="T57" s="557"/>
    </row>
    <row r="58" spans="2:20" s="551" customFormat="1" ht="19.5" customHeight="1">
      <c r="B58" s="552"/>
      <c r="C58" s="558">
        <f>'[3]Tasa de Falla'!C58</f>
        <v>42</v>
      </c>
      <c r="D58" s="558" t="str">
        <f>'[3]Tasa de Falla'!D58</f>
        <v>C.H. PUEBLO VIEJO - VILLA QUINTEROS </v>
      </c>
      <c r="E58" s="558">
        <f>'[3]Tasa de Falla'!E58</f>
        <v>132</v>
      </c>
      <c r="F58" s="558">
        <f>'[3]Tasa de Falla'!F58</f>
        <v>24.5</v>
      </c>
      <c r="G58" s="556">
        <f>IF('[3]Tasa de Falla'!HI58=0,"",'[3]Tasa de Falla'!HI58)</f>
      </c>
      <c r="H58" s="556">
        <f>IF('[3]Tasa de Falla'!HJ58=0,"",'[3]Tasa de Falla'!HJ58)</f>
      </c>
      <c r="I58" s="556">
        <f>IF('[3]Tasa de Falla'!HK58=0,"",'[3]Tasa de Falla'!HK58)</f>
      </c>
      <c r="J58" s="556">
        <f>IF('[3]Tasa de Falla'!HL58=0,"",'[3]Tasa de Falla'!HL58)</f>
      </c>
      <c r="K58" s="556">
        <f>IF('[3]Tasa de Falla'!HM58=0,"",'[3]Tasa de Falla'!HM58)</f>
      </c>
      <c r="L58" s="556">
        <f>IF('[3]Tasa de Falla'!HN58=0,"",'[3]Tasa de Falla'!HN58)</f>
        <v>1</v>
      </c>
      <c r="M58" s="556">
        <f>IF('[3]Tasa de Falla'!HO58=0,"",'[3]Tasa de Falla'!HO58)</f>
      </c>
      <c r="N58" s="556">
        <f>IF('[3]Tasa de Falla'!HP58=0,"",'[3]Tasa de Falla'!HP58)</f>
      </c>
      <c r="O58" s="556">
        <f>IF('[3]Tasa de Falla'!HQ58=0,"",'[3]Tasa de Falla'!HQ58)</f>
      </c>
      <c r="P58" s="556">
        <f>IF('[3]Tasa de Falla'!HR58=0,"",'[3]Tasa de Falla'!HR58)</f>
      </c>
      <c r="Q58" s="556">
        <f>IF('[3]Tasa de Falla'!HS58=0,"",'[3]Tasa de Falla'!HS58)</f>
      </c>
      <c r="R58" s="556">
        <f>IF('[3]Tasa de Falla'!HT58=0,"",'[3]Tasa de Falla'!HT58)</f>
      </c>
      <c r="S58" s="559"/>
      <c r="T58" s="557"/>
    </row>
    <row r="59" spans="2:20" s="551" customFormat="1" ht="19.5" customHeight="1">
      <c r="B59" s="552"/>
      <c r="C59" s="558">
        <f>'[3]Tasa de Falla'!C59</f>
        <v>43</v>
      </c>
      <c r="D59" s="558" t="str">
        <f>'[3]Tasa de Falla'!D59</f>
        <v>C.H. RIO HONDO - VILLA QUINTEROS</v>
      </c>
      <c r="E59" s="558">
        <f>'[3]Tasa de Falla'!E59</f>
        <v>132</v>
      </c>
      <c r="F59" s="558">
        <f>'[3]Tasa de Falla'!F59</f>
        <v>75.4</v>
      </c>
      <c r="G59" s="556">
        <f>IF('[3]Tasa de Falla'!HI59=0,"",'[3]Tasa de Falla'!HI59)</f>
      </c>
      <c r="H59" s="556">
        <f>IF('[3]Tasa de Falla'!HJ59=0,"",'[3]Tasa de Falla'!HJ59)</f>
      </c>
      <c r="I59" s="556">
        <f>IF('[3]Tasa de Falla'!HK59=0,"",'[3]Tasa de Falla'!HK59)</f>
      </c>
      <c r="J59" s="556">
        <f>IF('[3]Tasa de Falla'!HL59=0,"",'[3]Tasa de Falla'!HL59)</f>
        <v>1</v>
      </c>
      <c r="K59" s="556">
        <f>IF('[3]Tasa de Falla'!HM59=0,"",'[3]Tasa de Falla'!HM59)</f>
      </c>
      <c r="L59" s="556">
        <f>IF('[3]Tasa de Falla'!HN59=0,"",'[3]Tasa de Falla'!HN59)</f>
      </c>
      <c r="M59" s="556">
        <f>IF('[3]Tasa de Falla'!HO59=0,"",'[3]Tasa de Falla'!HO59)</f>
      </c>
      <c r="N59" s="556">
        <f>IF('[3]Tasa de Falla'!HP59=0,"",'[3]Tasa de Falla'!HP59)</f>
      </c>
      <c r="O59" s="556">
        <f>IF('[3]Tasa de Falla'!HQ59=0,"",'[3]Tasa de Falla'!HQ59)</f>
      </c>
      <c r="P59" s="556">
        <f>IF('[3]Tasa de Falla'!HR59=0,"",'[3]Tasa de Falla'!HR59)</f>
        <v>1</v>
      </c>
      <c r="Q59" s="556">
        <f>IF('[3]Tasa de Falla'!HS59=0,"",'[3]Tasa de Falla'!HS59)</f>
      </c>
      <c r="R59" s="556">
        <f>IF('[3]Tasa de Falla'!HT59=0,"",'[3]Tasa de Falla'!HT59)</f>
        <v>1</v>
      </c>
      <c r="S59" s="559"/>
      <c r="T59" s="557"/>
    </row>
    <row r="60" spans="2:20" s="551" customFormat="1" ht="19.5" customHeight="1">
      <c r="B60" s="552"/>
      <c r="C60" s="558">
        <f>'[3]Tasa de Falla'!C60</f>
        <v>44</v>
      </c>
      <c r="D60" s="558" t="str">
        <f>'[3]Tasa de Falla'!D60</f>
        <v>C.H. RIO HONDO - SANTIAGO CENTRO</v>
      </c>
      <c r="E60" s="558">
        <f>'[3]Tasa de Falla'!E60</f>
        <v>132</v>
      </c>
      <c r="F60" s="558">
        <f>'[3]Tasa de Falla'!F60</f>
        <v>79</v>
      </c>
      <c r="G60" s="556" t="str">
        <f>IF('[3]Tasa de Falla'!HI60=0,"",'[3]Tasa de Falla'!HI60)</f>
        <v>XXXX</v>
      </c>
      <c r="H60" s="556" t="str">
        <f>IF('[3]Tasa de Falla'!HJ60=0,"",'[3]Tasa de Falla'!HJ60)</f>
        <v>XXXX</v>
      </c>
      <c r="I60" s="556" t="str">
        <f>IF('[3]Tasa de Falla'!HK60=0,"",'[3]Tasa de Falla'!HK60)</f>
        <v>XXXX</v>
      </c>
      <c r="J60" s="556" t="str">
        <f>IF('[3]Tasa de Falla'!HL60=0,"",'[3]Tasa de Falla'!HL60)</f>
        <v>XXXX</v>
      </c>
      <c r="K60" s="556" t="str">
        <f>IF('[3]Tasa de Falla'!HM60=0,"",'[3]Tasa de Falla'!HM60)</f>
        <v>XXXX</v>
      </c>
      <c r="L60" s="556" t="str">
        <f>IF('[3]Tasa de Falla'!HN60=0,"",'[3]Tasa de Falla'!HN60)</f>
        <v>XXXX</v>
      </c>
      <c r="M60" s="556" t="str">
        <f>IF('[3]Tasa de Falla'!HO60=0,"",'[3]Tasa de Falla'!HO60)</f>
        <v>XXXX</v>
      </c>
      <c r="N60" s="556" t="str">
        <f>IF('[3]Tasa de Falla'!HP60=0,"",'[3]Tasa de Falla'!HP60)</f>
        <v>XXXX</v>
      </c>
      <c r="O60" s="556" t="str">
        <f>IF('[3]Tasa de Falla'!HQ60=0,"",'[3]Tasa de Falla'!HQ60)</f>
        <v>XXXX</v>
      </c>
      <c r="P60" s="556" t="str">
        <f>IF('[3]Tasa de Falla'!HR60=0,"",'[3]Tasa de Falla'!HR60)</f>
        <v>XXXX</v>
      </c>
      <c r="Q60" s="556" t="str">
        <f>IF('[3]Tasa de Falla'!HS60=0,"",'[3]Tasa de Falla'!HS60)</f>
        <v>XXXX</v>
      </c>
      <c r="R60" s="556" t="str">
        <f>IF('[3]Tasa de Falla'!HT60=0,"",'[3]Tasa de Falla'!HT60)</f>
        <v>XXXX</v>
      </c>
      <c r="S60" s="559"/>
      <c r="T60" s="557"/>
    </row>
    <row r="61" spans="2:20" s="551" customFormat="1" ht="19.5" customHeight="1">
      <c r="B61" s="552"/>
      <c r="C61" s="558">
        <f>'[3]Tasa de Falla'!C61</f>
        <v>45</v>
      </c>
      <c r="D61" s="558" t="str">
        <f>'[3]Tasa de Falla'!D61</f>
        <v>C.H. RIO HONDO - EL BRACHO</v>
      </c>
      <c r="E61" s="558">
        <f>'[3]Tasa de Falla'!E61</f>
        <v>132</v>
      </c>
      <c r="F61" s="558">
        <f>'[3]Tasa de Falla'!F61</f>
        <v>80.66</v>
      </c>
      <c r="G61" s="556">
        <f>IF('[3]Tasa de Falla'!HI61=0,"",'[3]Tasa de Falla'!HI61)</f>
      </c>
      <c r="H61" s="556">
        <f>IF('[3]Tasa de Falla'!HJ61=0,"",'[3]Tasa de Falla'!HJ61)</f>
        <v>1</v>
      </c>
      <c r="I61" s="556">
        <f>IF('[3]Tasa de Falla'!HK61=0,"",'[3]Tasa de Falla'!HK61)</f>
      </c>
      <c r="J61" s="556">
        <f>IF('[3]Tasa de Falla'!HL61=0,"",'[3]Tasa de Falla'!HL61)</f>
      </c>
      <c r="K61" s="556">
        <f>IF('[3]Tasa de Falla'!HM61=0,"",'[3]Tasa de Falla'!HM61)</f>
      </c>
      <c r="L61" s="556">
        <f>IF('[3]Tasa de Falla'!HN61=0,"",'[3]Tasa de Falla'!HN61)</f>
      </c>
      <c r="M61" s="556">
        <f>IF('[3]Tasa de Falla'!HO61=0,"",'[3]Tasa de Falla'!HO61)</f>
      </c>
      <c r="N61" s="556">
        <f>IF('[3]Tasa de Falla'!HP61=0,"",'[3]Tasa de Falla'!HP61)</f>
        <v>2</v>
      </c>
      <c r="O61" s="556">
        <f>IF('[3]Tasa de Falla'!HQ61=0,"",'[3]Tasa de Falla'!HQ61)</f>
      </c>
      <c r="P61" s="556">
        <f>IF('[3]Tasa de Falla'!HR61=0,"",'[3]Tasa de Falla'!HR61)</f>
        <v>3</v>
      </c>
      <c r="Q61" s="556">
        <f>IF('[3]Tasa de Falla'!HS61=0,"",'[3]Tasa de Falla'!HS61)</f>
        <v>1</v>
      </c>
      <c r="R61" s="556">
        <f>IF('[3]Tasa de Falla'!HT61=0,"",'[3]Tasa de Falla'!HT61)</f>
      </c>
      <c r="S61" s="559"/>
      <c r="T61" s="557"/>
    </row>
    <row r="62" spans="2:20" s="551" customFormat="1" ht="19.5" customHeight="1">
      <c r="B62" s="552"/>
      <c r="C62" s="558">
        <f>'[3]Tasa de Falla'!C62</f>
        <v>46</v>
      </c>
      <c r="D62" s="558" t="str">
        <f>'[3]Tasa de Falla'!D62</f>
        <v>SALTA SUR - SALTA NORTE</v>
      </c>
      <c r="E62" s="558">
        <f>'[3]Tasa de Falla'!E62</f>
        <v>132</v>
      </c>
      <c r="F62" s="558">
        <f>'[3]Tasa de Falla'!F62</f>
        <v>10</v>
      </c>
      <c r="G62" s="556">
        <f>IF('[3]Tasa de Falla'!HI62=0,"",'[3]Tasa de Falla'!HI62)</f>
      </c>
      <c r="H62" s="556">
        <f>IF('[3]Tasa de Falla'!HJ62=0,"",'[3]Tasa de Falla'!HJ62)</f>
      </c>
      <c r="I62" s="556">
        <f>IF('[3]Tasa de Falla'!HK62=0,"",'[3]Tasa de Falla'!HK62)</f>
      </c>
      <c r="J62" s="556">
        <f>IF('[3]Tasa de Falla'!HL62=0,"",'[3]Tasa de Falla'!HL62)</f>
      </c>
      <c r="K62" s="556">
        <f>IF('[3]Tasa de Falla'!HM62=0,"",'[3]Tasa de Falla'!HM62)</f>
      </c>
      <c r="L62" s="556">
        <f>IF('[3]Tasa de Falla'!HN62=0,"",'[3]Tasa de Falla'!HN62)</f>
      </c>
      <c r="M62" s="556">
        <f>IF('[3]Tasa de Falla'!HO62=0,"",'[3]Tasa de Falla'!HO62)</f>
      </c>
      <c r="N62" s="556">
        <f>IF('[3]Tasa de Falla'!HP62=0,"",'[3]Tasa de Falla'!HP62)</f>
        <v>1</v>
      </c>
      <c r="O62" s="556">
        <f>IF('[3]Tasa de Falla'!HQ62=0,"",'[3]Tasa de Falla'!HQ62)</f>
      </c>
      <c r="P62" s="556">
        <f>IF('[3]Tasa de Falla'!HR62=0,"",'[3]Tasa de Falla'!HR62)</f>
      </c>
      <c r="Q62" s="556">
        <f>IF('[3]Tasa de Falla'!HS62=0,"",'[3]Tasa de Falla'!HS62)</f>
      </c>
      <c r="R62" s="556">
        <f>IF('[3]Tasa de Falla'!HT62=0,"",'[3]Tasa de Falla'!HT62)</f>
      </c>
      <c r="S62" s="559"/>
      <c r="T62" s="557"/>
    </row>
    <row r="63" spans="2:20" s="551" customFormat="1" ht="19.5" customHeight="1">
      <c r="B63" s="552"/>
      <c r="C63" s="558">
        <f>'[3]Tasa de Falla'!C63</f>
        <v>47</v>
      </c>
      <c r="D63" s="558" t="str">
        <f>'[3]Tasa de Falla'!D63</f>
        <v>PALPALA - JUJUY ESTE</v>
      </c>
      <c r="E63" s="558">
        <f>'[3]Tasa de Falla'!E63</f>
        <v>132</v>
      </c>
      <c r="F63" s="558">
        <f>'[3]Tasa de Falla'!F63</f>
        <v>12.25</v>
      </c>
      <c r="G63" s="556">
        <f>IF('[3]Tasa de Falla'!HI63=0,"",'[3]Tasa de Falla'!HI63)</f>
      </c>
      <c r="H63" s="556">
        <f>IF('[3]Tasa de Falla'!HJ63=0,"",'[3]Tasa de Falla'!HJ63)</f>
        <v>2</v>
      </c>
      <c r="I63" s="556">
        <f>IF('[3]Tasa de Falla'!HK63=0,"",'[3]Tasa de Falla'!HK63)</f>
      </c>
      <c r="J63" s="556">
        <f>IF('[3]Tasa de Falla'!HL63=0,"",'[3]Tasa de Falla'!HL63)</f>
      </c>
      <c r="K63" s="556">
        <f>IF('[3]Tasa de Falla'!HM63=0,"",'[3]Tasa de Falla'!HM63)</f>
        <v>1</v>
      </c>
      <c r="L63" s="556">
        <f>IF('[3]Tasa de Falla'!HN63=0,"",'[3]Tasa de Falla'!HN63)</f>
      </c>
      <c r="M63" s="556">
        <f>IF('[3]Tasa de Falla'!HO63=0,"",'[3]Tasa de Falla'!HO63)</f>
      </c>
      <c r="N63" s="556">
        <f>IF('[3]Tasa de Falla'!HP63=0,"",'[3]Tasa de Falla'!HP63)</f>
      </c>
      <c r="O63" s="556">
        <f>IF('[3]Tasa de Falla'!HQ63=0,"",'[3]Tasa de Falla'!HQ63)</f>
      </c>
      <c r="P63" s="556">
        <f>IF('[3]Tasa de Falla'!HR63=0,"",'[3]Tasa de Falla'!HR63)</f>
      </c>
      <c r="Q63" s="556">
        <f>IF('[3]Tasa de Falla'!HS63=0,"",'[3]Tasa de Falla'!HS63)</f>
      </c>
      <c r="R63" s="556">
        <f>IF('[3]Tasa de Falla'!HT63=0,"",'[3]Tasa de Falla'!HT63)</f>
      </c>
      <c r="S63" s="559"/>
      <c r="T63" s="557"/>
    </row>
    <row r="64" spans="2:20" s="551" customFormat="1" ht="19.5" customHeight="1">
      <c r="B64" s="552"/>
      <c r="C64" s="558">
        <f>'[3]Tasa de Falla'!C64</f>
        <v>48</v>
      </c>
      <c r="D64" s="558" t="str">
        <f>'[3]Tasa de Falla'!D64</f>
        <v>JUJUY ESTE - JUJUY SUR</v>
      </c>
      <c r="E64" s="558">
        <f>'[3]Tasa de Falla'!E64</f>
        <v>132</v>
      </c>
      <c r="F64" s="558">
        <f>'[3]Tasa de Falla'!F64</f>
        <v>4.25</v>
      </c>
      <c r="G64" s="556">
        <f>IF('[3]Tasa de Falla'!HI64=0,"",'[3]Tasa de Falla'!HI64)</f>
      </c>
      <c r="H64" s="556">
        <f>IF('[3]Tasa de Falla'!HJ64=0,"",'[3]Tasa de Falla'!HJ64)</f>
      </c>
      <c r="I64" s="556">
        <f>IF('[3]Tasa de Falla'!HK64=0,"",'[3]Tasa de Falla'!HK64)</f>
      </c>
      <c r="J64" s="556">
        <f>IF('[3]Tasa de Falla'!HL64=0,"",'[3]Tasa de Falla'!HL64)</f>
      </c>
      <c r="K64" s="556">
        <f>IF('[3]Tasa de Falla'!HM64=0,"",'[3]Tasa de Falla'!HM64)</f>
      </c>
      <c r="L64" s="556">
        <f>IF('[3]Tasa de Falla'!HN64=0,"",'[3]Tasa de Falla'!HN64)</f>
      </c>
      <c r="M64" s="556">
        <f>IF('[3]Tasa de Falla'!HO64=0,"",'[3]Tasa de Falla'!HO64)</f>
      </c>
      <c r="N64" s="556">
        <f>IF('[3]Tasa de Falla'!HP64=0,"",'[3]Tasa de Falla'!HP64)</f>
      </c>
      <c r="O64" s="556">
        <f>IF('[3]Tasa de Falla'!HQ64=0,"",'[3]Tasa de Falla'!HQ64)</f>
      </c>
      <c r="P64" s="556">
        <f>IF('[3]Tasa de Falla'!HR64=0,"",'[3]Tasa de Falla'!HR64)</f>
      </c>
      <c r="Q64" s="556">
        <f>IF('[3]Tasa de Falla'!HS64=0,"",'[3]Tasa de Falla'!HS64)</f>
      </c>
      <c r="R64" s="556">
        <f>IF('[3]Tasa de Falla'!HT64=0,"",'[3]Tasa de Falla'!HT64)</f>
      </c>
      <c r="S64" s="559"/>
      <c r="T64" s="557"/>
    </row>
    <row r="65" spans="2:20" s="551" customFormat="1" ht="18">
      <c r="B65" s="552"/>
      <c r="C65" s="558">
        <f>'[3]Tasa de Falla'!C65</f>
        <v>49</v>
      </c>
      <c r="D65" s="558" t="str">
        <f>'[3]Tasa de Falla'!D65</f>
        <v>CEVIL POZO - GUEMES</v>
      </c>
      <c r="E65" s="558">
        <f>'[3]Tasa de Falla'!E65</f>
        <v>132</v>
      </c>
      <c r="F65" s="558">
        <f>'[3]Tasa de Falla'!F65</f>
        <v>291</v>
      </c>
      <c r="G65" s="556" t="str">
        <f>IF('[3]Tasa de Falla'!HI65=0,"",'[3]Tasa de Falla'!HI65)</f>
        <v>XXXX</v>
      </c>
      <c r="H65" s="556" t="str">
        <f>IF('[3]Tasa de Falla'!HJ65=0,"",'[3]Tasa de Falla'!HJ65)</f>
        <v>XXXX</v>
      </c>
      <c r="I65" s="556" t="str">
        <f>IF('[3]Tasa de Falla'!HK65=0,"",'[3]Tasa de Falla'!HK65)</f>
        <v>XXXX</v>
      </c>
      <c r="J65" s="556" t="str">
        <f>IF('[3]Tasa de Falla'!HL65=0,"",'[3]Tasa de Falla'!HL65)</f>
        <v>XXXX</v>
      </c>
      <c r="K65" s="556" t="str">
        <f>IF('[3]Tasa de Falla'!HM65=0,"",'[3]Tasa de Falla'!HM65)</f>
        <v>XXXX</v>
      </c>
      <c r="L65" s="556" t="str">
        <f>IF('[3]Tasa de Falla'!HN65=0,"",'[3]Tasa de Falla'!HN65)</f>
        <v>XXXX</v>
      </c>
      <c r="M65" s="556" t="str">
        <f>IF('[3]Tasa de Falla'!HO65=0,"",'[3]Tasa de Falla'!HO65)</f>
        <v>XXXX</v>
      </c>
      <c r="N65" s="556" t="str">
        <f>IF('[3]Tasa de Falla'!HP65=0,"",'[3]Tasa de Falla'!HP65)</f>
        <v>XXXX</v>
      </c>
      <c r="O65" s="556" t="str">
        <f>IF('[3]Tasa de Falla'!HQ65=0,"",'[3]Tasa de Falla'!HQ65)</f>
        <v>XXXX</v>
      </c>
      <c r="P65" s="556" t="str">
        <f>IF('[3]Tasa de Falla'!HR65=0,"",'[3]Tasa de Falla'!HR65)</f>
        <v>XXXX</v>
      </c>
      <c r="Q65" s="556" t="str">
        <f>IF('[3]Tasa de Falla'!HS65=0,"",'[3]Tasa de Falla'!HS65)</f>
        <v>XXXX</v>
      </c>
      <c r="R65" s="556" t="str">
        <f>IF('[3]Tasa de Falla'!HT65=0,"",'[3]Tasa de Falla'!HT65)</f>
        <v>XXXX</v>
      </c>
      <c r="S65" s="559"/>
      <c r="T65" s="557"/>
    </row>
    <row r="66" spans="2:20" s="551" customFormat="1" ht="19.5" customHeight="1">
      <c r="B66" s="552"/>
      <c r="C66" s="558">
        <f>'[3]Tasa de Falla'!C66</f>
        <v>50</v>
      </c>
      <c r="D66" s="558" t="str">
        <f>'[3]Tasa de Falla'!D66</f>
        <v>CEVIL POZO - EL BRACHO</v>
      </c>
      <c r="E66" s="558">
        <f>'[3]Tasa de Falla'!E66</f>
        <v>132</v>
      </c>
      <c r="F66" s="558">
        <f>'[3]Tasa de Falla'!F66</f>
        <v>17</v>
      </c>
      <c r="G66" s="556">
        <f>IF('[3]Tasa de Falla'!HI66=0,"",'[3]Tasa de Falla'!HI66)</f>
      </c>
      <c r="H66" s="556">
        <f>IF('[3]Tasa de Falla'!HJ66=0,"",'[3]Tasa de Falla'!HJ66)</f>
      </c>
      <c r="I66" s="556">
        <f>IF('[3]Tasa de Falla'!HK66=0,"",'[3]Tasa de Falla'!HK66)</f>
      </c>
      <c r="J66" s="556">
        <f>IF('[3]Tasa de Falla'!HL66=0,"",'[3]Tasa de Falla'!HL66)</f>
      </c>
      <c r="K66" s="556">
        <f>IF('[3]Tasa de Falla'!HM66=0,"",'[3]Tasa de Falla'!HM66)</f>
      </c>
      <c r="L66" s="556">
        <f>IF('[3]Tasa de Falla'!HN66=0,"",'[3]Tasa de Falla'!HN66)</f>
      </c>
      <c r="M66" s="556">
        <f>IF('[3]Tasa de Falla'!HO66=0,"",'[3]Tasa de Falla'!HO66)</f>
      </c>
      <c r="N66" s="556">
        <f>IF('[3]Tasa de Falla'!HP66=0,"",'[3]Tasa de Falla'!HP66)</f>
        <v>1</v>
      </c>
      <c r="O66" s="556">
        <f>IF('[3]Tasa de Falla'!HQ66=0,"",'[3]Tasa de Falla'!HQ66)</f>
      </c>
      <c r="P66" s="556">
        <f>IF('[3]Tasa de Falla'!HR66=0,"",'[3]Tasa de Falla'!HR66)</f>
      </c>
      <c r="Q66" s="556">
        <f>IF('[3]Tasa de Falla'!HS66=0,"",'[3]Tasa de Falla'!HS66)</f>
      </c>
      <c r="R66" s="556">
        <f>IF('[3]Tasa de Falla'!HT66=0,"",'[3]Tasa de Falla'!HT66)</f>
      </c>
      <c r="S66" s="559"/>
      <c r="T66" s="557"/>
    </row>
    <row r="67" spans="2:20" s="551" customFormat="1" ht="19.5" customHeight="1">
      <c r="B67" s="552"/>
      <c r="C67" s="558"/>
      <c r="D67" s="558"/>
      <c r="E67" s="558"/>
      <c r="F67" s="558"/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6"/>
      <c r="S67" s="559"/>
      <c r="T67" s="557"/>
    </row>
    <row r="68" spans="2:20" s="551" customFormat="1" ht="19.5" customHeight="1">
      <c r="B68" s="552"/>
      <c r="C68" s="558">
        <f>'[3]Tasa de Falla'!C68</f>
        <v>51</v>
      </c>
      <c r="D68" s="558" t="str">
        <f>'[3]Tasa de Falla'!D68</f>
        <v>METAN - EL TUNAL</v>
      </c>
      <c r="E68" s="558">
        <f>'[3]Tasa de Falla'!E68</f>
        <v>132</v>
      </c>
      <c r="F68" s="558">
        <f>'[3]Tasa de Falla'!F68</f>
        <v>75.6</v>
      </c>
      <c r="G68" s="556">
        <f>IF('[3]Tasa de Falla'!HI68=0,"",'[3]Tasa de Falla'!HI68)</f>
      </c>
      <c r="H68" s="556">
        <f>IF('[3]Tasa de Falla'!HJ68=0,"",'[3]Tasa de Falla'!HJ68)</f>
      </c>
      <c r="I68" s="556">
        <f>IF('[3]Tasa de Falla'!HK68=0,"",'[3]Tasa de Falla'!HK68)</f>
      </c>
      <c r="J68" s="556">
        <f>IF('[3]Tasa de Falla'!HL68=0,"",'[3]Tasa de Falla'!HL68)</f>
      </c>
      <c r="K68" s="556">
        <f>IF('[3]Tasa de Falla'!HM68=0,"",'[3]Tasa de Falla'!HM68)</f>
      </c>
      <c r="L68" s="556">
        <f>IF('[3]Tasa de Falla'!HN68=0,"",'[3]Tasa de Falla'!HN68)</f>
      </c>
      <c r="M68" s="556">
        <f>IF('[3]Tasa de Falla'!HO68=0,"",'[3]Tasa de Falla'!HO68)</f>
      </c>
      <c r="N68" s="556">
        <f>IF('[3]Tasa de Falla'!HP68=0,"",'[3]Tasa de Falla'!HP68)</f>
      </c>
      <c r="O68" s="556">
        <f>IF('[3]Tasa de Falla'!HQ68=0,"",'[3]Tasa de Falla'!HQ68)</f>
      </c>
      <c r="P68" s="556">
        <f>IF('[3]Tasa de Falla'!HR68=0,"",'[3]Tasa de Falla'!HR68)</f>
      </c>
      <c r="Q68" s="556">
        <f>IF('[3]Tasa de Falla'!HS68=0,"",'[3]Tasa de Falla'!HS68)</f>
      </c>
      <c r="R68" s="556">
        <f>IF('[3]Tasa de Falla'!HT68=0,"",'[3]Tasa de Falla'!HT68)</f>
      </c>
      <c r="S68" s="559"/>
      <c r="T68" s="557"/>
    </row>
    <row r="69" spans="2:20" s="551" customFormat="1" ht="19.5" customHeight="1">
      <c r="B69" s="552"/>
      <c r="C69" s="558">
        <f>'[3]Tasa de Falla'!C69</f>
        <v>52</v>
      </c>
      <c r="D69" s="558" t="str">
        <f>'[3]Tasa de Falla'!D69</f>
        <v>EL TUNAL - J.V. GONZALEZ</v>
      </c>
      <c r="E69" s="558">
        <f>'[3]Tasa de Falla'!E69</f>
        <v>132</v>
      </c>
      <c r="F69" s="558">
        <f>'[3]Tasa de Falla'!F69</f>
        <v>41.4</v>
      </c>
      <c r="G69" s="556">
        <f>IF('[3]Tasa de Falla'!HI69=0,"",'[3]Tasa de Falla'!HI69)</f>
        <v>1</v>
      </c>
      <c r="H69" s="556">
        <f>IF('[3]Tasa de Falla'!HJ69=0,"",'[3]Tasa de Falla'!HJ69)</f>
      </c>
      <c r="I69" s="556">
        <f>IF('[3]Tasa de Falla'!HK69=0,"",'[3]Tasa de Falla'!HK69)</f>
      </c>
      <c r="J69" s="556">
        <f>IF('[3]Tasa de Falla'!HL69=0,"",'[3]Tasa de Falla'!HL69)</f>
      </c>
      <c r="K69" s="556">
        <f>IF('[3]Tasa de Falla'!HM69=0,"",'[3]Tasa de Falla'!HM69)</f>
      </c>
      <c r="L69" s="556">
        <f>IF('[3]Tasa de Falla'!HN69=0,"",'[3]Tasa de Falla'!HN69)</f>
      </c>
      <c r="M69" s="556">
        <f>IF('[3]Tasa de Falla'!HO69=0,"",'[3]Tasa de Falla'!HO69)</f>
      </c>
      <c r="N69" s="556">
        <f>IF('[3]Tasa de Falla'!HP69=0,"",'[3]Tasa de Falla'!HP69)</f>
      </c>
      <c r="O69" s="556">
        <f>IF('[3]Tasa de Falla'!HQ69=0,"",'[3]Tasa de Falla'!HQ69)</f>
      </c>
      <c r="P69" s="556">
        <f>IF('[3]Tasa de Falla'!HR69=0,"",'[3]Tasa de Falla'!HR69)</f>
      </c>
      <c r="Q69" s="556">
        <f>IF('[3]Tasa de Falla'!HS69=0,"",'[3]Tasa de Falla'!HS69)</f>
      </c>
      <c r="R69" s="556">
        <f>IF('[3]Tasa de Falla'!HT69=0,"",'[3]Tasa de Falla'!HT69)</f>
      </c>
      <c r="S69" s="559"/>
      <c r="T69" s="557"/>
    </row>
    <row r="70" spans="2:20" s="551" customFormat="1" ht="19.5" customHeight="1">
      <c r="B70" s="552"/>
      <c r="C70" s="558"/>
      <c r="D70" s="558"/>
      <c r="E70" s="558"/>
      <c r="F70" s="558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9"/>
      <c r="T70" s="557"/>
    </row>
    <row r="71" spans="2:20" s="551" customFormat="1" ht="19.5" customHeight="1">
      <c r="B71" s="552"/>
      <c r="C71" s="558">
        <f>'[3]Tasa de Falla'!C71</f>
        <v>53</v>
      </c>
      <c r="D71" s="558" t="str">
        <f>'[3]Tasa de Falla'!D71</f>
        <v>LOS PIZARROS - ESCABA</v>
      </c>
      <c r="E71" s="558">
        <f>'[3]Tasa de Falla'!E71</f>
        <v>132</v>
      </c>
      <c r="F71" s="558">
        <f>'[3]Tasa de Falla'!F71</f>
        <v>21.4</v>
      </c>
      <c r="G71" s="556">
        <f>IF('[3]Tasa de Falla'!HI71=0,"",'[3]Tasa de Falla'!HI71)</f>
      </c>
      <c r="H71" s="556">
        <f>IF('[3]Tasa de Falla'!HJ71=0,"",'[3]Tasa de Falla'!HJ71)</f>
      </c>
      <c r="I71" s="556">
        <f>IF('[3]Tasa de Falla'!HK71=0,"",'[3]Tasa de Falla'!HK71)</f>
      </c>
      <c r="J71" s="556">
        <f>IF('[3]Tasa de Falla'!HL71=0,"",'[3]Tasa de Falla'!HL71)</f>
      </c>
      <c r="K71" s="556">
        <f>IF('[3]Tasa de Falla'!HM71=0,"",'[3]Tasa de Falla'!HM71)</f>
      </c>
      <c r="L71" s="556">
        <f>IF('[3]Tasa de Falla'!HN71=0,"",'[3]Tasa de Falla'!HN71)</f>
      </c>
      <c r="M71" s="556">
        <f>IF('[3]Tasa de Falla'!HO71=0,"",'[3]Tasa de Falla'!HO71)</f>
      </c>
      <c r="N71" s="556">
        <f>IF('[3]Tasa de Falla'!HP71=0,"",'[3]Tasa de Falla'!HP71)</f>
      </c>
      <c r="O71" s="556">
        <f>IF('[3]Tasa de Falla'!HQ71=0,"",'[3]Tasa de Falla'!HQ71)</f>
      </c>
      <c r="P71" s="556">
        <f>IF('[3]Tasa de Falla'!HR71=0,"",'[3]Tasa de Falla'!HR71)</f>
      </c>
      <c r="Q71" s="556">
        <f>IF('[3]Tasa de Falla'!HS71=0,"",'[3]Tasa de Falla'!HS71)</f>
      </c>
      <c r="R71" s="556">
        <f>IF('[3]Tasa de Falla'!HT71=0,"",'[3]Tasa de Falla'!HT71)</f>
      </c>
      <c r="S71" s="559"/>
      <c r="T71" s="557"/>
    </row>
    <row r="72" spans="2:20" s="551" customFormat="1" ht="19.5" customHeight="1">
      <c r="B72" s="552"/>
      <c r="C72" s="558">
        <f>'[3]Tasa de Falla'!C72</f>
        <v>54</v>
      </c>
      <c r="D72" s="558" t="str">
        <f>'[3]Tasa de Falla'!D72</f>
        <v>LOS PIZARROS - LA COCHA</v>
      </c>
      <c r="E72" s="558">
        <f>'[3]Tasa de Falla'!E72</f>
        <v>132</v>
      </c>
      <c r="F72" s="558">
        <f>'[3]Tasa de Falla'!F72</f>
        <v>6.5</v>
      </c>
      <c r="G72" s="556">
        <f>IF('[3]Tasa de Falla'!HI72=0,"",'[3]Tasa de Falla'!HI72)</f>
      </c>
      <c r="H72" s="556">
        <f>IF('[3]Tasa de Falla'!HJ72=0,"",'[3]Tasa de Falla'!HJ72)</f>
      </c>
      <c r="I72" s="556">
        <f>IF('[3]Tasa de Falla'!HK72=0,"",'[3]Tasa de Falla'!HK72)</f>
      </c>
      <c r="J72" s="556">
        <f>IF('[3]Tasa de Falla'!HL72=0,"",'[3]Tasa de Falla'!HL72)</f>
      </c>
      <c r="K72" s="556">
        <f>IF('[3]Tasa de Falla'!HM72=0,"",'[3]Tasa de Falla'!HM72)</f>
      </c>
      <c r="L72" s="556">
        <f>IF('[3]Tasa de Falla'!HN72=0,"",'[3]Tasa de Falla'!HN72)</f>
      </c>
      <c r="M72" s="556">
        <f>IF('[3]Tasa de Falla'!HO72=0,"",'[3]Tasa de Falla'!HO72)</f>
      </c>
      <c r="N72" s="556">
        <f>IF('[3]Tasa de Falla'!HP72=0,"",'[3]Tasa de Falla'!HP72)</f>
      </c>
      <c r="O72" s="556">
        <f>IF('[3]Tasa de Falla'!HQ72=0,"",'[3]Tasa de Falla'!HQ72)</f>
      </c>
      <c r="P72" s="556">
        <f>IF('[3]Tasa de Falla'!HR72=0,"",'[3]Tasa de Falla'!HR72)</f>
      </c>
      <c r="Q72" s="556">
        <f>IF('[3]Tasa de Falla'!HS72=0,"",'[3]Tasa de Falla'!HS72)</f>
      </c>
      <c r="R72" s="556">
        <f>IF('[3]Tasa de Falla'!HT72=0,"",'[3]Tasa de Falla'!HT72)</f>
      </c>
      <c r="S72" s="559"/>
      <c r="T72" s="557"/>
    </row>
    <row r="73" spans="2:20" s="551" customFormat="1" ht="19.5" customHeight="1">
      <c r="B73" s="552"/>
      <c r="C73" s="558">
        <f>'[3]Tasa de Falla'!C73</f>
        <v>55</v>
      </c>
      <c r="D73" s="558" t="str">
        <f>'[3]Tasa de Falla'!D73</f>
        <v>HUACRA - LOS PIZARROS</v>
      </c>
      <c r="E73" s="558">
        <f>'[3]Tasa de Falla'!E73</f>
        <v>132</v>
      </c>
      <c r="F73" s="558">
        <f>'[3]Tasa de Falla'!F73</f>
        <v>28.5</v>
      </c>
      <c r="G73" s="556">
        <f>IF('[3]Tasa de Falla'!HI73=0,"",'[3]Tasa de Falla'!HI73)</f>
      </c>
      <c r="H73" s="556">
        <f>IF('[3]Tasa de Falla'!HJ73=0,"",'[3]Tasa de Falla'!HJ73)</f>
      </c>
      <c r="I73" s="556">
        <f>IF('[3]Tasa de Falla'!HK73=0,"",'[3]Tasa de Falla'!HK73)</f>
      </c>
      <c r="J73" s="556">
        <f>IF('[3]Tasa de Falla'!HL73=0,"",'[3]Tasa de Falla'!HL73)</f>
        <v>1</v>
      </c>
      <c r="K73" s="556">
        <f>IF('[3]Tasa de Falla'!HM73=0,"",'[3]Tasa de Falla'!HM73)</f>
      </c>
      <c r="L73" s="556">
        <f>IF('[3]Tasa de Falla'!HN73=0,"",'[3]Tasa de Falla'!HN73)</f>
      </c>
      <c r="M73" s="556">
        <f>IF('[3]Tasa de Falla'!HO73=0,"",'[3]Tasa de Falla'!HO73)</f>
      </c>
      <c r="N73" s="556">
        <f>IF('[3]Tasa de Falla'!HP73=0,"",'[3]Tasa de Falla'!HP73)</f>
      </c>
      <c r="O73" s="556">
        <f>IF('[3]Tasa de Falla'!HQ73=0,"",'[3]Tasa de Falla'!HQ73)</f>
      </c>
      <c r="P73" s="556">
        <f>IF('[3]Tasa de Falla'!HR73=0,"",'[3]Tasa de Falla'!HR73)</f>
      </c>
      <c r="Q73" s="556">
        <f>IF('[3]Tasa de Falla'!HS73=0,"",'[3]Tasa de Falla'!HS73)</f>
      </c>
      <c r="R73" s="556">
        <f>IF('[3]Tasa de Falla'!HT73=0,"",'[3]Tasa de Falla'!HT73)</f>
      </c>
      <c r="S73" s="559"/>
      <c r="T73" s="557"/>
    </row>
    <row r="74" spans="2:20" s="551" customFormat="1" ht="19.5" customHeight="1">
      <c r="B74" s="552"/>
      <c r="C74" s="558">
        <f>'[3]Tasa de Falla'!C74</f>
        <v>56</v>
      </c>
      <c r="D74" s="558" t="str">
        <f>'[3]Tasa de Falla'!D74</f>
        <v>CEVIL POZO - AVELLANEDA</v>
      </c>
      <c r="E74" s="558">
        <f>'[3]Tasa de Falla'!E74</f>
        <v>132</v>
      </c>
      <c r="F74" s="558">
        <f>'[3]Tasa de Falla'!F74</f>
        <v>8</v>
      </c>
      <c r="G74" s="556">
        <f>IF('[3]Tasa de Falla'!HI74=0,"",'[3]Tasa de Falla'!HI74)</f>
      </c>
      <c r="H74" s="556">
        <f>IF('[3]Tasa de Falla'!HJ74=0,"",'[3]Tasa de Falla'!HJ74)</f>
      </c>
      <c r="I74" s="556">
        <f>IF('[3]Tasa de Falla'!HK74=0,"",'[3]Tasa de Falla'!HK74)</f>
      </c>
      <c r="J74" s="556">
        <f>IF('[3]Tasa de Falla'!HL74=0,"",'[3]Tasa de Falla'!HL74)</f>
      </c>
      <c r="K74" s="556">
        <f>IF('[3]Tasa de Falla'!HM74=0,"",'[3]Tasa de Falla'!HM74)</f>
      </c>
      <c r="L74" s="556">
        <f>IF('[3]Tasa de Falla'!HN74=0,"",'[3]Tasa de Falla'!HN74)</f>
      </c>
      <c r="M74" s="556">
        <f>IF('[3]Tasa de Falla'!HO74=0,"",'[3]Tasa de Falla'!HO74)</f>
      </c>
      <c r="N74" s="556">
        <f>IF('[3]Tasa de Falla'!HP74=0,"",'[3]Tasa de Falla'!HP74)</f>
      </c>
      <c r="O74" s="556">
        <f>IF('[3]Tasa de Falla'!HQ74=0,"",'[3]Tasa de Falla'!HQ74)</f>
      </c>
      <c r="P74" s="556">
        <f>IF('[3]Tasa de Falla'!HR74=0,"",'[3]Tasa de Falla'!HR74)</f>
      </c>
      <c r="Q74" s="556">
        <f>IF('[3]Tasa de Falla'!HS74=0,"",'[3]Tasa de Falla'!HS74)</f>
      </c>
      <c r="R74" s="556">
        <f>IF('[3]Tasa de Falla'!HT74=0,"",'[3]Tasa de Falla'!HT74)</f>
      </c>
      <c r="S74" s="559"/>
      <c r="T74" s="557"/>
    </row>
    <row r="75" spans="2:20" s="551" customFormat="1" ht="19.5" customHeight="1">
      <c r="B75" s="552"/>
      <c r="C75" s="558">
        <f>'[3]Tasa de Falla'!C75</f>
        <v>57</v>
      </c>
      <c r="D75" s="558" t="str">
        <f>'[3]Tasa de Falla'!D75</f>
        <v>CABRA CORRAL - SALTA ESTE</v>
      </c>
      <c r="E75" s="558">
        <f>'[3]Tasa de Falla'!E75</f>
        <v>132</v>
      </c>
      <c r="F75" s="558">
        <f>'[3]Tasa de Falla'!F75</f>
        <v>55</v>
      </c>
      <c r="G75" s="556">
        <f>IF('[3]Tasa de Falla'!HI75=0,"",'[3]Tasa de Falla'!HI75)</f>
      </c>
      <c r="H75" s="556">
        <f>IF('[3]Tasa de Falla'!HJ75=0,"",'[3]Tasa de Falla'!HJ75)</f>
      </c>
      <c r="I75" s="556">
        <f>IF('[3]Tasa de Falla'!HK75=0,"",'[3]Tasa de Falla'!HK75)</f>
      </c>
      <c r="J75" s="556">
        <f>IF('[3]Tasa de Falla'!HL75=0,"",'[3]Tasa de Falla'!HL75)</f>
      </c>
      <c r="K75" s="556">
        <f>IF('[3]Tasa de Falla'!HM75=0,"",'[3]Tasa de Falla'!HM75)</f>
      </c>
      <c r="L75" s="556">
        <f>IF('[3]Tasa de Falla'!HN75=0,"",'[3]Tasa de Falla'!HN75)</f>
      </c>
      <c r="M75" s="556">
        <f>IF('[3]Tasa de Falla'!HO75=0,"",'[3]Tasa de Falla'!HO75)</f>
      </c>
      <c r="N75" s="556">
        <f>IF('[3]Tasa de Falla'!HP75=0,"",'[3]Tasa de Falla'!HP75)</f>
      </c>
      <c r="O75" s="556">
        <f>IF('[3]Tasa de Falla'!HQ75=0,"",'[3]Tasa de Falla'!HQ75)</f>
      </c>
      <c r="P75" s="556">
        <f>IF('[3]Tasa de Falla'!HR75=0,"",'[3]Tasa de Falla'!HR75)</f>
        <v>2</v>
      </c>
      <c r="Q75" s="556">
        <f>IF('[3]Tasa de Falla'!HS75=0,"",'[3]Tasa de Falla'!HS75)</f>
      </c>
      <c r="R75" s="556">
        <f>IF('[3]Tasa de Falla'!HT75=0,"",'[3]Tasa de Falla'!HT75)</f>
      </c>
      <c r="S75" s="559"/>
      <c r="T75" s="557"/>
    </row>
    <row r="76" spans="2:20" s="551" customFormat="1" ht="19.5" customHeight="1">
      <c r="B76" s="552"/>
      <c r="C76" s="558">
        <f>'[3]Tasa de Falla'!C76</f>
        <v>58</v>
      </c>
      <c r="D76" s="558" t="str">
        <f>'[3]Tasa de Falla'!D76</f>
        <v>SALTA ESTE - SALTA SUR</v>
      </c>
      <c r="E76" s="558">
        <f>'[3]Tasa de Falla'!E76</f>
        <v>132</v>
      </c>
      <c r="F76" s="558">
        <f>'[3]Tasa de Falla'!F76</f>
        <v>7</v>
      </c>
      <c r="G76" s="556">
        <f>IF('[3]Tasa de Falla'!HI76=0,"",'[3]Tasa de Falla'!HI76)</f>
      </c>
      <c r="H76" s="556">
        <f>IF('[3]Tasa de Falla'!HJ76=0,"",'[3]Tasa de Falla'!HJ76)</f>
      </c>
      <c r="I76" s="556">
        <f>IF('[3]Tasa de Falla'!HK76=0,"",'[3]Tasa de Falla'!HK76)</f>
      </c>
      <c r="J76" s="556">
        <f>IF('[3]Tasa de Falla'!HL76=0,"",'[3]Tasa de Falla'!HL76)</f>
      </c>
      <c r="K76" s="556">
        <f>IF('[3]Tasa de Falla'!HM76=0,"",'[3]Tasa de Falla'!HM76)</f>
      </c>
      <c r="L76" s="556">
        <f>IF('[3]Tasa de Falla'!HN76=0,"",'[3]Tasa de Falla'!HN76)</f>
      </c>
      <c r="M76" s="556">
        <f>IF('[3]Tasa de Falla'!HO76=0,"",'[3]Tasa de Falla'!HO76)</f>
      </c>
      <c r="N76" s="556">
        <f>IF('[3]Tasa de Falla'!HP76=0,"",'[3]Tasa de Falla'!HP76)</f>
        <v>1</v>
      </c>
      <c r="O76" s="556">
        <f>IF('[3]Tasa de Falla'!HQ76=0,"",'[3]Tasa de Falla'!HQ76)</f>
      </c>
      <c r="P76" s="556">
        <f>IF('[3]Tasa de Falla'!HR76=0,"",'[3]Tasa de Falla'!HR76)</f>
        <v>1</v>
      </c>
      <c r="Q76" s="556">
        <f>IF('[3]Tasa de Falla'!HS76=0,"",'[3]Tasa de Falla'!HS76)</f>
      </c>
      <c r="R76" s="556">
        <f>IF('[3]Tasa de Falla'!HT76=0,"",'[3]Tasa de Falla'!HT76)</f>
      </c>
      <c r="S76" s="559"/>
      <c r="T76" s="557"/>
    </row>
    <row r="77" spans="2:20" s="551" customFormat="1" ht="19.5" customHeight="1">
      <c r="B77" s="552"/>
      <c r="C77" s="558">
        <f>'[3]Tasa de Falla'!C77</f>
        <v>59</v>
      </c>
      <c r="D77" s="558" t="str">
        <f>'[3]Tasa de Falla'!D77</f>
        <v>V. QUINTEROS - ACONQUIJA - ANDALGALA</v>
      </c>
      <c r="E77" s="558">
        <f>'[3]Tasa de Falla'!E77</f>
        <v>132</v>
      </c>
      <c r="F77" s="558">
        <f>'[3]Tasa de Falla'!F77</f>
        <v>102</v>
      </c>
      <c r="G77" s="556">
        <f>IF('[3]Tasa de Falla'!HI77=0,"",'[3]Tasa de Falla'!HI77)</f>
      </c>
      <c r="H77" s="556">
        <f>IF('[3]Tasa de Falla'!HJ77=0,"",'[3]Tasa de Falla'!HJ77)</f>
      </c>
      <c r="I77" s="556">
        <f>IF('[3]Tasa de Falla'!HK77=0,"",'[3]Tasa de Falla'!HK77)</f>
      </c>
      <c r="J77" s="556">
        <f>IF('[3]Tasa de Falla'!HL77=0,"",'[3]Tasa de Falla'!HL77)</f>
      </c>
      <c r="K77" s="556">
        <f>IF('[3]Tasa de Falla'!HM77=0,"",'[3]Tasa de Falla'!HM77)</f>
      </c>
      <c r="L77" s="556">
        <f>IF('[3]Tasa de Falla'!HN77=0,"",'[3]Tasa de Falla'!HN77)</f>
      </c>
      <c r="M77" s="556">
        <f>IF('[3]Tasa de Falla'!HO77=0,"",'[3]Tasa de Falla'!HO77)</f>
      </c>
      <c r="N77" s="556">
        <f>IF('[3]Tasa de Falla'!HP77=0,"",'[3]Tasa de Falla'!HP77)</f>
      </c>
      <c r="O77" s="556">
        <f>IF('[3]Tasa de Falla'!HQ77=0,"",'[3]Tasa de Falla'!HQ77)</f>
        <v>1</v>
      </c>
      <c r="P77" s="556">
        <f>IF('[3]Tasa de Falla'!HR77=0,"",'[3]Tasa de Falla'!HR77)</f>
      </c>
      <c r="Q77" s="556">
        <f>IF('[3]Tasa de Falla'!HS77=0,"",'[3]Tasa de Falla'!HS77)</f>
      </c>
      <c r="R77" s="556">
        <f>IF('[3]Tasa de Falla'!HT77=0,"",'[3]Tasa de Falla'!HT77)</f>
        <v>1</v>
      </c>
      <c r="S77" s="559"/>
      <c r="T77" s="557"/>
    </row>
    <row r="78" spans="2:20" s="551" customFormat="1" ht="19.5" customHeight="1">
      <c r="B78" s="552"/>
      <c r="C78" s="558">
        <f>'[3]Tasa de Falla'!C78</f>
        <v>60</v>
      </c>
      <c r="D78" s="558" t="str">
        <f>'[3]Tasa de Falla'!D78</f>
        <v>ANDALGALA - BELEN</v>
      </c>
      <c r="E78" s="558">
        <f>'[3]Tasa de Falla'!E78</f>
        <v>132</v>
      </c>
      <c r="F78" s="558">
        <f>'[3]Tasa de Falla'!F78</f>
        <v>80.3</v>
      </c>
      <c r="G78" s="556">
        <f>IF('[3]Tasa de Falla'!HI78=0,"",'[3]Tasa de Falla'!HI78)</f>
      </c>
      <c r="H78" s="556">
        <f>IF('[3]Tasa de Falla'!HJ78=0,"",'[3]Tasa de Falla'!HJ78)</f>
      </c>
      <c r="I78" s="556">
        <f>IF('[3]Tasa de Falla'!HK78=0,"",'[3]Tasa de Falla'!HK78)</f>
      </c>
      <c r="J78" s="556">
        <f>IF('[3]Tasa de Falla'!HL78=0,"",'[3]Tasa de Falla'!HL78)</f>
      </c>
      <c r="K78" s="556">
        <f>IF('[3]Tasa de Falla'!HM78=0,"",'[3]Tasa de Falla'!HM78)</f>
      </c>
      <c r="L78" s="556">
        <f>IF('[3]Tasa de Falla'!HN78=0,"",'[3]Tasa de Falla'!HN78)</f>
      </c>
      <c r="M78" s="556">
        <f>IF('[3]Tasa de Falla'!HO78=0,"",'[3]Tasa de Falla'!HO78)</f>
      </c>
      <c r="N78" s="556">
        <f>IF('[3]Tasa de Falla'!HP78=0,"",'[3]Tasa de Falla'!HP78)</f>
      </c>
      <c r="O78" s="556">
        <f>IF('[3]Tasa de Falla'!HQ78=0,"",'[3]Tasa de Falla'!HQ78)</f>
      </c>
      <c r="P78" s="556">
        <f>IF('[3]Tasa de Falla'!HR78=0,"",'[3]Tasa de Falla'!HR78)</f>
      </c>
      <c r="Q78" s="556">
        <f>IF('[3]Tasa de Falla'!HS78=0,"",'[3]Tasa de Falla'!HS78)</f>
      </c>
      <c r="R78" s="556">
        <f>IF('[3]Tasa de Falla'!HT78=0,"",'[3]Tasa de Falla'!HT78)</f>
      </c>
      <c r="S78" s="559"/>
      <c r="T78" s="557"/>
    </row>
    <row r="79" spans="2:20" s="551" customFormat="1" ht="19.5" customHeight="1">
      <c r="B79" s="552"/>
      <c r="C79" s="558">
        <f>'[3]Tasa de Falla'!C79</f>
        <v>61</v>
      </c>
      <c r="D79" s="558" t="str">
        <f>'[3]Tasa de Falla'!D79</f>
        <v>TUCUMAN NORTE - TRANCAS</v>
      </c>
      <c r="E79" s="558">
        <f>'[3]Tasa de Falla'!E79</f>
        <v>132</v>
      </c>
      <c r="F79" s="558">
        <f>'[3]Tasa de Falla'!F79</f>
        <v>75</v>
      </c>
      <c r="G79" s="556">
        <f>IF('[3]Tasa de Falla'!HI79=0,"",'[3]Tasa de Falla'!HI79)</f>
      </c>
      <c r="H79" s="556">
        <f>IF('[3]Tasa de Falla'!HJ79=0,"",'[3]Tasa de Falla'!HJ79)</f>
      </c>
      <c r="I79" s="556">
        <f>IF('[3]Tasa de Falla'!HK79=0,"",'[3]Tasa de Falla'!HK79)</f>
        <v>1</v>
      </c>
      <c r="J79" s="556">
        <f>IF('[3]Tasa de Falla'!HL79=0,"",'[3]Tasa de Falla'!HL79)</f>
      </c>
      <c r="K79" s="556">
        <f>IF('[3]Tasa de Falla'!HM79=0,"",'[3]Tasa de Falla'!HM79)</f>
      </c>
      <c r="L79" s="556">
        <f>IF('[3]Tasa de Falla'!HN79=0,"",'[3]Tasa de Falla'!HN79)</f>
      </c>
      <c r="M79" s="556">
        <f>IF('[3]Tasa de Falla'!HO79=0,"",'[3]Tasa de Falla'!HO79)</f>
      </c>
      <c r="N79" s="556">
        <f>IF('[3]Tasa de Falla'!HP79=0,"",'[3]Tasa de Falla'!HP79)</f>
      </c>
      <c r="O79" s="556">
        <f>IF('[3]Tasa de Falla'!HQ79=0,"",'[3]Tasa de Falla'!HQ79)</f>
      </c>
      <c r="P79" s="556">
        <f>IF('[3]Tasa de Falla'!HR79=0,"",'[3]Tasa de Falla'!HR79)</f>
        <v>1</v>
      </c>
      <c r="Q79" s="556">
        <f>IF('[3]Tasa de Falla'!HS79=0,"",'[3]Tasa de Falla'!HS79)</f>
      </c>
      <c r="R79" s="556">
        <f>IF('[3]Tasa de Falla'!HT79=0,"",'[3]Tasa de Falla'!HT79)</f>
      </c>
      <c r="S79" s="559"/>
      <c r="T79" s="557"/>
    </row>
    <row r="80" spans="2:20" s="551" customFormat="1" ht="19.5" customHeight="1">
      <c r="B80" s="552"/>
      <c r="C80" s="558">
        <f>'[3]Tasa de Falla'!C80</f>
        <v>62</v>
      </c>
      <c r="D80" s="558" t="str">
        <f>'[3]Tasa de Falla'!D80</f>
        <v>CABRA CORRAL - TRANCAS</v>
      </c>
      <c r="E80" s="558">
        <f>'[3]Tasa de Falla'!E80</f>
        <v>132</v>
      </c>
      <c r="F80" s="558">
        <f>'[3]Tasa de Falla'!F80</f>
        <v>115</v>
      </c>
      <c r="G80" s="556" t="str">
        <f>IF('[3]Tasa de Falla'!HI80=0,"",'[3]Tasa de Falla'!HI80)</f>
        <v>XXXX</v>
      </c>
      <c r="H80" s="556" t="str">
        <f>IF('[3]Tasa de Falla'!HJ80=0,"",'[3]Tasa de Falla'!HJ80)</f>
        <v>XXXX</v>
      </c>
      <c r="I80" s="556" t="str">
        <f>IF('[3]Tasa de Falla'!HK80=0,"",'[3]Tasa de Falla'!HK80)</f>
        <v>XXXX</v>
      </c>
      <c r="J80" s="556" t="str">
        <f>IF('[3]Tasa de Falla'!HL80=0,"",'[3]Tasa de Falla'!HL80)</f>
        <v>XXXX</v>
      </c>
      <c r="K80" s="556" t="str">
        <f>IF('[3]Tasa de Falla'!HM80=0,"",'[3]Tasa de Falla'!HM80)</f>
        <v>XXXX</v>
      </c>
      <c r="L80" s="556" t="str">
        <f>IF('[3]Tasa de Falla'!HN80=0,"",'[3]Tasa de Falla'!HN80)</f>
        <v>XXXX</v>
      </c>
      <c r="M80" s="556" t="str">
        <f>IF('[3]Tasa de Falla'!HO80=0,"",'[3]Tasa de Falla'!HO80)</f>
        <v>XXXX</v>
      </c>
      <c r="N80" s="556" t="str">
        <f>IF('[3]Tasa de Falla'!HP80=0,"",'[3]Tasa de Falla'!HP80)</f>
        <v>XXXX</v>
      </c>
      <c r="O80" s="556" t="str">
        <f>IF('[3]Tasa de Falla'!HQ80=0,"",'[3]Tasa de Falla'!HQ80)</f>
        <v>XXXX</v>
      </c>
      <c r="P80" s="556" t="str">
        <f>IF('[3]Tasa de Falla'!HR80=0,"",'[3]Tasa de Falla'!HR80)</f>
        <v>XXXX</v>
      </c>
      <c r="Q80" s="556" t="str">
        <f>IF('[3]Tasa de Falla'!HS80=0,"",'[3]Tasa de Falla'!HS80)</f>
        <v>XXXX</v>
      </c>
      <c r="R80" s="556" t="str">
        <f>IF('[3]Tasa de Falla'!HT80=0,"",'[3]Tasa de Falla'!HT80)</f>
        <v>XXXX</v>
      </c>
      <c r="S80" s="559"/>
      <c r="T80" s="557"/>
    </row>
    <row r="81" spans="2:20" s="551" customFormat="1" ht="19.5" customHeight="1">
      <c r="B81" s="552"/>
      <c r="C81" s="558">
        <f>'[3]Tasa de Falla'!C81</f>
        <v>63</v>
      </c>
      <c r="D81" s="558" t="str">
        <f>'[3]Tasa de Falla'!D81</f>
        <v>LAS MADERAS - JUJUY SUR</v>
      </c>
      <c r="E81" s="558">
        <f>'[3]Tasa de Falla'!E81</f>
        <v>132</v>
      </c>
      <c r="F81" s="558">
        <f>'[3]Tasa de Falla'!F81</f>
        <v>29</v>
      </c>
      <c r="G81" s="556">
        <f>IF('[3]Tasa de Falla'!HI81=0,"",'[3]Tasa de Falla'!HI81)</f>
      </c>
      <c r="H81" s="556">
        <f>IF('[3]Tasa de Falla'!HJ81=0,"",'[3]Tasa de Falla'!HJ81)</f>
      </c>
      <c r="I81" s="556">
        <f>IF('[3]Tasa de Falla'!HK81=0,"",'[3]Tasa de Falla'!HK81)</f>
      </c>
      <c r="J81" s="556">
        <f>IF('[3]Tasa de Falla'!HL81=0,"",'[3]Tasa de Falla'!HL81)</f>
        <v>1</v>
      </c>
      <c r="K81" s="556">
        <f>IF('[3]Tasa de Falla'!HM81=0,"",'[3]Tasa de Falla'!HM81)</f>
        <v>1</v>
      </c>
      <c r="L81" s="556">
        <f>IF('[3]Tasa de Falla'!HN81=0,"",'[3]Tasa de Falla'!HN81)</f>
      </c>
      <c r="M81" s="556">
        <f>IF('[3]Tasa de Falla'!HO81=0,"",'[3]Tasa de Falla'!HO81)</f>
      </c>
      <c r="N81" s="556">
        <f>IF('[3]Tasa de Falla'!HP81=0,"",'[3]Tasa de Falla'!HP81)</f>
      </c>
      <c r="O81" s="556">
        <f>IF('[3]Tasa de Falla'!HQ81=0,"",'[3]Tasa de Falla'!HQ81)</f>
      </c>
      <c r="P81" s="556">
        <f>IF('[3]Tasa de Falla'!HR81=0,"",'[3]Tasa de Falla'!HR81)</f>
      </c>
      <c r="Q81" s="556">
        <f>IF('[3]Tasa de Falla'!HS81=0,"",'[3]Tasa de Falla'!HS81)</f>
      </c>
      <c r="R81" s="556">
        <f>IF('[3]Tasa de Falla'!HT81=0,"",'[3]Tasa de Falla'!HT81)</f>
      </c>
      <c r="S81" s="559"/>
      <c r="T81" s="557"/>
    </row>
    <row r="82" spans="2:20" s="551" customFormat="1" ht="19.5" customHeight="1">
      <c r="B82" s="552"/>
      <c r="C82" s="558">
        <f>'[3]Tasa de Falla'!C82</f>
        <v>64</v>
      </c>
      <c r="D82" s="558" t="str">
        <f>'[3]Tasa de Falla'!D82</f>
        <v>BELEN - TINOGASTA</v>
      </c>
      <c r="E82" s="558">
        <f>'[3]Tasa de Falla'!E82</f>
        <v>132</v>
      </c>
      <c r="F82" s="558">
        <f>'[3]Tasa de Falla'!F82</f>
        <v>72</v>
      </c>
      <c r="G82" s="556">
        <f>IF('[3]Tasa de Falla'!HI82=0,"",'[3]Tasa de Falla'!HI82)</f>
      </c>
      <c r="H82" s="556">
        <f>IF('[3]Tasa de Falla'!HJ82=0,"",'[3]Tasa de Falla'!HJ82)</f>
      </c>
      <c r="I82" s="556">
        <f>IF('[3]Tasa de Falla'!HK82=0,"",'[3]Tasa de Falla'!HK82)</f>
        <v>1</v>
      </c>
      <c r="J82" s="556">
        <f>IF('[3]Tasa de Falla'!HL82=0,"",'[3]Tasa de Falla'!HL82)</f>
      </c>
      <c r="K82" s="556">
        <f>IF('[3]Tasa de Falla'!HM82=0,"",'[3]Tasa de Falla'!HM82)</f>
      </c>
      <c r="L82" s="556">
        <f>IF('[3]Tasa de Falla'!HN82=0,"",'[3]Tasa de Falla'!HN82)</f>
      </c>
      <c r="M82" s="556">
        <f>IF('[3]Tasa de Falla'!HO82=0,"",'[3]Tasa de Falla'!HO82)</f>
      </c>
      <c r="N82" s="556">
        <f>IF('[3]Tasa de Falla'!HP82=0,"",'[3]Tasa de Falla'!HP82)</f>
      </c>
      <c r="O82" s="556">
        <f>IF('[3]Tasa de Falla'!HQ82=0,"",'[3]Tasa de Falla'!HQ82)</f>
      </c>
      <c r="P82" s="556">
        <f>IF('[3]Tasa de Falla'!HR82=0,"",'[3]Tasa de Falla'!HR82)</f>
      </c>
      <c r="Q82" s="556">
        <f>IF('[3]Tasa de Falla'!HS82=0,"",'[3]Tasa de Falla'!HS82)</f>
      </c>
      <c r="R82" s="556">
        <f>IF('[3]Tasa de Falla'!HT82=0,"",'[3]Tasa de Falla'!HT82)</f>
      </c>
      <c r="S82" s="559"/>
      <c r="T82" s="557"/>
    </row>
    <row r="83" spans="2:20" s="551" customFormat="1" ht="19.5" customHeight="1">
      <c r="B83" s="552"/>
      <c r="C83" s="558">
        <f>'[3]Tasa de Falla'!C83</f>
        <v>65</v>
      </c>
      <c r="D83" s="558" t="str">
        <f>'[3]Tasa de Falla'!D83</f>
        <v>BURRUYACU - CEVIL POZO</v>
      </c>
      <c r="E83" s="558">
        <f>'[3]Tasa de Falla'!E83</f>
        <v>132</v>
      </c>
      <c r="F83" s="558">
        <f>'[3]Tasa de Falla'!F83</f>
        <v>56</v>
      </c>
      <c r="G83" s="556">
        <f>IF('[3]Tasa de Falla'!HI83=0,"",'[3]Tasa de Falla'!HI83)</f>
      </c>
      <c r="H83" s="556">
        <f>IF('[3]Tasa de Falla'!HJ83=0,"",'[3]Tasa de Falla'!HJ83)</f>
        <v>1</v>
      </c>
      <c r="I83" s="556">
        <f>IF('[3]Tasa de Falla'!HK83=0,"",'[3]Tasa de Falla'!HK83)</f>
      </c>
      <c r="J83" s="556">
        <f>IF('[3]Tasa de Falla'!HL83=0,"",'[3]Tasa de Falla'!HL83)</f>
      </c>
      <c r="K83" s="556">
        <f>IF('[3]Tasa de Falla'!HM83=0,"",'[3]Tasa de Falla'!HM83)</f>
      </c>
      <c r="L83" s="556">
        <f>IF('[3]Tasa de Falla'!HN83=0,"",'[3]Tasa de Falla'!HN83)</f>
      </c>
      <c r="M83" s="556">
        <f>IF('[3]Tasa de Falla'!HO83=0,"",'[3]Tasa de Falla'!HO83)</f>
      </c>
      <c r="N83" s="556">
        <f>IF('[3]Tasa de Falla'!HP83=0,"",'[3]Tasa de Falla'!HP83)</f>
        <v>1</v>
      </c>
      <c r="O83" s="556">
        <f>IF('[3]Tasa de Falla'!HQ83=0,"",'[3]Tasa de Falla'!HQ83)</f>
      </c>
      <c r="P83" s="556">
        <f>IF('[3]Tasa de Falla'!HR83=0,"",'[3]Tasa de Falla'!HR83)</f>
      </c>
      <c r="Q83" s="556">
        <f>IF('[3]Tasa de Falla'!HS83=0,"",'[3]Tasa de Falla'!HS83)</f>
      </c>
      <c r="R83" s="556">
        <f>IF('[3]Tasa de Falla'!HT83=0,"",'[3]Tasa de Falla'!HT83)</f>
      </c>
      <c r="S83" s="559"/>
      <c r="T83" s="557"/>
    </row>
    <row r="84" spans="2:20" s="551" customFormat="1" ht="19.5" customHeight="1">
      <c r="B84" s="552"/>
      <c r="C84" s="558">
        <f>'[3]Tasa de Falla'!C84</f>
        <v>66</v>
      </c>
      <c r="D84" s="558" t="str">
        <f>'[3]Tasa de Falla'!D84</f>
        <v>GÜEMES - BURRUYACU</v>
      </c>
      <c r="E84" s="558">
        <f>'[3]Tasa de Falla'!E84</f>
        <v>132</v>
      </c>
      <c r="F84" s="558">
        <f>'[3]Tasa de Falla'!F84</f>
        <v>235.1</v>
      </c>
      <c r="G84" s="556" t="str">
        <f>IF('[3]Tasa de Falla'!HI84=0,"",'[3]Tasa de Falla'!HI84)</f>
        <v>XXXX</v>
      </c>
      <c r="H84" s="556" t="str">
        <f>IF('[3]Tasa de Falla'!HJ84=0,"",'[3]Tasa de Falla'!HJ84)</f>
        <v>XXXX</v>
      </c>
      <c r="I84" s="556" t="str">
        <f>IF('[3]Tasa de Falla'!HK84=0,"",'[3]Tasa de Falla'!HK84)</f>
        <v>XXXX</v>
      </c>
      <c r="J84" s="556" t="str">
        <f>IF('[3]Tasa de Falla'!HL84=0,"",'[3]Tasa de Falla'!HL84)</f>
        <v>XXXX</v>
      </c>
      <c r="K84" s="556" t="str">
        <f>IF('[3]Tasa de Falla'!HM84=0,"",'[3]Tasa de Falla'!HM84)</f>
        <v>XXXX</v>
      </c>
      <c r="L84" s="556" t="str">
        <f>IF('[3]Tasa de Falla'!HN84=0,"",'[3]Tasa de Falla'!HN84)</f>
        <v>XXXX</v>
      </c>
      <c r="M84" s="556" t="str">
        <f>IF('[3]Tasa de Falla'!HO84=0,"",'[3]Tasa de Falla'!HO84)</f>
        <v>XXXX</v>
      </c>
      <c r="N84" s="556" t="str">
        <f>IF('[3]Tasa de Falla'!HP84=0,"",'[3]Tasa de Falla'!HP84)</f>
        <v>XXXX</v>
      </c>
      <c r="O84" s="556" t="str">
        <f>IF('[3]Tasa de Falla'!HQ84=0,"",'[3]Tasa de Falla'!HQ84)</f>
        <v>XXXX</v>
      </c>
      <c r="P84" s="556" t="str">
        <f>IF('[3]Tasa de Falla'!HR84=0,"",'[3]Tasa de Falla'!HR84)</f>
        <v>XXXX</v>
      </c>
      <c r="Q84" s="556" t="str">
        <f>IF('[3]Tasa de Falla'!HS84=0,"",'[3]Tasa de Falla'!HS84)</f>
        <v>XXXX</v>
      </c>
      <c r="R84" s="556" t="str">
        <f>IF('[3]Tasa de Falla'!HT84=0,"",'[3]Tasa de Falla'!HT84)</f>
        <v>XXXX</v>
      </c>
      <c r="S84" s="559"/>
      <c r="T84" s="557"/>
    </row>
    <row r="85" spans="2:20" s="551" customFormat="1" ht="19.5" customHeight="1">
      <c r="B85" s="552"/>
      <c r="C85" s="558">
        <f>'[3]Tasa de Falla'!C85</f>
        <v>67</v>
      </c>
      <c r="D85" s="558" t="str">
        <f>'[3]Tasa de Falla'!D85</f>
        <v>FRIAS - RECREO</v>
      </c>
      <c r="E85" s="558">
        <f>'[3]Tasa de Falla'!E85</f>
        <v>132</v>
      </c>
      <c r="F85" s="558">
        <f>'[3]Tasa de Falla'!F85</f>
        <v>74.54</v>
      </c>
      <c r="G85" s="556">
        <f>IF('[3]Tasa de Falla'!HI85=0,"",'[3]Tasa de Falla'!HI85)</f>
      </c>
      <c r="H85" s="556">
        <f>IF('[3]Tasa de Falla'!HJ85=0,"",'[3]Tasa de Falla'!HJ85)</f>
      </c>
      <c r="I85" s="556">
        <f>IF('[3]Tasa de Falla'!HK85=0,"",'[3]Tasa de Falla'!HK85)</f>
      </c>
      <c r="J85" s="556">
        <f>IF('[3]Tasa de Falla'!HL85=0,"",'[3]Tasa de Falla'!HL85)</f>
      </c>
      <c r="K85" s="556">
        <f>IF('[3]Tasa de Falla'!HM85=0,"",'[3]Tasa de Falla'!HM85)</f>
      </c>
      <c r="L85" s="556">
        <f>IF('[3]Tasa de Falla'!HN85=0,"",'[3]Tasa de Falla'!HN85)</f>
      </c>
      <c r="M85" s="556">
        <f>IF('[3]Tasa de Falla'!HO85=0,"",'[3]Tasa de Falla'!HO85)</f>
      </c>
      <c r="N85" s="556">
        <f>IF('[3]Tasa de Falla'!HP85=0,"",'[3]Tasa de Falla'!HP85)</f>
      </c>
      <c r="O85" s="556">
        <f>IF('[3]Tasa de Falla'!HQ85=0,"",'[3]Tasa de Falla'!HQ85)</f>
      </c>
      <c r="P85" s="556">
        <f>IF('[3]Tasa de Falla'!HR85=0,"",'[3]Tasa de Falla'!HR85)</f>
      </c>
      <c r="Q85" s="556">
        <f>IF('[3]Tasa de Falla'!HS85=0,"",'[3]Tasa de Falla'!HS85)</f>
      </c>
      <c r="R85" s="556">
        <f>IF('[3]Tasa de Falla'!HT85=0,"",'[3]Tasa de Falla'!HT85)</f>
      </c>
      <c r="S85" s="559"/>
      <c r="T85" s="557"/>
    </row>
    <row r="86" spans="2:20" s="551" customFormat="1" ht="19.5" customHeight="1">
      <c r="B86" s="552"/>
      <c r="C86" s="558">
        <f>'[3]Tasa de Falla'!C86</f>
        <v>68</v>
      </c>
      <c r="D86" s="558" t="str">
        <f>'[3]Tasa de Falla'!D86</f>
        <v>RECREO - LA RIOJA 1</v>
      </c>
      <c r="E86" s="558">
        <f>'[3]Tasa de Falla'!E86</f>
        <v>132</v>
      </c>
      <c r="F86" s="558">
        <f>'[3]Tasa de Falla'!F86</f>
        <v>221</v>
      </c>
      <c r="G86" s="556">
        <f>IF('[3]Tasa de Falla'!HI86=0,"",'[3]Tasa de Falla'!HI86)</f>
      </c>
      <c r="H86" s="556">
        <f>IF('[3]Tasa de Falla'!HJ86=0,"",'[3]Tasa de Falla'!HJ86)</f>
      </c>
      <c r="I86" s="556">
        <f>IF('[3]Tasa de Falla'!HK86=0,"",'[3]Tasa de Falla'!HK86)</f>
      </c>
      <c r="J86" s="556">
        <f>IF('[3]Tasa de Falla'!HL86=0,"",'[3]Tasa de Falla'!HL86)</f>
      </c>
      <c r="K86" s="556">
        <f>IF('[3]Tasa de Falla'!HM86=0,"",'[3]Tasa de Falla'!HM86)</f>
      </c>
      <c r="L86" s="556">
        <f>IF('[3]Tasa de Falla'!HN86=0,"",'[3]Tasa de Falla'!HN86)</f>
      </c>
      <c r="M86" s="556">
        <f>IF('[3]Tasa de Falla'!HO86=0,"",'[3]Tasa de Falla'!HO86)</f>
      </c>
      <c r="N86" s="556">
        <f>IF('[3]Tasa de Falla'!HP86=0,"",'[3]Tasa de Falla'!HP86)</f>
      </c>
      <c r="O86" s="556">
        <f>IF('[3]Tasa de Falla'!HQ86=0,"",'[3]Tasa de Falla'!HQ86)</f>
      </c>
      <c r="P86" s="556">
        <f>IF('[3]Tasa de Falla'!HR86=0,"",'[3]Tasa de Falla'!HR86)</f>
      </c>
      <c r="Q86" s="556">
        <f>IF('[3]Tasa de Falla'!HS86=0,"",'[3]Tasa de Falla'!HS86)</f>
      </c>
      <c r="R86" s="556">
        <f>IF('[3]Tasa de Falla'!HT86=0,"",'[3]Tasa de Falla'!HT86)</f>
      </c>
      <c r="S86" s="559"/>
      <c r="T86" s="557"/>
    </row>
    <row r="87" spans="2:20" s="551" customFormat="1" ht="19.5" customHeight="1">
      <c r="B87" s="552"/>
      <c r="C87" s="558">
        <f>'[3]Tasa de Falla'!C87</f>
        <v>69</v>
      </c>
      <c r="D87" s="558" t="str">
        <f>'[3]Tasa de Falla'!D87</f>
        <v>RECREO - LA RIOJA 2</v>
      </c>
      <c r="E87" s="558">
        <f>'[3]Tasa de Falla'!E87</f>
        <v>132</v>
      </c>
      <c r="F87" s="558">
        <f>'[3]Tasa de Falla'!F87</f>
        <v>220</v>
      </c>
      <c r="G87" s="556">
        <f>IF('[3]Tasa de Falla'!HI87=0,"",'[3]Tasa de Falla'!HI87)</f>
      </c>
      <c r="H87" s="556">
        <f>IF('[3]Tasa de Falla'!HJ87=0,"",'[3]Tasa de Falla'!HJ87)</f>
      </c>
      <c r="I87" s="556">
        <f>IF('[3]Tasa de Falla'!HK87=0,"",'[3]Tasa de Falla'!HK87)</f>
      </c>
      <c r="J87" s="556">
        <f>IF('[3]Tasa de Falla'!HL87=0,"",'[3]Tasa de Falla'!HL87)</f>
      </c>
      <c r="K87" s="556">
        <f>IF('[3]Tasa de Falla'!HM87=0,"",'[3]Tasa de Falla'!HM87)</f>
      </c>
      <c r="L87" s="556">
        <f>IF('[3]Tasa de Falla'!HN87=0,"",'[3]Tasa de Falla'!HN87)</f>
      </c>
      <c r="M87" s="556">
        <f>IF('[3]Tasa de Falla'!HO87=0,"",'[3]Tasa de Falla'!HO87)</f>
      </c>
      <c r="N87" s="556">
        <f>IF('[3]Tasa de Falla'!HP87=0,"",'[3]Tasa de Falla'!HP87)</f>
      </c>
      <c r="O87" s="556">
        <f>IF('[3]Tasa de Falla'!HQ87=0,"",'[3]Tasa de Falla'!HQ87)</f>
      </c>
      <c r="P87" s="556">
        <f>IF('[3]Tasa de Falla'!HR87=0,"",'[3]Tasa de Falla'!HR87)</f>
      </c>
      <c r="Q87" s="556">
        <f>IF('[3]Tasa de Falla'!HS87=0,"",'[3]Tasa de Falla'!HS87)</f>
      </c>
      <c r="R87" s="556">
        <f>IF('[3]Tasa de Falla'!HT87=0,"",'[3]Tasa de Falla'!HT87)</f>
      </c>
      <c r="S87" s="559"/>
      <c r="T87" s="557"/>
    </row>
    <row r="88" spans="2:20" s="551" customFormat="1" ht="19.5" customHeight="1">
      <c r="B88" s="552"/>
      <c r="C88" s="558">
        <f>'[3]Tasa de Falla'!C88</f>
        <v>70</v>
      </c>
      <c r="D88" s="558" t="str">
        <f>'[3]Tasa de Falla'!D88</f>
        <v>RECREO - CATAMARCA</v>
      </c>
      <c r="E88" s="558">
        <f>'[3]Tasa de Falla'!E88</f>
        <v>132</v>
      </c>
      <c r="F88" s="558">
        <f>'[3]Tasa de Falla'!F88</f>
        <v>203</v>
      </c>
      <c r="G88" s="556">
        <f>IF('[3]Tasa de Falla'!HI88=0,"",'[3]Tasa de Falla'!HI88)</f>
      </c>
      <c r="H88" s="556">
        <f>IF('[3]Tasa de Falla'!HJ88=0,"",'[3]Tasa de Falla'!HJ88)</f>
      </c>
      <c r="I88" s="556">
        <f>IF('[3]Tasa de Falla'!HK88=0,"",'[3]Tasa de Falla'!HK88)</f>
      </c>
      <c r="J88" s="556">
        <f>IF('[3]Tasa de Falla'!HL88=0,"",'[3]Tasa de Falla'!HL88)</f>
      </c>
      <c r="K88" s="556">
        <f>IF('[3]Tasa de Falla'!HM88=0,"",'[3]Tasa de Falla'!HM88)</f>
      </c>
      <c r="L88" s="556">
        <f>IF('[3]Tasa de Falla'!HN88=0,"",'[3]Tasa de Falla'!HN88)</f>
      </c>
      <c r="M88" s="556">
        <f>IF('[3]Tasa de Falla'!HO88=0,"",'[3]Tasa de Falla'!HO88)</f>
      </c>
      <c r="N88" s="556">
        <f>IF('[3]Tasa de Falla'!HP88=0,"",'[3]Tasa de Falla'!HP88)</f>
      </c>
      <c r="O88" s="556">
        <f>IF('[3]Tasa de Falla'!HQ88=0,"",'[3]Tasa de Falla'!HQ88)</f>
      </c>
      <c r="P88" s="556">
        <f>IF('[3]Tasa de Falla'!HR88=0,"",'[3]Tasa de Falla'!HR88)</f>
      </c>
      <c r="Q88" s="556">
        <f>IF('[3]Tasa de Falla'!HS88=0,"",'[3]Tasa de Falla'!HS88)</f>
      </c>
      <c r="R88" s="556">
        <f>IF('[3]Tasa de Falla'!HT88=0,"",'[3]Tasa de Falla'!HT88)</f>
      </c>
      <c r="S88" s="559"/>
      <c r="T88" s="557"/>
    </row>
    <row r="89" spans="2:20" s="551" customFormat="1" ht="19.5" customHeight="1">
      <c r="B89" s="552"/>
      <c r="C89" s="558">
        <f>'[3]Tasa de Falla'!C89</f>
        <v>71</v>
      </c>
      <c r="D89" s="558" t="str">
        <f>'[3]Tasa de Falla'!D89</f>
        <v>CABRA CORRAL - EL CARRIL</v>
      </c>
      <c r="E89" s="558">
        <f>'[3]Tasa de Falla'!E89</f>
        <v>132</v>
      </c>
      <c r="F89" s="558">
        <f>'[3]Tasa de Falla'!F89</f>
        <v>33.55</v>
      </c>
      <c r="G89" s="556">
        <f>IF('[3]Tasa de Falla'!HI89=0,"",'[3]Tasa de Falla'!HI89)</f>
      </c>
      <c r="H89" s="556">
        <f>IF('[3]Tasa de Falla'!HJ89=0,"",'[3]Tasa de Falla'!HJ89)</f>
        <v>1</v>
      </c>
      <c r="I89" s="556">
        <f>IF('[3]Tasa de Falla'!HK89=0,"",'[3]Tasa de Falla'!HK89)</f>
        <v>1</v>
      </c>
      <c r="J89" s="556">
        <f>IF('[3]Tasa de Falla'!HL89=0,"",'[3]Tasa de Falla'!HL89)</f>
      </c>
      <c r="K89" s="556">
        <f>IF('[3]Tasa de Falla'!HM89=0,"",'[3]Tasa de Falla'!HM89)</f>
      </c>
      <c r="L89" s="556">
        <f>IF('[3]Tasa de Falla'!HN89=0,"",'[3]Tasa de Falla'!HN89)</f>
      </c>
      <c r="M89" s="556">
        <f>IF('[3]Tasa de Falla'!HO89=0,"",'[3]Tasa de Falla'!HO89)</f>
      </c>
      <c r="N89" s="556">
        <f>IF('[3]Tasa de Falla'!HP89=0,"",'[3]Tasa de Falla'!HP89)</f>
      </c>
      <c r="O89" s="556">
        <f>IF('[3]Tasa de Falla'!HQ89=0,"",'[3]Tasa de Falla'!HQ89)</f>
      </c>
      <c r="P89" s="556">
        <f>IF('[3]Tasa de Falla'!HR89=0,"",'[3]Tasa de Falla'!HR89)</f>
      </c>
      <c r="Q89" s="556">
        <f>IF('[3]Tasa de Falla'!HS89=0,"",'[3]Tasa de Falla'!HS89)</f>
      </c>
      <c r="R89" s="556">
        <f>IF('[3]Tasa de Falla'!HT89=0,"",'[3]Tasa de Falla'!HT89)</f>
      </c>
      <c r="S89" s="559"/>
      <c r="T89" s="557"/>
    </row>
    <row r="90" spans="2:20" s="551" customFormat="1" ht="19.5" customHeight="1">
      <c r="B90" s="552"/>
      <c r="C90" s="558">
        <f>'[3]Tasa de Falla'!C90</f>
        <v>72</v>
      </c>
      <c r="D90" s="558" t="str">
        <f>'[3]Tasa de Falla'!D90</f>
        <v>PAMPA GRANDE - CABRA CORRAL</v>
      </c>
      <c r="E90" s="558">
        <f>'[3]Tasa de Falla'!E90</f>
        <v>132</v>
      </c>
      <c r="F90" s="558">
        <f>'[3]Tasa de Falla'!F90</f>
        <v>60</v>
      </c>
      <c r="G90" s="556">
        <f>IF('[3]Tasa de Falla'!HI90=0,"",'[3]Tasa de Falla'!HI90)</f>
      </c>
      <c r="H90" s="556">
        <f>IF('[3]Tasa de Falla'!HJ90=0,"",'[3]Tasa de Falla'!HJ90)</f>
      </c>
      <c r="I90" s="556">
        <f>IF('[3]Tasa de Falla'!HK90=0,"",'[3]Tasa de Falla'!HK90)</f>
        <v>1</v>
      </c>
      <c r="J90" s="556">
        <f>IF('[3]Tasa de Falla'!HL90=0,"",'[3]Tasa de Falla'!HL90)</f>
      </c>
      <c r="K90" s="556">
        <f>IF('[3]Tasa de Falla'!HM90=0,"",'[3]Tasa de Falla'!HM90)</f>
      </c>
      <c r="L90" s="556">
        <f>IF('[3]Tasa de Falla'!HN90=0,"",'[3]Tasa de Falla'!HN90)</f>
      </c>
      <c r="M90" s="556">
        <f>IF('[3]Tasa de Falla'!HO90=0,"",'[3]Tasa de Falla'!HO90)</f>
      </c>
      <c r="N90" s="556">
        <f>IF('[3]Tasa de Falla'!HP90=0,"",'[3]Tasa de Falla'!HP90)</f>
      </c>
      <c r="O90" s="556">
        <f>IF('[3]Tasa de Falla'!HQ90=0,"",'[3]Tasa de Falla'!HQ90)</f>
      </c>
      <c r="P90" s="556">
        <f>IF('[3]Tasa de Falla'!HR90=0,"",'[3]Tasa de Falla'!HR90)</f>
      </c>
      <c r="Q90" s="556">
        <f>IF('[3]Tasa de Falla'!HS90=0,"",'[3]Tasa de Falla'!HS90)</f>
      </c>
      <c r="R90" s="556">
        <f>IF('[3]Tasa de Falla'!HT90=0,"",'[3]Tasa de Falla'!HT90)</f>
      </c>
      <c r="S90" s="559"/>
      <c r="T90" s="557"/>
    </row>
    <row r="91" spans="2:20" s="551" customFormat="1" ht="19.5" customHeight="1">
      <c r="B91" s="552"/>
      <c r="C91" s="558">
        <f>'[3]Tasa de Falla'!C91</f>
        <v>73</v>
      </c>
      <c r="D91" s="558" t="str">
        <f>'[3]Tasa de Falla'!D91</f>
        <v>PAMPA GRANDE - CAFAYATE</v>
      </c>
      <c r="E91" s="558">
        <f>'[3]Tasa de Falla'!E91</f>
        <v>132</v>
      </c>
      <c r="F91" s="558">
        <f>'[3]Tasa de Falla'!F91</f>
        <v>63</v>
      </c>
      <c r="G91" s="556">
        <f>IF('[3]Tasa de Falla'!HI91=0,"",'[3]Tasa de Falla'!HI91)</f>
      </c>
      <c r="H91" s="556">
        <f>IF('[3]Tasa de Falla'!HJ91=0,"",'[3]Tasa de Falla'!HJ91)</f>
      </c>
      <c r="I91" s="556">
        <f>IF('[3]Tasa de Falla'!HK91=0,"",'[3]Tasa de Falla'!HK91)</f>
      </c>
      <c r="J91" s="556">
        <f>IF('[3]Tasa de Falla'!HL91=0,"",'[3]Tasa de Falla'!HL91)</f>
      </c>
      <c r="K91" s="556">
        <f>IF('[3]Tasa de Falla'!HM91=0,"",'[3]Tasa de Falla'!HM91)</f>
      </c>
      <c r="L91" s="556">
        <f>IF('[3]Tasa de Falla'!HN91=0,"",'[3]Tasa de Falla'!HN91)</f>
      </c>
      <c r="M91" s="556">
        <f>IF('[3]Tasa de Falla'!HO91=0,"",'[3]Tasa de Falla'!HO91)</f>
      </c>
      <c r="N91" s="556">
        <f>IF('[3]Tasa de Falla'!HP91=0,"",'[3]Tasa de Falla'!HP91)</f>
      </c>
      <c r="O91" s="556">
        <f>IF('[3]Tasa de Falla'!HQ91=0,"",'[3]Tasa de Falla'!HQ91)</f>
      </c>
      <c r="P91" s="556">
        <f>IF('[3]Tasa de Falla'!HR91=0,"",'[3]Tasa de Falla'!HR91)</f>
        <v>1</v>
      </c>
      <c r="Q91" s="556">
        <f>IF('[3]Tasa de Falla'!HS91=0,"",'[3]Tasa de Falla'!HS91)</f>
      </c>
      <c r="R91" s="556">
        <f>IF('[3]Tasa de Falla'!HT91=0,"",'[3]Tasa de Falla'!HT91)</f>
      </c>
      <c r="S91" s="559"/>
      <c r="T91" s="557"/>
    </row>
    <row r="92" spans="2:20" s="551" customFormat="1" ht="19.5" customHeight="1">
      <c r="B92" s="552"/>
      <c r="C92" s="558">
        <f>'[3]Tasa de Falla'!C92</f>
        <v>74</v>
      </c>
      <c r="D92" s="558" t="str">
        <f>'[3]Tasa de Falla'!D92</f>
        <v>PAMPA GRANDE - TRANCAS</v>
      </c>
      <c r="E92" s="558">
        <f>'[3]Tasa de Falla'!E92</f>
        <v>132</v>
      </c>
      <c r="F92" s="558">
        <f>'[3]Tasa de Falla'!F92</f>
        <v>55</v>
      </c>
      <c r="G92" s="556">
        <f>IF('[3]Tasa de Falla'!HI92=0,"",'[3]Tasa de Falla'!HI92)</f>
      </c>
      <c r="H92" s="556">
        <f>IF('[3]Tasa de Falla'!HJ92=0,"",'[3]Tasa de Falla'!HJ92)</f>
      </c>
      <c r="I92" s="556">
        <f>IF('[3]Tasa de Falla'!HK92=0,"",'[3]Tasa de Falla'!HK92)</f>
      </c>
      <c r="J92" s="556">
        <f>IF('[3]Tasa de Falla'!HL92=0,"",'[3]Tasa de Falla'!HL92)</f>
      </c>
      <c r="K92" s="556">
        <f>IF('[3]Tasa de Falla'!HM92=0,"",'[3]Tasa de Falla'!HM92)</f>
      </c>
      <c r="L92" s="556">
        <f>IF('[3]Tasa de Falla'!HN92=0,"",'[3]Tasa de Falla'!HN92)</f>
      </c>
      <c r="M92" s="556">
        <f>IF('[3]Tasa de Falla'!HO92=0,"",'[3]Tasa de Falla'!HO92)</f>
      </c>
      <c r="N92" s="556">
        <f>IF('[3]Tasa de Falla'!HP92=0,"",'[3]Tasa de Falla'!HP92)</f>
      </c>
      <c r="O92" s="556">
        <f>IF('[3]Tasa de Falla'!HQ92=0,"",'[3]Tasa de Falla'!HQ92)</f>
      </c>
      <c r="P92" s="556">
        <f>IF('[3]Tasa de Falla'!HR92=0,"",'[3]Tasa de Falla'!HR92)</f>
      </c>
      <c r="Q92" s="556">
        <f>IF('[3]Tasa de Falla'!HS92=0,"",'[3]Tasa de Falla'!HS92)</f>
      </c>
      <c r="R92" s="556">
        <f>IF('[3]Tasa de Falla'!HT92=0,"",'[3]Tasa de Falla'!HT92)</f>
        <v>1</v>
      </c>
      <c r="S92" s="559"/>
      <c r="T92" s="557"/>
    </row>
    <row r="93" spans="2:20" s="551" customFormat="1" ht="19.5" customHeight="1">
      <c r="B93" s="552"/>
      <c r="C93" s="558">
        <f>'[3]Tasa de Falla'!C93</f>
        <v>75</v>
      </c>
      <c r="D93" s="558" t="str">
        <f>'[3]Tasa de Falla'!D93</f>
        <v>SANTIAGO CENTRO - SUNCHO CORRAL </v>
      </c>
      <c r="E93" s="558">
        <f>'[3]Tasa de Falla'!E93</f>
        <v>132</v>
      </c>
      <c r="F93" s="558">
        <f>'[3]Tasa de Falla'!F93</f>
        <v>103</v>
      </c>
      <c r="G93" s="556">
        <f>IF('[3]Tasa de Falla'!HI93=0,"",'[3]Tasa de Falla'!HI93)</f>
      </c>
      <c r="H93" s="556">
        <f>IF('[3]Tasa de Falla'!HJ93=0,"",'[3]Tasa de Falla'!HJ93)</f>
        <v>2</v>
      </c>
      <c r="I93" s="556">
        <f>IF('[3]Tasa de Falla'!HK93=0,"",'[3]Tasa de Falla'!HK93)</f>
      </c>
      <c r="J93" s="556">
        <f>IF('[3]Tasa de Falla'!HL93=0,"",'[3]Tasa de Falla'!HL93)</f>
        <v>1</v>
      </c>
      <c r="K93" s="556">
        <f>IF('[3]Tasa de Falla'!HM93=0,"",'[3]Tasa de Falla'!HM93)</f>
        <v>1</v>
      </c>
      <c r="L93" s="556">
        <f>IF('[3]Tasa de Falla'!HN93=0,"",'[3]Tasa de Falla'!HN93)</f>
      </c>
      <c r="M93" s="556">
        <f>IF('[3]Tasa de Falla'!HO93=0,"",'[3]Tasa de Falla'!HO93)</f>
      </c>
      <c r="N93" s="556">
        <f>IF('[3]Tasa de Falla'!HP93=0,"",'[3]Tasa de Falla'!HP93)</f>
      </c>
      <c r="O93" s="556">
        <f>IF('[3]Tasa de Falla'!HQ93=0,"",'[3]Tasa de Falla'!HQ93)</f>
      </c>
      <c r="P93" s="556">
        <f>IF('[3]Tasa de Falla'!HR93=0,"",'[3]Tasa de Falla'!HR93)</f>
      </c>
      <c r="Q93" s="556">
        <f>IF('[3]Tasa de Falla'!HS93=0,"",'[3]Tasa de Falla'!HS93)</f>
      </c>
      <c r="R93" s="556">
        <f>IF('[3]Tasa de Falla'!HT93=0,"",'[3]Tasa de Falla'!HT93)</f>
      </c>
      <c r="S93" s="559"/>
      <c r="T93" s="557"/>
    </row>
    <row r="94" spans="2:20" s="551" customFormat="1" ht="19.5" customHeight="1">
      <c r="B94" s="552"/>
      <c r="C94" s="558">
        <f>'[3]Tasa de Falla'!C94</f>
        <v>76</v>
      </c>
      <c r="D94" s="558" t="str">
        <f>'[3]Tasa de Falla'!D94</f>
        <v>SUNCHO CORRAL - ANATUYA</v>
      </c>
      <c r="E94" s="558">
        <f>'[3]Tasa de Falla'!E94</f>
        <v>132</v>
      </c>
      <c r="F94" s="558">
        <f>'[3]Tasa de Falla'!F94</f>
        <v>81</v>
      </c>
      <c r="G94" s="556">
        <f>IF('[3]Tasa de Falla'!HI94=0,"",'[3]Tasa de Falla'!HI94)</f>
      </c>
      <c r="H94" s="556">
        <f>IF('[3]Tasa de Falla'!HJ94=0,"",'[3]Tasa de Falla'!HJ94)</f>
      </c>
      <c r="I94" s="556">
        <f>IF('[3]Tasa de Falla'!HK94=0,"",'[3]Tasa de Falla'!HK94)</f>
      </c>
      <c r="J94" s="556">
        <f>IF('[3]Tasa de Falla'!HL94=0,"",'[3]Tasa de Falla'!HL94)</f>
      </c>
      <c r="K94" s="556">
        <f>IF('[3]Tasa de Falla'!HM94=0,"",'[3]Tasa de Falla'!HM94)</f>
      </c>
      <c r="L94" s="556">
        <f>IF('[3]Tasa de Falla'!HN94=0,"",'[3]Tasa de Falla'!HN94)</f>
      </c>
      <c r="M94" s="556">
        <f>IF('[3]Tasa de Falla'!HO94=0,"",'[3]Tasa de Falla'!HO94)</f>
      </c>
      <c r="N94" s="556">
        <f>IF('[3]Tasa de Falla'!HP94=0,"",'[3]Tasa de Falla'!HP94)</f>
      </c>
      <c r="O94" s="556">
        <f>IF('[3]Tasa de Falla'!HQ94=0,"",'[3]Tasa de Falla'!HQ94)</f>
      </c>
      <c r="P94" s="556">
        <f>IF('[3]Tasa de Falla'!HR94=0,"",'[3]Tasa de Falla'!HR94)</f>
      </c>
      <c r="Q94" s="556">
        <f>IF('[3]Tasa de Falla'!HS94=0,"",'[3]Tasa de Falla'!HS94)</f>
      </c>
      <c r="R94" s="556">
        <f>IF('[3]Tasa de Falla'!HT94=0,"",'[3]Tasa de Falla'!HT94)</f>
      </c>
      <c r="S94" s="559"/>
      <c r="T94" s="557"/>
    </row>
    <row r="95" spans="2:20" s="551" customFormat="1" ht="19.5" customHeight="1">
      <c r="B95" s="552"/>
      <c r="C95" s="558">
        <f>'[3]Tasa de Falla'!C95</f>
        <v>77</v>
      </c>
      <c r="D95" s="558" t="str">
        <f>'[3]Tasa de Falla'!D95</f>
        <v>LAS MADERAS - GÜEMES SALTA</v>
      </c>
      <c r="E95" s="558">
        <f>'[3]Tasa de Falla'!E95</f>
        <v>132</v>
      </c>
      <c r="F95" s="558">
        <f>'[3]Tasa de Falla'!F95</f>
        <v>42</v>
      </c>
      <c r="G95" s="556">
        <f>IF('[3]Tasa de Falla'!HI95=0,"",'[3]Tasa de Falla'!HI95)</f>
      </c>
      <c r="H95" s="556">
        <f>IF('[3]Tasa de Falla'!HJ95=0,"",'[3]Tasa de Falla'!HJ95)</f>
      </c>
      <c r="I95" s="556">
        <f>IF('[3]Tasa de Falla'!HK95=0,"",'[3]Tasa de Falla'!HK95)</f>
      </c>
      <c r="J95" s="556">
        <f>IF('[3]Tasa de Falla'!HL95=0,"",'[3]Tasa de Falla'!HL95)</f>
      </c>
      <c r="K95" s="556">
        <f>IF('[3]Tasa de Falla'!HM95=0,"",'[3]Tasa de Falla'!HM95)</f>
      </c>
      <c r="L95" s="556">
        <f>IF('[3]Tasa de Falla'!HN95=0,"",'[3]Tasa de Falla'!HN95)</f>
      </c>
      <c r="M95" s="556">
        <f>IF('[3]Tasa de Falla'!HO95=0,"",'[3]Tasa de Falla'!HO95)</f>
      </c>
      <c r="N95" s="556">
        <f>IF('[3]Tasa de Falla'!HP95=0,"",'[3]Tasa de Falla'!HP95)</f>
        <v>1</v>
      </c>
      <c r="O95" s="556">
        <f>IF('[3]Tasa de Falla'!HQ95=0,"",'[3]Tasa de Falla'!HQ95)</f>
      </c>
      <c r="P95" s="556">
        <f>IF('[3]Tasa de Falla'!HR95=0,"",'[3]Tasa de Falla'!HR95)</f>
      </c>
      <c r="Q95" s="556">
        <f>IF('[3]Tasa de Falla'!HS95=0,"",'[3]Tasa de Falla'!HS95)</f>
      </c>
      <c r="R95" s="556">
        <f>IF('[3]Tasa de Falla'!HT95=0,"",'[3]Tasa de Falla'!HT95)</f>
      </c>
      <c r="S95" s="559"/>
      <c r="T95" s="557"/>
    </row>
    <row r="96" spans="2:20" s="551" customFormat="1" ht="19.5" customHeight="1">
      <c r="B96" s="552"/>
      <c r="C96" s="558">
        <f>'[3]Tasa de Falla'!C96</f>
        <v>78</v>
      </c>
      <c r="D96" s="558" t="str">
        <f>'[3]Tasa de Falla'!D96</f>
        <v>INDEPENDENCIA - EL BRACHO 2</v>
      </c>
      <c r="E96" s="558">
        <f>'[3]Tasa de Falla'!E96</f>
        <v>132</v>
      </c>
      <c r="F96" s="558">
        <f>'[3]Tasa de Falla'!F96</f>
        <v>17.1</v>
      </c>
      <c r="G96" s="556">
        <f>IF('[3]Tasa de Falla'!HI96=0,"",'[3]Tasa de Falla'!HI96)</f>
      </c>
      <c r="H96" s="556">
        <f>IF('[3]Tasa de Falla'!HJ96=0,"",'[3]Tasa de Falla'!HJ96)</f>
        <v>1</v>
      </c>
      <c r="I96" s="556">
        <f>IF('[3]Tasa de Falla'!HK96=0,"",'[3]Tasa de Falla'!HK96)</f>
        <v>1</v>
      </c>
      <c r="J96" s="556">
        <f>IF('[3]Tasa de Falla'!HL96=0,"",'[3]Tasa de Falla'!HL96)</f>
      </c>
      <c r="K96" s="556">
        <f>IF('[3]Tasa de Falla'!HM96=0,"",'[3]Tasa de Falla'!HM96)</f>
      </c>
      <c r="L96" s="556">
        <f>IF('[3]Tasa de Falla'!HN96=0,"",'[3]Tasa de Falla'!HN96)</f>
      </c>
      <c r="M96" s="556">
        <f>IF('[3]Tasa de Falla'!HO96=0,"",'[3]Tasa de Falla'!HO96)</f>
      </c>
      <c r="N96" s="556">
        <f>IF('[3]Tasa de Falla'!HP96=0,"",'[3]Tasa de Falla'!HP96)</f>
      </c>
      <c r="O96" s="556">
        <f>IF('[3]Tasa de Falla'!HQ96=0,"",'[3]Tasa de Falla'!HQ96)</f>
      </c>
      <c r="P96" s="556">
        <f>IF('[3]Tasa de Falla'!HR96=0,"",'[3]Tasa de Falla'!HR96)</f>
      </c>
      <c r="Q96" s="556">
        <f>IF('[3]Tasa de Falla'!HS96=0,"",'[3]Tasa de Falla'!HS96)</f>
      </c>
      <c r="R96" s="556">
        <f>IF('[3]Tasa de Falla'!HT96=0,"",'[3]Tasa de Falla'!HT96)</f>
      </c>
      <c r="S96" s="559"/>
      <c r="T96" s="557"/>
    </row>
    <row r="97" spans="2:20" s="551" customFormat="1" ht="19.5" customHeight="1">
      <c r="B97" s="552"/>
      <c r="C97" s="558">
        <f>'[3]Tasa de Falla'!C97</f>
        <v>79</v>
      </c>
      <c r="D97" s="558" t="str">
        <f>'[3]Tasa de Falla'!D97</f>
        <v>GÜEMES - SALTA SUR</v>
      </c>
      <c r="E97" s="558">
        <f>'[3]Tasa de Falla'!E97</f>
        <v>132</v>
      </c>
      <c r="F97" s="558">
        <f>'[3]Tasa de Falla'!F97</f>
        <v>47.6</v>
      </c>
      <c r="G97" s="556">
        <f>IF('[3]Tasa de Falla'!HI97=0,"",'[3]Tasa de Falla'!HI97)</f>
      </c>
      <c r="H97" s="556">
        <f>IF('[3]Tasa de Falla'!HJ97=0,"",'[3]Tasa de Falla'!HJ97)</f>
      </c>
      <c r="I97" s="556">
        <f>IF('[3]Tasa de Falla'!HK97=0,"",'[3]Tasa de Falla'!HK97)</f>
      </c>
      <c r="J97" s="556">
        <f>IF('[3]Tasa de Falla'!HL97=0,"",'[3]Tasa de Falla'!HL97)</f>
      </c>
      <c r="K97" s="556">
        <f>IF('[3]Tasa de Falla'!HM97=0,"",'[3]Tasa de Falla'!HM97)</f>
      </c>
      <c r="L97" s="556">
        <f>IF('[3]Tasa de Falla'!HN97=0,"",'[3]Tasa de Falla'!HN97)</f>
      </c>
      <c r="M97" s="556">
        <f>IF('[3]Tasa de Falla'!HO97=0,"",'[3]Tasa de Falla'!HO97)</f>
      </c>
      <c r="N97" s="556">
        <f>IF('[3]Tasa de Falla'!HP97=0,"",'[3]Tasa de Falla'!HP97)</f>
        <v>1</v>
      </c>
      <c r="O97" s="556">
        <f>IF('[3]Tasa de Falla'!HQ97=0,"",'[3]Tasa de Falla'!HQ97)</f>
      </c>
      <c r="P97" s="556">
        <f>IF('[3]Tasa de Falla'!HR97=0,"",'[3]Tasa de Falla'!HR97)</f>
      </c>
      <c r="Q97" s="556">
        <f>IF('[3]Tasa de Falla'!HS97=0,"",'[3]Tasa de Falla'!HS97)</f>
      </c>
      <c r="R97" s="556">
        <f>IF('[3]Tasa de Falla'!HT97=0,"",'[3]Tasa de Falla'!HT97)</f>
      </c>
      <c r="S97" s="559"/>
      <c r="T97" s="557"/>
    </row>
    <row r="98" spans="2:20" s="551" customFormat="1" ht="19.5" customHeight="1">
      <c r="B98" s="552"/>
      <c r="C98" s="558">
        <f>'[3]Tasa de Falla'!C98</f>
        <v>80</v>
      </c>
      <c r="D98" s="558" t="str">
        <f>'[3]Tasa de Falla'!D98</f>
        <v>BURRUYACU - COBOS</v>
      </c>
      <c r="E98" s="558">
        <f>'[3]Tasa de Falla'!E98</f>
        <v>132</v>
      </c>
      <c r="F98" s="558">
        <f>'[3]Tasa de Falla'!F98</f>
        <v>229.5</v>
      </c>
      <c r="G98" s="556" t="str">
        <f>IF('[3]Tasa de Falla'!HI98=0,"",'[3]Tasa de Falla'!HI98)</f>
        <v>XXXX</v>
      </c>
      <c r="H98" s="556" t="str">
        <f>IF('[3]Tasa de Falla'!HJ98=0,"",'[3]Tasa de Falla'!HJ98)</f>
        <v>XXXX</v>
      </c>
      <c r="I98" s="556" t="str">
        <f>IF('[3]Tasa de Falla'!HK98=0,"",'[3]Tasa de Falla'!HK98)</f>
        <v>XXXX</v>
      </c>
      <c r="J98" s="556" t="str">
        <f>IF('[3]Tasa de Falla'!HL98=0,"",'[3]Tasa de Falla'!HL98)</f>
        <v>XXXX</v>
      </c>
      <c r="K98" s="556" t="str">
        <f>IF('[3]Tasa de Falla'!HM98=0,"",'[3]Tasa de Falla'!HM98)</f>
        <v>XXXX</v>
      </c>
      <c r="L98" s="556" t="str">
        <f>IF('[3]Tasa de Falla'!HN98=0,"",'[3]Tasa de Falla'!HN98)</f>
        <v>XXXX</v>
      </c>
      <c r="M98" s="556" t="str">
        <f>IF('[3]Tasa de Falla'!HO98=0,"",'[3]Tasa de Falla'!HO98)</f>
        <v>XXXX</v>
      </c>
      <c r="N98" s="556" t="str">
        <f>IF('[3]Tasa de Falla'!HP98=0,"",'[3]Tasa de Falla'!HP98)</f>
        <v>XXXX</v>
      </c>
      <c r="O98" s="556" t="str">
        <f>IF('[3]Tasa de Falla'!HQ98=0,"",'[3]Tasa de Falla'!HQ98)</f>
        <v>XXXX</v>
      </c>
      <c r="P98" s="556" t="str">
        <f>IF('[3]Tasa de Falla'!HR98=0,"",'[3]Tasa de Falla'!HR98)</f>
        <v>XXXX</v>
      </c>
      <c r="Q98" s="556" t="str">
        <f>IF('[3]Tasa de Falla'!HS98=0,"",'[3]Tasa de Falla'!HS98)</f>
        <v>XXXX</v>
      </c>
      <c r="R98" s="556" t="str">
        <f>IF('[3]Tasa de Falla'!HT98=0,"",'[3]Tasa de Falla'!HT98)</f>
        <v>XXXX</v>
      </c>
      <c r="S98" s="559"/>
      <c r="T98" s="557"/>
    </row>
    <row r="99" spans="2:20" s="551" customFormat="1" ht="19.5" customHeight="1">
      <c r="B99" s="552"/>
      <c r="C99" s="558">
        <f>'[3]Tasa de Falla'!C99</f>
        <v>81</v>
      </c>
      <c r="D99" s="558" t="str">
        <f>'[3]Tasa de Falla'!D99</f>
        <v>METAN - COBOS</v>
      </c>
      <c r="E99" s="558">
        <f>'[3]Tasa de Falla'!E99</f>
        <v>132</v>
      </c>
      <c r="F99" s="558">
        <f>'[3]Tasa de Falla'!F99</f>
        <v>89.2</v>
      </c>
      <c r="G99" s="556">
        <f>IF('[3]Tasa de Falla'!HI99=0,"",'[3]Tasa de Falla'!HI99)</f>
      </c>
      <c r="H99" s="556">
        <f>IF('[3]Tasa de Falla'!HJ99=0,"",'[3]Tasa de Falla'!HJ99)</f>
      </c>
      <c r="I99" s="556">
        <f>IF('[3]Tasa de Falla'!HK99=0,"",'[3]Tasa de Falla'!HK99)</f>
      </c>
      <c r="J99" s="556">
        <f>IF('[3]Tasa de Falla'!HL99=0,"",'[3]Tasa de Falla'!HL99)</f>
      </c>
      <c r="K99" s="556">
        <f>IF('[3]Tasa de Falla'!HM99=0,"",'[3]Tasa de Falla'!HM99)</f>
      </c>
      <c r="L99" s="556">
        <f>IF('[3]Tasa de Falla'!HN99=0,"",'[3]Tasa de Falla'!HN99)</f>
      </c>
      <c r="M99" s="556">
        <f>IF('[3]Tasa de Falla'!HO99=0,"",'[3]Tasa de Falla'!HO99)</f>
      </c>
      <c r="N99" s="556">
        <f>IF('[3]Tasa de Falla'!HP99=0,"",'[3]Tasa de Falla'!HP99)</f>
      </c>
      <c r="O99" s="556">
        <f>IF('[3]Tasa de Falla'!HQ99=0,"",'[3]Tasa de Falla'!HQ99)</f>
      </c>
      <c r="P99" s="556">
        <f>IF('[3]Tasa de Falla'!HR99=0,"",'[3]Tasa de Falla'!HR99)</f>
      </c>
      <c r="Q99" s="556">
        <f>IF('[3]Tasa de Falla'!HS99=0,"",'[3]Tasa de Falla'!HS99)</f>
      </c>
      <c r="R99" s="556">
        <f>IF('[3]Tasa de Falla'!HT99=0,"",'[3]Tasa de Falla'!HT99)</f>
      </c>
      <c r="S99" s="559"/>
      <c r="T99" s="557"/>
    </row>
    <row r="100" spans="2:20" s="551" customFormat="1" ht="19.5" customHeight="1">
      <c r="B100" s="552"/>
      <c r="C100" s="558">
        <f>'[3]Tasa de Falla'!C100</f>
        <v>82</v>
      </c>
      <c r="D100" s="558" t="str">
        <f>'[3]Tasa de Falla'!D100</f>
        <v>AÑATUYA - BANDERA</v>
      </c>
      <c r="E100" s="558">
        <f>'[3]Tasa de Falla'!E100</f>
        <v>132</v>
      </c>
      <c r="F100" s="558">
        <f>'[3]Tasa de Falla'!F100</f>
        <v>76</v>
      </c>
      <c r="G100" s="556">
        <f>IF('[3]Tasa de Falla'!HI100=0,"",'[3]Tasa de Falla'!HI100)</f>
        <v>1</v>
      </c>
      <c r="H100" s="556">
        <f>IF('[3]Tasa de Falla'!HJ100=0,"",'[3]Tasa de Falla'!HJ100)</f>
      </c>
      <c r="I100" s="556">
        <f>IF('[3]Tasa de Falla'!HK100=0,"",'[3]Tasa de Falla'!HK100)</f>
      </c>
      <c r="J100" s="556">
        <f>IF('[3]Tasa de Falla'!HL100=0,"",'[3]Tasa de Falla'!HL100)</f>
        <v>1</v>
      </c>
      <c r="K100" s="556">
        <f>IF('[3]Tasa de Falla'!HM100=0,"",'[3]Tasa de Falla'!HM100)</f>
      </c>
      <c r="L100" s="556">
        <f>IF('[3]Tasa de Falla'!HN100=0,"",'[3]Tasa de Falla'!HN100)</f>
      </c>
      <c r="M100" s="556">
        <f>IF('[3]Tasa de Falla'!HO100=0,"",'[3]Tasa de Falla'!HO100)</f>
      </c>
      <c r="N100" s="556">
        <f>IF('[3]Tasa de Falla'!HP100=0,"",'[3]Tasa de Falla'!HP100)</f>
      </c>
      <c r="O100" s="556">
        <f>IF('[3]Tasa de Falla'!HQ100=0,"",'[3]Tasa de Falla'!HQ100)</f>
        <v>2</v>
      </c>
      <c r="P100" s="556">
        <f>IF('[3]Tasa de Falla'!HR100=0,"",'[3]Tasa de Falla'!HR100)</f>
      </c>
      <c r="Q100" s="556">
        <f>IF('[3]Tasa de Falla'!HS100=0,"",'[3]Tasa de Falla'!HS100)</f>
      </c>
      <c r="R100" s="556">
        <f>IF('[3]Tasa de Falla'!HT100=0,"",'[3]Tasa de Falla'!HT100)</f>
        <v>1</v>
      </c>
      <c r="S100" s="559"/>
      <c r="T100" s="557"/>
    </row>
    <row r="101" spans="2:20" s="551" customFormat="1" ht="19.5" customHeight="1">
      <c r="B101" s="552"/>
      <c r="C101" s="558">
        <f>'[3]Tasa de Falla'!C101</f>
        <v>84</v>
      </c>
      <c r="D101" s="558" t="str">
        <f>'[3]Tasa de Falla'!D101</f>
        <v>GÜEMES SALTA - COBOS 1</v>
      </c>
      <c r="E101" s="558">
        <f>'[3]Tasa de Falla'!E101</f>
        <v>132</v>
      </c>
      <c r="F101" s="558">
        <f>'[3]Tasa de Falla'!F101</f>
        <v>12.1</v>
      </c>
      <c r="G101" s="556">
        <f>IF('[3]Tasa de Falla'!HI101=0,"",'[3]Tasa de Falla'!HI101)</f>
      </c>
      <c r="H101" s="556">
        <f>IF('[3]Tasa de Falla'!HJ101=0,"",'[3]Tasa de Falla'!HJ101)</f>
      </c>
      <c r="I101" s="556">
        <f>IF('[3]Tasa de Falla'!HK101=0,"",'[3]Tasa de Falla'!HK101)</f>
        <v>1</v>
      </c>
      <c r="J101" s="556">
        <f>IF('[3]Tasa de Falla'!HL101=0,"",'[3]Tasa de Falla'!HL101)</f>
      </c>
      <c r="K101" s="556">
        <f>IF('[3]Tasa de Falla'!HM101=0,"",'[3]Tasa de Falla'!HM101)</f>
      </c>
      <c r="L101" s="556">
        <f>IF('[3]Tasa de Falla'!HN101=0,"",'[3]Tasa de Falla'!HN101)</f>
      </c>
      <c r="M101" s="556">
        <f>IF('[3]Tasa de Falla'!HO101=0,"",'[3]Tasa de Falla'!HO101)</f>
      </c>
      <c r="N101" s="556">
        <f>IF('[3]Tasa de Falla'!HP101=0,"",'[3]Tasa de Falla'!HP101)</f>
      </c>
      <c r="O101" s="556">
        <f>IF('[3]Tasa de Falla'!HQ101=0,"",'[3]Tasa de Falla'!HQ101)</f>
      </c>
      <c r="P101" s="556">
        <f>IF('[3]Tasa de Falla'!HR101=0,"",'[3]Tasa de Falla'!HR101)</f>
      </c>
      <c r="Q101" s="556">
        <f>IF('[3]Tasa de Falla'!HS101=0,"",'[3]Tasa de Falla'!HS101)</f>
      </c>
      <c r="R101" s="556">
        <f>IF('[3]Tasa de Falla'!HT101=0,"",'[3]Tasa de Falla'!HT101)</f>
      </c>
      <c r="S101" s="559"/>
      <c r="T101" s="557"/>
    </row>
    <row r="102" spans="2:20" s="551" customFormat="1" ht="19.5" customHeight="1">
      <c r="B102" s="552"/>
      <c r="C102" s="558">
        <f>'[3]Tasa de Falla'!C102</f>
        <v>85</v>
      </c>
      <c r="D102" s="558" t="str">
        <f>'[3]Tasa de Falla'!D102</f>
        <v>GÜEMES SALTA - COBOS 2</v>
      </c>
      <c r="E102" s="558">
        <f>'[3]Tasa de Falla'!E102</f>
        <v>132</v>
      </c>
      <c r="F102" s="558">
        <f>'[3]Tasa de Falla'!F102</f>
        <v>12.1</v>
      </c>
      <c r="G102" s="556">
        <f>IF('[3]Tasa de Falla'!HI102=0,"",'[3]Tasa de Falla'!HI102)</f>
      </c>
      <c r="H102" s="556">
        <f>IF('[3]Tasa de Falla'!HJ102=0,"",'[3]Tasa de Falla'!HJ102)</f>
      </c>
      <c r="I102" s="556">
        <f>IF('[3]Tasa de Falla'!HK102=0,"",'[3]Tasa de Falla'!HK102)</f>
      </c>
      <c r="J102" s="556">
        <f>IF('[3]Tasa de Falla'!HL102=0,"",'[3]Tasa de Falla'!HL102)</f>
      </c>
      <c r="K102" s="556">
        <f>IF('[3]Tasa de Falla'!HM102=0,"",'[3]Tasa de Falla'!HM102)</f>
      </c>
      <c r="L102" s="556">
        <f>IF('[3]Tasa de Falla'!HN102=0,"",'[3]Tasa de Falla'!HN102)</f>
      </c>
      <c r="M102" s="556">
        <f>IF('[3]Tasa de Falla'!HO102=0,"",'[3]Tasa de Falla'!HO102)</f>
      </c>
      <c r="N102" s="556">
        <f>IF('[3]Tasa de Falla'!HP102=0,"",'[3]Tasa de Falla'!HP102)</f>
      </c>
      <c r="O102" s="556">
        <f>IF('[3]Tasa de Falla'!HQ102=0,"",'[3]Tasa de Falla'!HQ102)</f>
      </c>
      <c r="P102" s="556">
        <f>IF('[3]Tasa de Falla'!HR102=0,"",'[3]Tasa de Falla'!HR102)</f>
      </c>
      <c r="Q102" s="556">
        <f>IF('[3]Tasa de Falla'!HS102=0,"",'[3]Tasa de Falla'!HS102)</f>
      </c>
      <c r="R102" s="556">
        <f>IF('[3]Tasa de Falla'!HT102=0,"",'[3]Tasa de Falla'!HT102)</f>
      </c>
      <c r="S102" s="559"/>
      <c r="T102" s="557"/>
    </row>
    <row r="103" spans="2:20" s="551" customFormat="1" ht="19.5" customHeight="1">
      <c r="B103" s="552"/>
      <c r="C103" s="558">
        <f>'[3]Tasa de Falla'!C103</f>
        <v>86</v>
      </c>
      <c r="D103" s="558" t="str">
        <f>'[3]Tasa de Falla'!D103</f>
        <v>EL BRACHO - LA BANDA</v>
      </c>
      <c r="E103" s="558">
        <f>'[3]Tasa de Falla'!E103</f>
        <v>132</v>
      </c>
      <c r="F103" s="558">
        <f>'[3]Tasa de Falla'!F103</f>
        <v>133.5</v>
      </c>
      <c r="G103" s="556">
        <f>IF('[3]Tasa de Falla'!HI103=0,"",'[3]Tasa de Falla'!HI103)</f>
      </c>
      <c r="H103" s="556">
        <f>IF('[3]Tasa de Falla'!HJ103=0,"",'[3]Tasa de Falla'!HJ103)</f>
        <v>2</v>
      </c>
      <c r="I103" s="556">
        <f>IF('[3]Tasa de Falla'!HK103=0,"",'[3]Tasa de Falla'!HK103)</f>
      </c>
      <c r="J103" s="556">
        <f>IF('[3]Tasa de Falla'!HL103=0,"",'[3]Tasa de Falla'!HL103)</f>
      </c>
      <c r="K103" s="556">
        <f>IF('[3]Tasa de Falla'!HM103=0,"",'[3]Tasa de Falla'!HM103)</f>
      </c>
      <c r="L103" s="556">
        <f>IF('[3]Tasa de Falla'!HN103=0,"",'[3]Tasa de Falla'!HN103)</f>
      </c>
      <c r="M103" s="556">
        <f>IF('[3]Tasa de Falla'!HO103=0,"",'[3]Tasa de Falla'!HO103)</f>
      </c>
      <c r="N103" s="556">
        <f>IF('[3]Tasa de Falla'!HP103=0,"",'[3]Tasa de Falla'!HP103)</f>
      </c>
      <c r="O103" s="556">
        <f>IF('[3]Tasa de Falla'!HQ103=0,"",'[3]Tasa de Falla'!HQ103)</f>
      </c>
      <c r="P103" s="556">
        <f>IF('[3]Tasa de Falla'!HR103=0,"",'[3]Tasa de Falla'!HR103)</f>
        <v>1</v>
      </c>
      <c r="Q103" s="556">
        <f>IF('[3]Tasa de Falla'!HS103=0,"",'[3]Tasa de Falla'!HS103)</f>
      </c>
      <c r="R103" s="556">
        <f>IF('[3]Tasa de Falla'!HT103=0,"",'[3]Tasa de Falla'!HT103)</f>
      </c>
      <c r="S103" s="559"/>
      <c r="T103" s="557"/>
    </row>
    <row r="104" spans="2:20" s="551" customFormat="1" ht="19.5" customHeight="1">
      <c r="B104" s="552"/>
      <c r="C104" s="558">
        <f>'[3]Tasa de Falla'!C104</f>
        <v>87</v>
      </c>
      <c r="D104" s="558" t="str">
        <f>'[3]Tasa de Falla'!D104</f>
        <v>SANTIAGO OESTE - SANTIAGO SUR </v>
      </c>
      <c r="E104" s="558">
        <f>'[3]Tasa de Falla'!E104</f>
        <v>132</v>
      </c>
      <c r="F104" s="558">
        <f>'[3]Tasa de Falla'!F104</f>
        <v>10.6</v>
      </c>
      <c r="G104" s="556">
        <f>IF('[3]Tasa de Falla'!HI104=0,"",'[3]Tasa de Falla'!HI104)</f>
      </c>
      <c r="H104" s="556">
        <f>IF('[3]Tasa de Falla'!HJ104=0,"",'[3]Tasa de Falla'!HJ104)</f>
      </c>
      <c r="I104" s="556">
        <f>IF('[3]Tasa de Falla'!HK104=0,"",'[3]Tasa de Falla'!HK104)</f>
      </c>
      <c r="J104" s="556">
        <f>IF('[3]Tasa de Falla'!HL104=0,"",'[3]Tasa de Falla'!HL104)</f>
      </c>
      <c r="K104" s="556">
        <f>IF('[3]Tasa de Falla'!HM104=0,"",'[3]Tasa de Falla'!HM104)</f>
      </c>
      <c r="L104" s="556">
        <f>IF('[3]Tasa de Falla'!HN104=0,"",'[3]Tasa de Falla'!HN104)</f>
      </c>
      <c r="M104" s="556">
        <f>IF('[3]Tasa de Falla'!HO104=0,"",'[3]Tasa de Falla'!HO104)</f>
      </c>
      <c r="N104" s="556">
        <f>IF('[3]Tasa de Falla'!HP104=0,"",'[3]Tasa de Falla'!HP104)</f>
      </c>
      <c r="O104" s="556">
        <f>IF('[3]Tasa de Falla'!HQ104=0,"",'[3]Tasa de Falla'!HQ104)</f>
      </c>
      <c r="P104" s="556">
        <f>IF('[3]Tasa de Falla'!HR104=0,"",'[3]Tasa de Falla'!HR104)</f>
      </c>
      <c r="Q104" s="556">
        <f>IF('[3]Tasa de Falla'!HS104=0,"",'[3]Tasa de Falla'!HS104)</f>
      </c>
      <c r="R104" s="556">
        <f>IF('[3]Tasa de Falla'!HT104=0,"",'[3]Tasa de Falla'!HT104)</f>
      </c>
      <c r="S104" s="559"/>
      <c r="T104" s="557"/>
    </row>
    <row r="105" spans="2:20" s="551" customFormat="1" ht="19.5" customHeight="1">
      <c r="B105" s="552"/>
      <c r="C105" s="558">
        <f>'[3]Tasa de Falla'!C105</f>
        <v>88</v>
      </c>
      <c r="D105" s="558" t="str">
        <f>'[3]Tasa de Falla'!D105</f>
        <v>SANTIAGO SUR - SANTIAGO CENTRO</v>
      </c>
      <c r="E105" s="558">
        <f>'[3]Tasa de Falla'!E105</f>
        <v>132</v>
      </c>
      <c r="F105" s="558">
        <f>'[3]Tasa de Falla'!F105</f>
        <v>4</v>
      </c>
      <c r="G105" s="556">
        <f>IF('[3]Tasa de Falla'!HI105=0,"",'[3]Tasa de Falla'!HI105)</f>
      </c>
      <c r="H105" s="556">
        <f>IF('[3]Tasa de Falla'!HJ105=0,"",'[3]Tasa de Falla'!HJ105)</f>
      </c>
      <c r="I105" s="556">
        <f>IF('[3]Tasa de Falla'!HK105=0,"",'[3]Tasa de Falla'!HK105)</f>
      </c>
      <c r="J105" s="556">
        <f>IF('[3]Tasa de Falla'!HL105=0,"",'[3]Tasa de Falla'!HL105)</f>
      </c>
      <c r="K105" s="556">
        <f>IF('[3]Tasa de Falla'!HM105=0,"",'[3]Tasa de Falla'!HM105)</f>
      </c>
      <c r="L105" s="556">
        <f>IF('[3]Tasa de Falla'!HN105=0,"",'[3]Tasa de Falla'!HN105)</f>
      </c>
      <c r="M105" s="556">
        <f>IF('[3]Tasa de Falla'!HO105=0,"",'[3]Tasa de Falla'!HO105)</f>
      </c>
      <c r="N105" s="556">
        <f>IF('[3]Tasa de Falla'!HP105=0,"",'[3]Tasa de Falla'!HP105)</f>
      </c>
      <c r="O105" s="556">
        <f>IF('[3]Tasa de Falla'!HQ105=0,"",'[3]Tasa de Falla'!HQ105)</f>
      </c>
      <c r="P105" s="556">
        <f>IF('[3]Tasa de Falla'!HR105=0,"",'[3]Tasa de Falla'!HR105)</f>
      </c>
      <c r="Q105" s="556">
        <f>IF('[3]Tasa de Falla'!HS105=0,"",'[3]Tasa de Falla'!HS105)</f>
      </c>
      <c r="R105" s="556">
        <f>IF('[3]Tasa de Falla'!HT105=0,"",'[3]Tasa de Falla'!HT105)</f>
      </c>
      <c r="S105" s="559"/>
      <c r="T105" s="557"/>
    </row>
    <row r="106" spans="2:20" s="551" customFormat="1" ht="19.5" customHeight="1">
      <c r="B106" s="552"/>
      <c r="C106" s="558">
        <f>'[3]Tasa de Falla'!C106</f>
        <v>89</v>
      </c>
      <c r="D106" s="558" t="str">
        <f>'[3]Tasa de Falla'!D106</f>
        <v>C.H. RIO HONDO - SANTIAGO OESTE</v>
      </c>
      <c r="E106" s="558">
        <f>'[3]Tasa de Falla'!E106</f>
        <v>132</v>
      </c>
      <c r="F106" s="558">
        <f>'[3]Tasa de Falla'!F106</f>
        <v>69.8</v>
      </c>
      <c r="G106" s="556">
        <f>IF('[3]Tasa de Falla'!HI106=0,"",'[3]Tasa de Falla'!HI106)</f>
      </c>
      <c r="H106" s="556">
        <f>IF('[3]Tasa de Falla'!HJ106=0,"",'[3]Tasa de Falla'!HJ106)</f>
        <v>1</v>
      </c>
      <c r="I106" s="556">
        <f>IF('[3]Tasa de Falla'!HK106=0,"",'[3]Tasa de Falla'!HK106)</f>
      </c>
      <c r="J106" s="556">
        <f>IF('[3]Tasa de Falla'!HL106=0,"",'[3]Tasa de Falla'!HL106)</f>
      </c>
      <c r="K106" s="556">
        <f>IF('[3]Tasa de Falla'!HM106=0,"",'[3]Tasa de Falla'!HM106)</f>
      </c>
      <c r="L106" s="556">
        <f>IF('[3]Tasa de Falla'!HN106=0,"",'[3]Tasa de Falla'!HN106)</f>
      </c>
      <c r="M106" s="556">
        <f>IF('[3]Tasa de Falla'!HO106=0,"",'[3]Tasa de Falla'!HO106)</f>
      </c>
      <c r="N106" s="556">
        <f>IF('[3]Tasa de Falla'!HP106=0,"",'[3]Tasa de Falla'!HP106)</f>
      </c>
      <c r="O106" s="556">
        <f>IF('[3]Tasa de Falla'!HQ106=0,"",'[3]Tasa de Falla'!HQ106)</f>
      </c>
      <c r="P106" s="556">
        <f>IF('[3]Tasa de Falla'!HR106=0,"",'[3]Tasa de Falla'!HR106)</f>
      </c>
      <c r="Q106" s="556">
        <f>IF('[3]Tasa de Falla'!HS106=0,"",'[3]Tasa de Falla'!HS106)</f>
      </c>
      <c r="R106" s="556">
        <f>IF('[3]Tasa de Falla'!HT106=0,"",'[3]Tasa de Falla'!HT106)</f>
      </c>
      <c r="S106" s="559"/>
      <c r="T106" s="557"/>
    </row>
    <row r="107" spans="2:20" s="551" customFormat="1" ht="19.5" customHeight="1">
      <c r="B107" s="552"/>
      <c r="C107" s="558">
        <f>'[3]Tasa de Falla'!C107</f>
        <v>90</v>
      </c>
      <c r="D107" s="558" t="str">
        <f>'[3]Tasa de Falla'!D107</f>
        <v>GÜEMES - MINETTI</v>
      </c>
      <c r="E107" s="558">
        <f>'[3]Tasa de Falla'!E107</f>
        <v>132</v>
      </c>
      <c r="F107" s="558">
        <f>'[3]Tasa de Falla'!F107</f>
        <v>41.4</v>
      </c>
      <c r="G107" s="556">
        <f>IF('[3]Tasa de Falla'!HI107=0,"",'[3]Tasa de Falla'!HI107)</f>
      </c>
      <c r="H107" s="556">
        <f>IF('[3]Tasa de Falla'!HJ107=0,"",'[3]Tasa de Falla'!HJ107)</f>
      </c>
      <c r="I107" s="556">
        <f>IF('[3]Tasa de Falla'!HK107=0,"",'[3]Tasa de Falla'!HK107)</f>
      </c>
      <c r="J107" s="556">
        <f>IF('[3]Tasa de Falla'!HL107=0,"",'[3]Tasa de Falla'!HL107)</f>
        <v>1</v>
      </c>
      <c r="K107" s="556">
        <f>IF('[3]Tasa de Falla'!HM107=0,"",'[3]Tasa de Falla'!HM107)</f>
      </c>
      <c r="L107" s="556">
        <f>IF('[3]Tasa de Falla'!HN107=0,"",'[3]Tasa de Falla'!HN107)</f>
      </c>
      <c r="M107" s="556">
        <f>IF('[3]Tasa de Falla'!HO107=0,"",'[3]Tasa de Falla'!HO107)</f>
      </c>
      <c r="N107" s="556">
        <f>IF('[3]Tasa de Falla'!HP107=0,"",'[3]Tasa de Falla'!HP107)</f>
      </c>
      <c r="O107" s="556">
        <f>IF('[3]Tasa de Falla'!HQ107=0,"",'[3]Tasa de Falla'!HQ107)</f>
      </c>
      <c r="P107" s="556">
        <f>IF('[3]Tasa de Falla'!HR107=0,"",'[3]Tasa de Falla'!HR107)</f>
        <v>1</v>
      </c>
      <c r="Q107" s="556">
        <f>IF('[3]Tasa de Falla'!HS107=0,"",'[3]Tasa de Falla'!HS107)</f>
        <v>1</v>
      </c>
      <c r="R107" s="556">
        <f>IF('[3]Tasa de Falla'!HT107=0,"",'[3]Tasa de Falla'!HT107)</f>
        <v>1</v>
      </c>
      <c r="S107" s="559"/>
      <c r="T107" s="557"/>
    </row>
    <row r="108" spans="2:20" s="551" customFormat="1" ht="19.5" customHeight="1">
      <c r="B108" s="552"/>
      <c r="C108" s="558">
        <f>'[3]Tasa de Falla'!C108</f>
        <v>91</v>
      </c>
      <c r="D108" s="558" t="str">
        <f>'[3]Tasa de Falla'!D108</f>
        <v>GÜEMES - SALTA NORTE</v>
      </c>
      <c r="E108" s="558">
        <f>'[3]Tasa de Falla'!E108</f>
        <v>132</v>
      </c>
      <c r="F108" s="558">
        <f>'[3]Tasa de Falla'!F108</f>
        <v>38.97</v>
      </c>
      <c r="G108" s="556">
        <f>IF('[3]Tasa de Falla'!HI108=0,"",'[3]Tasa de Falla'!HI108)</f>
      </c>
      <c r="H108" s="556">
        <f>IF('[3]Tasa de Falla'!HJ108=0,"",'[3]Tasa de Falla'!HJ108)</f>
      </c>
      <c r="I108" s="556">
        <f>IF('[3]Tasa de Falla'!HK108=0,"",'[3]Tasa de Falla'!HK108)</f>
      </c>
      <c r="J108" s="556">
        <f>IF('[3]Tasa de Falla'!HL108=0,"",'[3]Tasa de Falla'!HL108)</f>
      </c>
      <c r="K108" s="556">
        <f>IF('[3]Tasa de Falla'!HM108=0,"",'[3]Tasa de Falla'!HM108)</f>
      </c>
      <c r="L108" s="556">
        <f>IF('[3]Tasa de Falla'!HN108=0,"",'[3]Tasa de Falla'!HN108)</f>
      </c>
      <c r="M108" s="556">
        <f>IF('[3]Tasa de Falla'!HO108=0,"",'[3]Tasa de Falla'!HO108)</f>
      </c>
      <c r="N108" s="556">
        <f>IF('[3]Tasa de Falla'!HP108=0,"",'[3]Tasa de Falla'!HP108)</f>
      </c>
      <c r="O108" s="556">
        <f>IF('[3]Tasa de Falla'!HQ108=0,"",'[3]Tasa de Falla'!HQ108)</f>
      </c>
      <c r="P108" s="556">
        <f>IF('[3]Tasa de Falla'!HR108=0,"",'[3]Tasa de Falla'!HR108)</f>
      </c>
      <c r="Q108" s="556">
        <f>IF('[3]Tasa de Falla'!HS108=0,"",'[3]Tasa de Falla'!HS108)</f>
      </c>
      <c r="R108" s="556">
        <f>IF('[3]Tasa de Falla'!HT108=0,"",'[3]Tasa de Falla'!HT108)</f>
      </c>
      <c r="S108" s="559"/>
      <c r="T108" s="557"/>
    </row>
    <row r="109" spans="2:20" s="551" customFormat="1" ht="19.5" customHeight="1">
      <c r="B109" s="552"/>
      <c r="C109" s="558">
        <f>'[3]Tasa de Falla'!C109</f>
        <v>92</v>
      </c>
      <c r="D109" s="558" t="str">
        <f>'[3]Tasa de Falla'!D109</f>
        <v>BURRUYACU - R. DE LA FRONTERA</v>
      </c>
      <c r="E109" s="558">
        <f>'[3]Tasa de Falla'!E109</f>
        <v>132</v>
      </c>
      <c r="F109" s="558">
        <f>'[3]Tasa de Falla'!F109</f>
        <v>99.1</v>
      </c>
      <c r="G109" s="556">
        <f>IF('[3]Tasa de Falla'!HI109=0,"",'[3]Tasa de Falla'!HI109)</f>
      </c>
      <c r="H109" s="556">
        <f>IF('[3]Tasa de Falla'!HJ109=0,"",'[3]Tasa de Falla'!HJ109)</f>
      </c>
      <c r="I109" s="556">
        <f>IF('[3]Tasa de Falla'!HK109=0,"",'[3]Tasa de Falla'!HK109)</f>
      </c>
      <c r="J109" s="556">
        <f>IF('[3]Tasa de Falla'!HL109=0,"",'[3]Tasa de Falla'!HL109)</f>
      </c>
      <c r="K109" s="556">
        <f>IF('[3]Tasa de Falla'!HM109=0,"",'[3]Tasa de Falla'!HM109)</f>
      </c>
      <c r="L109" s="556">
        <f>IF('[3]Tasa de Falla'!HN109=0,"",'[3]Tasa de Falla'!HN109)</f>
      </c>
      <c r="M109" s="556">
        <f>IF('[3]Tasa de Falla'!HO109=0,"",'[3]Tasa de Falla'!HO109)</f>
        <v>1</v>
      </c>
      <c r="N109" s="556">
        <f>IF('[3]Tasa de Falla'!HP109=0,"",'[3]Tasa de Falla'!HP109)</f>
      </c>
      <c r="O109" s="556">
        <f>IF('[3]Tasa de Falla'!HQ109=0,"",'[3]Tasa de Falla'!HQ109)</f>
      </c>
      <c r="P109" s="556">
        <f>IF('[3]Tasa de Falla'!HR109=0,"",'[3]Tasa de Falla'!HR109)</f>
      </c>
      <c r="Q109" s="556">
        <f>IF('[3]Tasa de Falla'!HS109=0,"",'[3]Tasa de Falla'!HS109)</f>
      </c>
      <c r="R109" s="556">
        <f>IF('[3]Tasa de Falla'!HT109=0,"",'[3]Tasa de Falla'!HT109)</f>
      </c>
      <c r="S109" s="559"/>
      <c r="T109" s="557"/>
    </row>
    <row r="110" spans="2:20" s="551" customFormat="1" ht="19.5" customHeight="1">
      <c r="B110" s="552"/>
      <c r="C110" s="558">
        <f>'[3]Tasa de Falla'!C110</f>
        <v>93</v>
      </c>
      <c r="D110" s="558" t="str">
        <f>'[3]Tasa de Falla'!D110</f>
        <v>R. DE LA FRONTERA - COBOS</v>
      </c>
      <c r="E110" s="558">
        <f>'[3]Tasa de Falla'!E110</f>
        <v>132</v>
      </c>
      <c r="F110" s="558">
        <f>'[3]Tasa de Falla'!F110</f>
        <v>130.4</v>
      </c>
      <c r="G110" s="556">
        <f>IF('[3]Tasa de Falla'!HI110=0,"",'[3]Tasa de Falla'!HI110)</f>
      </c>
      <c r="H110" s="556">
        <f>IF('[3]Tasa de Falla'!HJ110=0,"",'[3]Tasa de Falla'!HJ110)</f>
      </c>
      <c r="I110" s="556">
        <f>IF('[3]Tasa de Falla'!HK110=0,"",'[3]Tasa de Falla'!HK110)</f>
      </c>
      <c r="J110" s="556">
        <f>IF('[3]Tasa de Falla'!HL110=0,"",'[3]Tasa de Falla'!HL110)</f>
      </c>
      <c r="K110" s="556">
        <f>IF('[3]Tasa de Falla'!HM110=0,"",'[3]Tasa de Falla'!HM110)</f>
      </c>
      <c r="L110" s="556">
        <f>IF('[3]Tasa de Falla'!HN110=0,"",'[3]Tasa de Falla'!HN110)</f>
      </c>
      <c r="M110" s="556">
        <f>IF('[3]Tasa de Falla'!HO110=0,"",'[3]Tasa de Falla'!HO110)</f>
      </c>
      <c r="N110" s="556">
        <f>IF('[3]Tasa de Falla'!HP110=0,"",'[3]Tasa de Falla'!HP110)</f>
      </c>
      <c r="O110" s="556">
        <f>IF('[3]Tasa de Falla'!HQ110=0,"",'[3]Tasa de Falla'!HQ110)</f>
      </c>
      <c r="P110" s="556">
        <f>IF('[3]Tasa de Falla'!HR110=0,"",'[3]Tasa de Falla'!HR110)</f>
        <v>1</v>
      </c>
      <c r="Q110" s="556">
        <f>IF('[3]Tasa de Falla'!HS110=0,"",'[3]Tasa de Falla'!HS110)</f>
        <v>1</v>
      </c>
      <c r="R110" s="556">
        <f>IF('[3]Tasa de Falla'!HT110=0,"",'[3]Tasa de Falla'!HT110)</f>
      </c>
      <c r="S110" s="559"/>
      <c r="T110" s="557"/>
    </row>
    <row r="111" spans="2:20" s="551" customFormat="1" ht="19.5" customHeight="1">
      <c r="B111" s="552"/>
      <c r="C111" s="558">
        <f>'[3]Tasa de Falla'!C111</f>
        <v>94</v>
      </c>
      <c r="D111" s="558" t="str">
        <f>'[3]Tasa de Falla'!D111</f>
        <v>J.V. GONZALEZ - APOLINARIO SARAVIA</v>
      </c>
      <c r="E111" s="558">
        <f>'[3]Tasa de Falla'!E111</f>
        <v>132</v>
      </c>
      <c r="F111" s="558">
        <f>'[3]Tasa de Falla'!F111</f>
        <v>94</v>
      </c>
      <c r="G111" s="556">
        <f>IF('[3]Tasa de Falla'!HI111=0,"",'[3]Tasa de Falla'!HI111)</f>
      </c>
      <c r="H111" s="556">
        <f>IF('[3]Tasa de Falla'!HJ111=0,"",'[3]Tasa de Falla'!HJ111)</f>
      </c>
      <c r="I111" s="556">
        <f>IF('[3]Tasa de Falla'!HK111=0,"",'[3]Tasa de Falla'!HK111)</f>
      </c>
      <c r="J111" s="556">
        <f>IF('[3]Tasa de Falla'!HL111=0,"",'[3]Tasa de Falla'!HL111)</f>
        <v>1</v>
      </c>
      <c r="K111" s="556">
        <f>IF('[3]Tasa de Falla'!HM111=0,"",'[3]Tasa de Falla'!HM111)</f>
      </c>
      <c r="L111" s="556">
        <f>IF('[3]Tasa de Falla'!HN111=0,"",'[3]Tasa de Falla'!HN111)</f>
      </c>
      <c r="M111" s="556">
        <f>IF('[3]Tasa de Falla'!HO111=0,"",'[3]Tasa de Falla'!HO111)</f>
      </c>
      <c r="N111" s="556">
        <f>IF('[3]Tasa de Falla'!HP111=0,"",'[3]Tasa de Falla'!HP111)</f>
      </c>
      <c r="O111" s="556">
        <f>IF('[3]Tasa de Falla'!HQ111=0,"",'[3]Tasa de Falla'!HQ111)</f>
      </c>
      <c r="P111" s="556">
        <f>IF('[3]Tasa de Falla'!HR111=0,"",'[3]Tasa de Falla'!HR111)</f>
      </c>
      <c r="Q111" s="556">
        <f>IF('[3]Tasa de Falla'!HS111=0,"",'[3]Tasa de Falla'!HS111)</f>
      </c>
      <c r="R111" s="556">
        <f>IF('[3]Tasa de Falla'!HT111=0,"",'[3]Tasa de Falla'!HT111)</f>
      </c>
      <c r="S111" s="559"/>
      <c r="T111" s="557"/>
    </row>
    <row r="112" spans="2:20" s="551" customFormat="1" ht="19.5" customHeight="1">
      <c r="B112" s="552"/>
      <c r="C112" s="558">
        <f>'[3]Tasa de Falla'!C112</f>
        <v>95</v>
      </c>
      <c r="D112" s="558" t="str">
        <f>'[3]Tasa de Falla'!D112</f>
        <v>ANDALGALA - SAULIL</v>
      </c>
      <c r="E112" s="558">
        <f>'[3]Tasa de Falla'!E112</f>
        <v>132</v>
      </c>
      <c r="F112" s="558">
        <f>'[3]Tasa de Falla'!F112</f>
        <v>76</v>
      </c>
      <c r="G112" s="556">
        <f>IF('[3]Tasa de Falla'!HI112=0,"",'[3]Tasa de Falla'!HI112)</f>
      </c>
      <c r="H112" s="556">
        <f>IF('[3]Tasa de Falla'!HJ112=0,"",'[3]Tasa de Falla'!HJ112)</f>
      </c>
      <c r="I112" s="556">
        <f>IF('[3]Tasa de Falla'!HK112=0,"",'[3]Tasa de Falla'!HK112)</f>
      </c>
      <c r="J112" s="556">
        <f>IF('[3]Tasa de Falla'!HL112=0,"",'[3]Tasa de Falla'!HL112)</f>
      </c>
      <c r="K112" s="556">
        <f>IF('[3]Tasa de Falla'!HM112=0,"",'[3]Tasa de Falla'!HM112)</f>
      </c>
      <c r="L112" s="556">
        <f>IF('[3]Tasa de Falla'!HN112=0,"",'[3]Tasa de Falla'!HN112)</f>
      </c>
      <c r="M112" s="556">
        <f>IF('[3]Tasa de Falla'!HO112=0,"",'[3]Tasa de Falla'!HO112)</f>
      </c>
      <c r="N112" s="556">
        <f>IF('[3]Tasa de Falla'!HP112=0,"",'[3]Tasa de Falla'!HP112)</f>
      </c>
      <c r="O112" s="556">
        <f>IF('[3]Tasa de Falla'!HQ112=0,"",'[3]Tasa de Falla'!HQ112)</f>
      </c>
      <c r="P112" s="556">
        <f>IF('[3]Tasa de Falla'!HR112=0,"",'[3]Tasa de Falla'!HR112)</f>
      </c>
      <c r="Q112" s="556">
        <f>IF('[3]Tasa de Falla'!HS112=0,"",'[3]Tasa de Falla'!HS112)</f>
      </c>
      <c r="R112" s="556">
        <f>IF('[3]Tasa de Falla'!HT112=0,"",'[3]Tasa de Falla'!HT112)</f>
      </c>
      <c r="S112" s="559"/>
      <c r="T112" s="557"/>
    </row>
    <row r="113" spans="2:20" s="551" customFormat="1" ht="19.5" customHeight="1">
      <c r="B113" s="552"/>
      <c r="C113" s="558">
        <f>'[3]Tasa de Falla'!C113</f>
        <v>96</v>
      </c>
      <c r="D113" s="558" t="str">
        <f>'[3]Tasa de Falla'!D113</f>
        <v>SANTIAGO OESTE - SANT. SUR  - SANT. CENTRO</v>
      </c>
      <c r="E113" s="558">
        <f>'[3]Tasa de Falla'!E113</f>
        <v>132</v>
      </c>
      <c r="F113" s="558">
        <f>'[3]Tasa de Falla'!F113</f>
        <v>14.6</v>
      </c>
      <c r="G113" s="556" t="str">
        <f>IF('[3]Tasa de Falla'!HI113=0,"",'[3]Tasa de Falla'!HI113)</f>
        <v>XXXX</v>
      </c>
      <c r="H113" s="556" t="str">
        <f>IF('[3]Tasa de Falla'!HJ113=0,"",'[3]Tasa de Falla'!HJ113)</f>
        <v>XXXX</v>
      </c>
      <c r="I113" s="556" t="str">
        <f>IF('[3]Tasa de Falla'!HK113=0,"",'[3]Tasa de Falla'!HK113)</f>
        <v>XXXX</v>
      </c>
      <c r="J113" s="556" t="str">
        <f>IF('[3]Tasa de Falla'!HL113=0,"",'[3]Tasa de Falla'!HL113)</f>
        <v>XXXX</v>
      </c>
      <c r="K113" s="556" t="str">
        <f>IF('[3]Tasa de Falla'!HM113=0,"",'[3]Tasa de Falla'!HM113)</f>
        <v>XXXX</v>
      </c>
      <c r="L113" s="556" t="str">
        <f>IF('[3]Tasa de Falla'!HN113=0,"",'[3]Tasa de Falla'!HN113)</f>
        <v>XXXX</v>
      </c>
      <c r="M113" s="556" t="str">
        <f>IF('[3]Tasa de Falla'!HO113=0,"",'[3]Tasa de Falla'!HO113)</f>
        <v>XXXX</v>
      </c>
      <c r="N113" s="556" t="str">
        <f>IF('[3]Tasa de Falla'!HP113=0,"",'[3]Tasa de Falla'!HP113)</f>
        <v>XXXX</v>
      </c>
      <c r="O113" s="556" t="str">
        <f>IF('[3]Tasa de Falla'!HQ113=0,"",'[3]Tasa de Falla'!HQ113)</f>
        <v>XXXX</v>
      </c>
      <c r="P113" s="556" t="str">
        <f>IF('[3]Tasa de Falla'!HR113=0,"",'[3]Tasa de Falla'!HR113)</f>
        <v>XXXX</v>
      </c>
      <c r="Q113" s="556" t="str">
        <f>IF('[3]Tasa de Falla'!HS113=0,"",'[3]Tasa de Falla'!HS113)</f>
        <v>XXXX</v>
      </c>
      <c r="R113" s="556" t="str">
        <f>IF('[3]Tasa de Falla'!HT113=0,"",'[3]Tasa de Falla'!HT113)</f>
        <v>XXXX</v>
      </c>
      <c r="S113" s="559"/>
      <c r="T113" s="557"/>
    </row>
    <row r="114" spans="2:20" s="551" customFormat="1" ht="19.5" customHeight="1">
      <c r="B114" s="552"/>
      <c r="C114" s="558">
        <f>'[3]Tasa de Falla'!C114</f>
        <v>97</v>
      </c>
      <c r="D114" s="558" t="str">
        <f>'[3]Tasa de Falla'!D114</f>
        <v>LA RIOJA SUR - PI LA RIOJA  </v>
      </c>
      <c r="E114" s="558">
        <f>'[3]Tasa de Falla'!E114</f>
        <v>132</v>
      </c>
      <c r="F114" s="558">
        <f>'[3]Tasa de Falla'!F114</f>
        <v>40</v>
      </c>
      <c r="G114" s="556">
        <f>IF('[3]Tasa de Falla'!HI114=0,"",'[3]Tasa de Falla'!HI114)</f>
      </c>
      <c r="H114" s="556">
        <f>IF('[3]Tasa de Falla'!HJ114=0,"",'[3]Tasa de Falla'!HJ114)</f>
      </c>
      <c r="I114" s="556">
        <f>IF('[3]Tasa de Falla'!HK114=0,"",'[3]Tasa de Falla'!HK114)</f>
      </c>
      <c r="J114" s="556">
        <f>IF('[3]Tasa de Falla'!HL114=0,"",'[3]Tasa de Falla'!HL114)</f>
      </c>
      <c r="K114" s="556">
        <f>IF('[3]Tasa de Falla'!HM114=0,"",'[3]Tasa de Falla'!HM114)</f>
      </c>
      <c r="L114" s="556">
        <f>IF('[3]Tasa de Falla'!HN114=0,"",'[3]Tasa de Falla'!HN114)</f>
      </c>
      <c r="M114" s="556">
        <f>IF('[3]Tasa de Falla'!HO114=0,"",'[3]Tasa de Falla'!HO114)</f>
      </c>
      <c r="N114" s="556">
        <f>IF('[3]Tasa de Falla'!HP114=0,"",'[3]Tasa de Falla'!HP114)</f>
      </c>
      <c r="O114" s="556">
        <f>IF('[3]Tasa de Falla'!HQ114=0,"",'[3]Tasa de Falla'!HQ114)</f>
      </c>
      <c r="P114" s="556">
        <f>IF('[3]Tasa de Falla'!HR114=0,"",'[3]Tasa de Falla'!HR114)</f>
      </c>
      <c r="Q114" s="556">
        <f>IF('[3]Tasa de Falla'!HS114=0,"",'[3]Tasa de Falla'!HS114)</f>
      </c>
      <c r="R114" s="556">
        <f>IF('[3]Tasa de Falla'!HT114=0,"",'[3]Tasa de Falla'!HT114)</f>
      </c>
      <c r="S114" s="559"/>
      <c r="T114" s="557"/>
    </row>
    <row r="115" spans="2:20" s="551" customFormat="1" ht="19.5" customHeight="1">
      <c r="B115" s="552"/>
      <c r="C115" s="558">
        <f>'[3]Tasa de Falla'!C115</f>
        <v>98</v>
      </c>
      <c r="D115" s="558" t="str">
        <f>'[3]Tasa de Falla'!D115</f>
        <v>LA RIOJA SUR - PI. PATQUIA</v>
      </c>
      <c r="E115" s="558">
        <f>'[3]Tasa de Falla'!E115</f>
        <v>132</v>
      </c>
      <c r="F115" s="558">
        <f>'[3]Tasa de Falla'!F115</f>
        <v>40</v>
      </c>
      <c r="G115" s="556">
        <f>IF('[3]Tasa de Falla'!HI115=0,"",'[3]Tasa de Falla'!HI115)</f>
      </c>
      <c r="H115" s="556">
        <f>IF('[3]Tasa de Falla'!HJ115=0,"",'[3]Tasa de Falla'!HJ115)</f>
      </c>
      <c r="I115" s="556">
        <f>IF('[3]Tasa de Falla'!HK115=0,"",'[3]Tasa de Falla'!HK115)</f>
      </c>
      <c r="J115" s="556">
        <f>IF('[3]Tasa de Falla'!HL115=0,"",'[3]Tasa de Falla'!HL115)</f>
      </c>
      <c r="K115" s="556">
        <f>IF('[3]Tasa de Falla'!HM115=0,"",'[3]Tasa de Falla'!HM115)</f>
      </c>
      <c r="L115" s="556">
        <f>IF('[3]Tasa de Falla'!HN115=0,"",'[3]Tasa de Falla'!HN115)</f>
      </c>
      <c r="M115" s="556">
        <f>IF('[3]Tasa de Falla'!HO115=0,"",'[3]Tasa de Falla'!HO115)</f>
      </c>
      <c r="N115" s="556">
        <f>IF('[3]Tasa de Falla'!HP115=0,"",'[3]Tasa de Falla'!HP115)</f>
      </c>
      <c r="O115" s="556">
        <f>IF('[3]Tasa de Falla'!HQ115=0,"",'[3]Tasa de Falla'!HQ115)</f>
      </c>
      <c r="P115" s="556">
        <f>IF('[3]Tasa de Falla'!HR115=0,"",'[3]Tasa de Falla'!HR115)</f>
      </c>
      <c r="Q115" s="556">
        <f>IF('[3]Tasa de Falla'!HS115=0,"",'[3]Tasa de Falla'!HS115)</f>
      </c>
      <c r="R115" s="556">
        <f>IF('[3]Tasa de Falla'!HT115=0,"",'[3]Tasa de Falla'!HT115)</f>
      </c>
      <c r="S115" s="559"/>
      <c r="T115" s="557"/>
    </row>
    <row r="116" spans="2:20" s="551" customFormat="1" ht="19.5" customHeight="1">
      <c r="B116" s="552"/>
      <c r="C116" s="558">
        <f>'[3]Tasa de Falla'!C116</f>
        <v>99</v>
      </c>
      <c r="D116" s="558" t="str">
        <f>'[3]Tasa de Falla'!D116</f>
        <v>SUNCHO CORRAL - QUIMILI</v>
      </c>
      <c r="E116" s="558">
        <f>'[3]Tasa de Falla'!E116</f>
        <v>132</v>
      </c>
      <c r="F116" s="558">
        <f>'[3]Tasa de Falla'!F116</f>
        <v>108</v>
      </c>
      <c r="G116" s="556">
        <f>IF('[3]Tasa de Falla'!HI116=0,"",'[3]Tasa de Falla'!HI116)</f>
      </c>
      <c r="H116" s="556">
        <f>IF('[3]Tasa de Falla'!HJ116=0,"",'[3]Tasa de Falla'!HJ116)</f>
      </c>
      <c r="I116" s="556">
        <f>IF('[3]Tasa de Falla'!HK116=0,"",'[3]Tasa de Falla'!HK116)</f>
      </c>
      <c r="J116" s="556">
        <f>IF('[3]Tasa de Falla'!HL116=0,"",'[3]Tasa de Falla'!HL116)</f>
      </c>
      <c r="K116" s="556">
        <f>IF('[3]Tasa de Falla'!HM116=0,"",'[3]Tasa de Falla'!HM116)</f>
      </c>
      <c r="L116" s="556">
        <f>IF('[3]Tasa de Falla'!HN116=0,"",'[3]Tasa de Falla'!HN116)</f>
      </c>
      <c r="M116" s="556">
        <f>IF('[3]Tasa de Falla'!HO116=0,"",'[3]Tasa de Falla'!HO116)</f>
        <v>1</v>
      </c>
      <c r="N116" s="556">
        <f>IF('[3]Tasa de Falla'!HP116=0,"",'[3]Tasa de Falla'!HP116)</f>
      </c>
      <c r="O116" s="556">
        <f>IF('[3]Tasa de Falla'!HQ116=0,"",'[3]Tasa de Falla'!HQ116)</f>
      </c>
      <c r="P116" s="556">
        <f>IF('[3]Tasa de Falla'!HR116=0,"",'[3]Tasa de Falla'!HR116)</f>
      </c>
      <c r="Q116" s="556">
        <f>IF('[3]Tasa de Falla'!HS116=0,"",'[3]Tasa de Falla'!HS116)</f>
      </c>
      <c r="R116" s="556">
        <f>IF('[3]Tasa de Falla'!HT116=0,"",'[3]Tasa de Falla'!HT116)</f>
      </c>
      <c r="S116" s="559"/>
      <c r="T116" s="557"/>
    </row>
    <row r="117" spans="2:20" s="551" customFormat="1" ht="19.5" customHeight="1">
      <c r="B117" s="552"/>
      <c r="C117" s="558">
        <f>'[3]Tasa de Falla'!C117</f>
        <v>100</v>
      </c>
      <c r="D117" s="558" t="str">
        <f>'[3]Tasa de Falla'!D117</f>
        <v>EL BRACHO - LA BANDA ESTE</v>
      </c>
      <c r="E117" s="558">
        <f>'[3]Tasa de Falla'!E117</f>
        <v>132</v>
      </c>
      <c r="F117" s="558">
        <f>'[3]Tasa de Falla'!F117</f>
        <v>140.9</v>
      </c>
      <c r="G117" s="556" t="str">
        <f>IF('[3]Tasa de Falla'!HI117=0,"",'[3]Tasa de Falla'!HI117)</f>
        <v>XXXX</v>
      </c>
      <c r="H117" s="556" t="str">
        <f>IF('[3]Tasa de Falla'!HJ117=0,"",'[3]Tasa de Falla'!HJ117)</f>
        <v>XXXX</v>
      </c>
      <c r="I117" s="556" t="str">
        <f>IF('[3]Tasa de Falla'!HK117=0,"",'[3]Tasa de Falla'!HK117)</f>
        <v>XXXX</v>
      </c>
      <c r="J117" s="556" t="str">
        <f>IF('[3]Tasa de Falla'!HL117=0,"",'[3]Tasa de Falla'!HL117)</f>
        <v>XXXX</v>
      </c>
      <c r="K117" s="556" t="str">
        <f>IF('[3]Tasa de Falla'!HM117=0,"",'[3]Tasa de Falla'!HM117)</f>
        <v>XXXX</v>
      </c>
      <c r="L117" s="556" t="str">
        <f>IF('[3]Tasa de Falla'!HN117=0,"",'[3]Tasa de Falla'!HN117)</f>
        <v>XXXX</v>
      </c>
      <c r="M117" s="556" t="str">
        <f>IF('[3]Tasa de Falla'!HO117=0,"",'[3]Tasa de Falla'!HO117)</f>
        <v>XXXX</v>
      </c>
      <c r="N117" s="556" t="str">
        <f>IF('[3]Tasa de Falla'!HP117=0,"",'[3]Tasa de Falla'!HP117)</f>
        <v>XXXX</v>
      </c>
      <c r="O117" s="556" t="str">
        <f>IF('[3]Tasa de Falla'!HQ117=0,"",'[3]Tasa de Falla'!HQ117)</f>
        <v>XXXX</v>
      </c>
      <c r="P117" s="556" t="str">
        <f>IF('[3]Tasa de Falla'!HR117=0,"",'[3]Tasa de Falla'!HR117)</f>
        <v>XXXX</v>
      </c>
      <c r="Q117" s="556" t="str">
        <f>IF('[3]Tasa de Falla'!HS117=0,"",'[3]Tasa de Falla'!HS117)</f>
        <v>XXXX</v>
      </c>
      <c r="R117" s="556" t="str">
        <f>IF('[3]Tasa de Falla'!HT117=0,"",'[3]Tasa de Falla'!HT117)</f>
        <v>XXXX</v>
      </c>
      <c r="S117" s="559"/>
      <c r="T117" s="557"/>
    </row>
    <row r="118" spans="2:20" s="551" customFormat="1" ht="19.5" customHeight="1">
      <c r="B118" s="552"/>
      <c r="C118" s="558">
        <f>'[3]Tasa de Falla'!C118</f>
        <v>101</v>
      </c>
      <c r="D118" s="558" t="str">
        <f>'[3]Tasa de Falla'!D118</f>
        <v>LA BANDA ESTE - LA BANDA</v>
      </c>
      <c r="E118" s="558">
        <f>'[3]Tasa de Falla'!E118</f>
        <v>132</v>
      </c>
      <c r="F118" s="558">
        <f>'[3]Tasa de Falla'!F118</f>
        <v>16.2</v>
      </c>
      <c r="G118" s="556" t="str">
        <f>IF('[3]Tasa de Falla'!HI118=0,"",'[3]Tasa de Falla'!HI118)</f>
        <v>XXXX</v>
      </c>
      <c r="H118" s="556" t="str">
        <f>IF('[3]Tasa de Falla'!HJ118=0,"",'[3]Tasa de Falla'!HJ118)</f>
        <v>XXXX</v>
      </c>
      <c r="I118" s="556" t="str">
        <f>IF('[3]Tasa de Falla'!HK118=0,"",'[3]Tasa de Falla'!HK118)</f>
        <v>XXXX</v>
      </c>
      <c r="J118" s="556" t="str">
        <f>IF('[3]Tasa de Falla'!HL118=0,"",'[3]Tasa de Falla'!HL118)</f>
        <v>XXXX</v>
      </c>
      <c r="K118" s="556" t="str">
        <f>IF('[3]Tasa de Falla'!HM118=0,"",'[3]Tasa de Falla'!HM118)</f>
        <v>XXXX</v>
      </c>
      <c r="L118" s="556" t="str">
        <f>IF('[3]Tasa de Falla'!HN118=0,"",'[3]Tasa de Falla'!HN118)</f>
        <v>XXXX</v>
      </c>
      <c r="M118" s="556" t="str">
        <f>IF('[3]Tasa de Falla'!HO118=0,"",'[3]Tasa de Falla'!HO118)</f>
        <v>XXXX</v>
      </c>
      <c r="N118" s="556" t="str">
        <f>IF('[3]Tasa de Falla'!HP118=0,"",'[3]Tasa de Falla'!HP118)</f>
        <v>XXXX</v>
      </c>
      <c r="O118" s="556" t="str">
        <f>IF('[3]Tasa de Falla'!HQ118=0,"",'[3]Tasa de Falla'!HQ118)</f>
        <v>XXXX</v>
      </c>
      <c r="P118" s="556" t="str">
        <f>IF('[3]Tasa de Falla'!HR118=0,"",'[3]Tasa de Falla'!HR118)</f>
        <v>XXXX</v>
      </c>
      <c r="Q118" s="556" t="str">
        <f>IF('[3]Tasa de Falla'!HS118=0,"",'[3]Tasa de Falla'!HS118)</f>
        <v>XXXX</v>
      </c>
      <c r="R118" s="556" t="str">
        <f>IF('[3]Tasa de Falla'!HT118=0,"",'[3]Tasa de Falla'!HT118)</f>
        <v>XXXX</v>
      </c>
      <c r="S118" s="559"/>
      <c r="T118" s="557"/>
    </row>
    <row r="119" spans="2:20" s="551" customFormat="1" ht="19.5" customHeight="1">
      <c r="B119" s="552"/>
      <c r="C119" s="558">
        <f>'[3]Tasa de Falla'!C119</f>
        <v>102</v>
      </c>
      <c r="D119" s="558" t="str">
        <f>'[3]Tasa de Falla'!D119</f>
        <v>TABACAL - PICHANAL</v>
      </c>
      <c r="E119" s="558">
        <f>'[3]Tasa de Falla'!E119</f>
        <v>132</v>
      </c>
      <c r="F119" s="558">
        <f>'[3]Tasa de Falla'!F119</f>
        <v>7</v>
      </c>
      <c r="G119" s="556" t="str">
        <f>IF('[3]Tasa de Falla'!HI119=0,"",'[3]Tasa de Falla'!HI119)</f>
        <v>XXXX</v>
      </c>
      <c r="H119" s="556">
        <f>IF('[3]Tasa de Falla'!HJ119=0,"",'[3]Tasa de Falla'!HJ119)</f>
      </c>
      <c r="I119" s="556">
        <f>IF('[3]Tasa de Falla'!HK119=0,"",'[3]Tasa de Falla'!HK119)</f>
      </c>
      <c r="J119" s="556">
        <f>IF('[3]Tasa de Falla'!HL119=0,"",'[3]Tasa de Falla'!HL119)</f>
      </c>
      <c r="K119" s="556">
        <f>IF('[3]Tasa de Falla'!HM119=0,"",'[3]Tasa de Falla'!HM119)</f>
      </c>
      <c r="L119" s="556">
        <f>IF('[3]Tasa de Falla'!HN119=0,"",'[3]Tasa de Falla'!HN119)</f>
      </c>
      <c r="M119" s="556">
        <f>IF('[3]Tasa de Falla'!HO119=0,"",'[3]Tasa de Falla'!HO119)</f>
      </c>
      <c r="N119" s="556">
        <f>IF('[3]Tasa de Falla'!HP119=0,"",'[3]Tasa de Falla'!HP119)</f>
      </c>
      <c r="O119" s="556">
        <f>IF('[3]Tasa de Falla'!HQ119=0,"",'[3]Tasa de Falla'!HQ119)</f>
      </c>
      <c r="P119" s="556">
        <f>IF('[3]Tasa de Falla'!HR119=0,"",'[3]Tasa de Falla'!HR119)</f>
      </c>
      <c r="Q119" s="556">
        <f>IF('[3]Tasa de Falla'!HS119=0,"",'[3]Tasa de Falla'!HS119)</f>
      </c>
      <c r="R119" s="556">
        <f>IF('[3]Tasa de Falla'!HT119=0,"",'[3]Tasa de Falla'!HT119)</f>
      </c>
      <c r="S119" s="559"/>
      <c r="T119" s="557"/>
    </row>
    <row r="120" spans="2:20" s="551" customFormat="1" ht="19.5" customHeight="1">
      <c r="B120" s="552"/>
      <c r="C120" s="558">
        <f>'[3]Tasa de Falla'!C120</f>
        <v>103</v>
      </c>
      <c r="D120" s="558" t="str">
        <f>'[3]Tasa de Falla'!D120</f>
        <v>ORAN - TABACAL</v>
      </c>
      <c r="E120" s="558">
        <f>'[3]Tasa de Falla'!E120</f>
        <v>132</v>
      </c>
      <c r="F120" s="558">
        <f>'[3]Tasa de Falla'!F120</f>
        <v>10</v>
      </c>
      <c r="G120" s="556" t="str">
        <f>IF('[3]Tasa de Falla'!HI120=0,"",'[3]Tasa de Falla'!HI120)</f>
        <v>XXXX</v>
      </c>
      <c r="H120" s="556">
        <f>IF('[3]Tasa de Falla'!HJ120=0,"",'[3]Tasa de Falla'!HJ120)</f>
      </c>
      <c r="I120" s="556">
        <f>IF('[3]Tasa de Falla'!HK120=0,"",'[3]Tasa de Falla'!HK120)</f>
      </c>
      <c r="J120" s="556">
        <f>IF('[3]Tasa de Falla'!HL120=0,"",'[3]Tasa de Falla'!HL120)</f>
      </c>
      <c r="K120" s="556">
        <f>IF('[3]Tasa de Falla'!HM120=0,"",'[3]Tasa de Falla'!HM120)</f>
      </c>
      <c r="L120" s="556">
        <f>IF('[3]Tasa de Falla'!HN120=0,"",'[3]Tasa de Falla'!HN120)</f>
      </c>
      <c r="M120" s="556">
        <f>IF('[3]Tasa de Falla'!HO120=0,"",'[3]Tasa de Falla'!HO120)</f>
      </c>
      <c r="N120" s="556">
        <f>IF('[3]Tasa de Falla'!HP120=0,"",'[3]Tasa de Falla'!HP120)</f>
      </c>
      <c r="O120" s="556">
        <f>IF('[3]Tasa de Falla'!HQ120=0,"",'[3]Tasa de Falla'!HQ120)</f>
      </c>
      <c r="P120" s="556">
        <f>IF('[3]Tasa de Falla'!HR120=0,"",'[3]Tasa de Falla'!HR120)</f>
      </c>
      <c r="Q120" s="556">
        <f>IF('[3]Tasa de Falla'!HS120=0,"",'[3]Tasa de Falla'!HS120)</f>
      </c>
      <c r="R120" s="556">
        <f>IF('[3]Tasa de Falla'!HT120=0,"",'[3]Tasa de Falla'!HT120)</f>
      </c>
      <c r="S120" s="559"/>
      <c r="T120" s="557"/>
    </row>
    <row r="121" spans="2:20" s="551" customFormat="1" ht="19.5" customHeight="1">
      <c r="B121" s="552"/>
      <c r="C121" s="558">
        <f>'[3]Tasa de Falla'!C121</f>
        <v>104</v>
      </c>
      <c r="D121" s="558" t="str">
        <f>'[3]Tasa de Falla'!D121</f>
        <v>MONTE QUEMADO -COPO - QUIMILI</v>
      </c>
      <c r="E121" s="558">
        <f>'[3]Tasa de Falla'!E121</f>
        <v>132</v>
      </c>
      <c r="F121" s="558">
        <f>'[3]Tasa de Falla'!F121</f>
        <v>218</v>
      </c>
      <c r="G121" s="556" t="str">
        <f>IF('[3]Tasa de Falla'!HI121=0,"",'[3]Tasa de Falla'!HI121)</f>
        <v>XXXX</v>
      </c>
      <c r="H121" s="556" t="str">
        <f>IF('[3]Tasa de Falla'!HJ121=0,"",'[3]Tasa de Falla'!HJ121)</f>
        <v>XXXX</v>
      </c>
      <c r="I121" s="556" t="str">
        <f>IF('[3]Tasa de Falla'!HK121=0,"",'[3]Tasa de Falla'!HK121)</f>
        <v>XXXX</v>
      </c>
      <c r="J121" s="556" t="str">
        <f>IF('[3]Tasa de Falla'!HL121=0,"",'[3]Tasa de Falla'!HL121)</f>
        <v>XXXX</v>
      </c>
      <c r="K121" s="556" t="str">
        <f>IF('[3]Tasa de Falla'!HM121=0,"",'[3]Tasa de Falla'!HM121)</f>
        <v>XXXX</v>
      </c>
      <c r="L121" s="556" t="str">
        <f>IF('[3]Tasa de Falla'!HN121=0,"",'[3]Tasa de Falla'!HN121)</f>
        <v>XXXX</v>
      </c>
      <c r="M121" s="556" t="str">
        <f>IF('[3]Tasa de Falla'!HO121=0,"",'[3]Tasa de Falla'!HO121)</f>
        <v>XXXX</v>
      </c>
      <c r="N121" s="556" t="str">
        <f>IF('[3]Tasa de Falla'!HP121=0,"",'[3]Tasa de Falla'!HP121)</f>
        <v>XXXX</v>
      </c>
      <c r="O121" s="556" t="str">
        <f>IF('[3]Tasa de Falla'!HQ121=0,"",'[3]Tasa de Falla'!HQ121)</f>
        <v>XXXX</v>
      </c>
      <c r="P121" s="556" t="str">
        <f>IF('[3]Tasa de Falla'!HR121=0,"",'[3]Tasa de Falla'!HR121)</f>
        <v>XXXX</v>
      </c>
      <c r="Q121" s="556" t="str">
        <f>IF('[3]Tasa de Falla'!HS121=0,"",'[3]Tasa de Falla'!HS121)</f>
        <v>XXXX</v>
      </c>
      <c r="R121" s="556" t="str">
        <f>IF('[3]Tasa de Falla'!HT121=0,"",'[3]Tasa de Falla'!HT121)</f>
        <v>XXXX</v>
      </c>
      <c r="S121" s="559"/>
      <c r="T121" s="557"/>
    </row>
    <row r="122" spans="2:20" s="551" customFormat="1" ht="19.5" customHeight="1">
      <c r="B122" s="552"/>
      <c r="C122" s="558"/>
      <c r="D122" s="558"/>
      <c r="E122" s="558"/>
      <c r="F122" s="558"/>
      <c r="G122" s="556"/>
      <c r="H122" s="556"/>
      <c r="I122" s="556"/>
      <c r="J122" s="556"/>
      <c r="K122" s="556"/>
      <c r="L122" s="556"/>
      <c r="M122" s="556"/>
      <c r="N122" s="556"/>
      <c r="O122" s="556"/>
      <c r="P122" s="556"/>
      <c r="Q122" s="556"/>
      <c r="R122" s="556"/>
      <c r="S122" s="559"/>
      <c r="T122" s="557"/>
    </row>
    <row r="123" spans="2:20" s="551" customFormat="1" ht="19.5" customHeight="1">
      <c r="B123" s="552"/>
      <c r="C123" s="558"/>
      <c r="D123" s="558"/>
      <c r="E123" s="558"/>
      <c r="F123" s="560"/>
      <c r="G123" s="556">
        <f>IF('[2]Tasa de Falla'!HI119=0,"",'[2]Tasa de Falla'!HI119)</f>
      </c>
      <c r="H123" s="556">
        <f>IF('[2]Tasa de Falla'!HJ119=0,"",'[2]Tasa de Falla'!HJ119)</f>
      </c>
      <c r="I123" s="556">
        <f>IF('[2]Tasa de Falla'!HK119=0,"",'[2]Tasa de Falla'!HK119)</f>
      </c>
      <c r="J123" s="556">
        <f>IF('[2]Tasa de Falla'!HL119=0,"",'[2]Tasa de Falla'!HL119)</f>
      </c>
      <c r="K123" s="556">
        <f>IF('[2]Tasa de Falla'!HM119=0,"",'[2]Tasa de Falla'!HM119)</f>
      </c>
      <c r="L123" s="556">
        <f>IF('[2]Tasa de Falla'!HN119=0,"",'[2]Tasa de Falla'!HN119)</f>
      </c>
      <c r="M123" s="556">
        <f>IF('[2]Tasa de Falla'!HO119=0,"",'[2]Tasa de Falla'!HO119)</f>
      </c>
      <c r="N123" s="556">
        <f>IF('[2]Tasa de Falla'!HP119=0,"",'[2]Tasa de Falla'!HP119)</f>
      </c>
      <c r="O123" s="556">
        <f>IF('[2]Tasa de Falla'!HQ119=0,"",'[2]Tasa de Falla'!HQ119)</f>
      </c>
      <c r="P123" s="556">
        <f>IF('[2]Tasa de Falla'!HR119=0,"",'[2]Tasa de Falla'!HR119)</f>
      </c>
      <c r="Q123" s="556">
        <f>IF('[2]Tasa de Falla'!HS119=0,"",'[2]Tasa de Falla'!HS119)</f>
      </c>
      <c r="R123" s="556">
        <f>IF('[2]Tasa de Falla'!HT119=0,"",'[2]Tasa de Falla'!HT119)</f>
      </c>
      <c r="S123" s="559"/>
      <c r="T123" s="557"/>
    </row>
    <row r="124" spans="2:20" s="551" customFormat="1" ht="19.5" customHeight="1" thickBot="1">
      <c r="B124" s="552"/>
      <c r="C124" s="561"/>
      <c r="D124" s="562"/>
      <c r="E124" s="563"/>
      <c r="F124" s="564"/>
      <c r="G124" s="556">
        <f>IF('[1]Tasa de Falla'!HI120=0,"",'[1]Tasa de Falla'!HI120)</f>
      </c>
      <c r="H124" s="556">
        <f>IF('[1]Tasa de Falla'!HJ120=0,"",'[1]Tasa de Falla'!HJ120)</f>
      </c>
      <c r="I124" s="556">
        <f>IF('[1]Tasa de Falla'!HK120=0,"",'[1]Tasa de Falla'!HK120)</f>
      </c>
      <c r="J124" s="556">
        <f>IF('[1]Tasa de Falla'!HL120=0,"",'[1]Tasa de Falla'!HL120)</f>
      </c>
      <c r="K124" s="556">
        <f>IF('[1]Tasa de Falla'!HM120=0,"",'[1]Tasa de Falla'!HM120)</f>
      </c>
      <c r="L124" s="556">
        <f>IF('[1]Tasa de Falla'!HN120=0,"",'[1]Tasa de Falla'!HN120)</f>
      </c>
      <c r="M124" s="556">
        <f>IF('[1]Tasa de Falla'!HO120=0,"",'[1]Tasa de Falla'!HO120)</f>
      </c>
      <c r="N124" s="556">
        <f>IF('[1]Tasa de Falla'!HP120=0,"",'[1]Tasa de Falla'!HP120)</f>
      </c>
      <c r="O124" s="556">
        <f>IF('[1]Tasa de Falla'!HQ120=0,"",'[1]Tasa de Falla'!HQ120)</f>
      </c>
      <c r="P124" s="556">
        <f>IF('[1]Tasa de Falla'!HR120=0,"",'[1]Tasa de Falla'!HR120)</f>
      </c>
      <c r="Q124" s="556">
        <f>IF('[1]Tasa de Falla'!HS120=0,"",'[1]Tasa de Falla'!HS120)</f>
      </c>
      <c r="R124" s="556">
        <f>IF('[1]Tasa de Falla'!HT120=0,"",'[1]Tasa de Falla'!HT120)</f>
      </c>
      <c r="S124" s="559"/>
      <c r="T124" s="557"/>
    </row>
    <row r="125" spans="2:20" ht="15" customHeight="1" thickBot="1" thickTop="1">
      <c r="B125" s="539"/>
      <c r="C125" s="83"/>
      <c r="D125" s="565"/>
      <c r="E125" s="566" t="s">
        <v>240</v>
      </c>
      <c r="F125" s="567">
        <f>SUM(F16:F124)-F19-F21-F22-F26-F27-F37-F39-F40-F43-F44-F47-F48-F49-F53-F60-F65-F80-F84-F98-F113-F117-F118-F121</f>
        <v>4214.290000000003</v>
      </c>
      <c r="G125" s="568"/>
      <c r="H125" s="568"/>
      <c r="I125" s="568"/>
      <c r="J125" s="568"/>
      <c r="K125" s="568"/>
      <c r="L125" s="568"/>
      <c r="M125" s="568"/>
      <c r="N125" s="568"/>
      <c r="O125" s="568"/>
      <c r="P125" s="568"/>
      <c r="Q125" s="568"/>
      <c r="R125" s="568"/>
      <c r="S125" s="569"/>
      <c r="T125" s="533"/>
    </row>
    <row r="126" spans="2:20" ht="15" customHeight="1" thickBot="1" thickTop="1">
      <c r="B126" s="539"/>
      <c r="C126" s="6"/>
      <c r="D126" s="570"/>
      <c r="F126" s="571" t="s">
        <v>241</v>
      </c>
      <c r="G126" s="572">
        <f aca="true" t="shared" si="0" ref="G126:R126">SUM(G17:G124)</f>
        <v>4</v>
      </c>
      <c r="H126" s="572">
        <f t="shared" si="0"/>
        <v>14</v>
      </c>
      <c r="I126" s="572">
        <f t="shared" si="0"/>
        <v>12</v>
      </c>
      <c r="J126" s="572">
        <f t="shared" si="0"/>
        <v>15</v>
      </c>
      <c r="K126" s="572">
        <f t="shared" si="0"/>
        <v>7</v>
      </c>
      <c r="L126" s="572">
        <f t="shared" si="0"/>
        <v>3</v>
      </c>
      <c r="M126" s="572">
        <f t="shared" si="0"/>
        <v>3</v>
      </c>
      <c r="N126" s="572">
        <f t="shared" si="0"/>
        <v>11</v>
      </c>
      <c r="O126" s="572">
        <f t="shared" si="0"/>
        <v>6</v>
      </c>
      <c r="P126" s="572">
        <f t="shared" si="0"/>
        <v>17</v>
      </c>
      <c r="Q126" s="572">
        <f t="shared" si="0"/>
        <v>6</v>
      </c>
      <c r="R126" s="572">
        <f t="shared" si="0"/>
        <v>8</v>
      </c>
      <c r="S126" s="573"/>
      <c r="T126" s="533"/>
    </row>
    <row r="127" spans="2:20" ht="19.5" thickBot="1" thickTop="1">
      <c r="B127" s="539"/>
      <c r="C127" s="6"/>
      <c r="D127" s="6"/>
      <c r="E127" s="6"/>
      <c r="F127" s="574" t="s">
        <v>242</v>
      </c>
      <c r="G127" s="575">
        <f>+'[3]Tasa de Falla'!HI129</f>
        <v>2.04</v>
      </c>
      <c r="H127" s="575">
        <f>+'[3]Tasa de Falla'!HJ129</f>
        <v>1.85</v>
      </c>
      <c r="I127" s="575">
        <f>+'[3]Tasa de Falla'!HK129</f>
        <v>1.92</v>
      </c>
      <c r="J127" s="575">
        <f>+'[3]Tasa de Falla'!HL129</f>
        <v>2.04</v>
      </c>
      <c r="K127" s="575">
        <f>+'[3]Tasa de Falla'!HM129</f>
        <v>2.35</v>
      </c>
      <c r="L127" s="575">
        <f>+'[3]Tasa de Falla'!HN129</f>
        <v>2.37</v>
      </c>
      <c r="M127" s="575">
        <f>+'[3]Tasa de Falla'!HO129</f>
        <v>2.44</v>
      </c>
      <c r="N127" s="575">
        <f>+'[3]Tasa de Falla'!HP129</f>
        <v>2.4</v>
      </c>
      <c r="O127" s="575">
        <f>+'[3]Tasa de Falla'!HQ129</f>
        <v>2.52</v>
      </c>
      <c r="P127" s="575">
        <f>+'[3]Tasa de Falla'!HR129</f>
        <v>2.4</v>
      </c>
      <c r="Q127" s="575">
        <f>+'[3]Tasa de Falla'!HS129</f>
        <v>2.49</v>
      </c>
      <c r="R127" s="575">
        <f>+'[3]Tasa de Falla'!HT129</f>
        <v>2.47</v>
      </c>
      <c r="S127" s="575">
        <f>+'[3]Tasa de Falla'!HU129</f>
        <v>2.52</v>
      </c>
      <c r="T127" s="533"/>
    </row>
    <row r="128" spans="2:21" ht="18.75" customHeight="1" thickBot="1" thickTop="1">
      <c r="B128" s="539"/>
      <c r="C128" s="46"/>
      <c r="D128" s="46"/>
      <c r="E128" s="576"/>
      <c r="F128" s="577"/>
      <c r="G128" s="578"/>
      <c r="H128" s="578"/>
      <c r="I128" s="578"/>
      <c r="J128" s="578"/>
      <c r="K128" s="578"/>
      <c r="L128" s="578"/>
      <c r="M128" s="578"/>
      <c r="N128" s="578"/>
      <c r="O128" s="578"/>
      <c r="P128" s="578"/>
      <c r="Q128" s="578"/>
      <c r="R128" s="578"/>
      <c r="S128" s="578"/>
      <c r="T128" s="579"/>
      <c r="U128" s="580"/>
    </row>
    <row r="129" spans="2:20" ht="19.5" thickBot="1" thickTop="1">
      <c r="B129" s="581"/>
      <c r="C129" s="600" t="s">
        <v>243</v>
      </c>
      <c r="D129" s="46" t="s">
        <v>244</v>
      </c>
      <c r="J129" s="582" t="s">
        <v>245</v>
      </c>
      <c r="K129" s="583"/>
      <c r="L129" s="583"/>
      <c r="M129" s="584">
        <f>S127</f>
        <v>2.52</v>
      </c>
      <c r="N129" s="585" t="s">
        <v>246</v>
      </c>
      <c r="O129" s="585"/>
      <c r="P129" s="585"/>
      <c r="Q129" s="586"/>
      <c r="R129" s="1"/>
      <c r="S129" s="1"/>
      <c r="T129" s="533"/>
    </row>
    <row r="130" spans="2:20" ht="18.75" customHeight="1" thickBot="1">
      <c r="B130" s="587"/>
      <c r="C130" s="588"/>
      <c r="D130" s="92"/>
      <c r="E130" s="92"/>
      <c r="F130" s="589"/>
      <c r="G130" s="590"/>
      <c r="H130" s="590"/>
      <c r="I130" s="590"/>
      <c r="J130" s="590"/>
      <c r="K130" s="590"/>
      <c r="L130" s="590"/>
      <c r="M130" s="590"/>
      <c r="N130" s="590"/>
      <c r="O130" s="590"/>
      <c r="P130" s="590"/>
      <c r="Q130" s="590"/>
      <c r="R130" s="590"/>
      <c r="S130" s="590"/>
      <c r="T130" s="591"/>
    </row>
    <row r="131" spans="2:21" ht="15" customHeight="1" thickTop="1">
      <c r="B131" s="592"/>
      <c r="C131" s="1"/>
      <c r="D131" s="1"/>
      <c r="E131" s="1"/>
      <c r="F131" s="59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594"/>
      <c r="C132" s="595"/>
      <c r="D132" s="595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</row>
    <row r="133" ht="12.75">
      <c r="B133" s="596"/>
    </row>
    <row r="134" spans="2:21" ht="22.5" customHeight="1"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22.5" customHeight="1">
      <c r="B135" s="1"/>
      <c r="C135" s="1"/>
      <c r="D135" s="597"/>
      <c r="E135" s="597"/>
      <c r="F135" s="541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</row>
    <row r="136" spans="2:21" ht="22.5" customHeight="1">
      <c r="B136" s="1"/>
      <c r="C136" s="1"/>
      <c r="D136" s="597"/>
      <c r="E136" s="597"/>
      <c r="F136" s="59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22.5" customHeight="1">
      <c r="B137" s="1"/>
      <c r="C137" s="1"/>
      <c r="D137" s="542"/>
      <c r="E137" s="542"/>
      <c r="F137" s="54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22.5" customHeight="1">
      <c r="B138" s="1"/>
      <c r="C138" s="1"/>
      <c r="D138" s="597"/>
      <c r="E138" s="597"/>
      <c r="F138" s="54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</sheetData>
  <sheetProtection/>
  <mergeCells count="2">
    <mergeCell ref="A3:C3"/>
    <mergeCell ref="A4:C4"/>
  </mergeCells>
  <printOptions/>
  <pageMargins left="0.39" right="0.1968503937007874" top="0.26" bottom="0.24" header="0.22" footer="0.17"/>
  <pageSetup fitToHeight="1" fitToWidth="1" horizontalDpi="300" verticalDpi="300" orientation="portrait" paperSize="9" scale="30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2014-04-23T13:08:20Z</cp:lastPrinted>
  <dcterms:created xsi:type="dcterms:W3CDTF">1998-04-21T14:04:37Z</dcterms:created>
  <dcterms:modified xsi:type="dcterms:W3CDTF">2014-06-18T16:05:08Z</dcterms:modified>
  <cp:category/>
  <cp:version/>
  <cp:contentType/>
  <cp:contentStatus/>
</cp:coreProperties>
</file>