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77" activeTab="0"/>
  </bookViews>
  <sheets>
    <sheet name="TOT-0413" sheetId="1" r:id="rId1"/>
    <sheet name="LI-04 (1)" sheetId="2" r:id="rId2"/>
    <sheet name="LI-04 (2)" sheetId="3" r:id="rId3"/>
    <sheet name="T-04 (1)" sheetId="4" r:id="rId4"/>
    <sheet name="T-04 (2)" sheetId="5" r:id="rId5"/>
    <sheet name="SA-04 (1)" sheetId="6" r:id="rId6"/>
    <sheet name="SA-04 (2)" sheetId="7" r:id="rId7"/>
    <sheet name="LI-RIOJA-04 (1)" sheetId="8" r:id="rId8"/>
    <sheet name="SUP-RIOJA" sheetId="9" r:id="rId9"/>
    <sheet name="Tasa de Falla" sheetId="10" r:id="rId10"/>
    <sheet name="DATO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<sst xmlns="http://schemas.openxmlformats.org/spreadsheetml/2006/main" count="641" uniqueCount="248">
  <si>
    <t>SISTEMA DE TRANSPORTE DE ENERGÍA ELÉCTRICA POR DISTRIBUCIÓN TRONCAL</t>
  </si>
  <si>
    <t>TRANSNOA S.A.</t>
  </si>
  <si>
    <t>TOTAL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</si>
  <si>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</si>
  <si>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</si>
  <si>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</si>
  <si>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</si>
  <si>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</si>
  <si>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1.1.-</t>
  </si>
  <si>
    <t>Equipamiento propio</t>
  </si>
  <si>
    <t>2.-</t>
  </si>
  <si>
    <t>CONEXIÓN</t>
  </si>
  <si>
    <t>2.1.-</t>
  </si>
  <si>
    <t>Transformación</t>
  </si>
  <si>
    <t>2.1.1.-</t>
  </si>
  <si>
    <t>2.2.-</t>
  </si>
  <si>
    <t>Salidas</t>
  </si>
  <si>
    <t>2.2.1.-</t>
  </si>
  <si>
    <t xml:space="preserve">TOTAL </t>
  </si>
  <si>
    <t>SISTEMA DE TRANSPORTE DE ENERGÍA ELÉCTRICA POR DISTRIBUCIÓN TRONCAL - TRANSNOA S.A.</t>
  </si>
  <si>
    <t>1.- LÍNEAS</t>
  </si>
  <si>
    <t>1.1.- Equipamiento propio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</si>
  <si>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</si>
  <si>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</si>
  <si>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</si>
  <si>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</si>
  <si>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</si>
  <si>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</si>
  <si>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</si>
  <si>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</si>
  <si>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</si>
  <si>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</si>
  <si>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</si>
  <si>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</si>
  <si>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</si>
  <si>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</si>
  <si>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 1ras. 3 hs.   hs. Restantes</t>
  </si>
  <si>
    <t>REDUCC. FORZADA
Por Salida     1ras. 3 hs.  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</si>
  <si>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</si>
  <si>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</si>
  <si>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</si>
  <si>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</si>
  <si>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</si>
  <si>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</si>
  <si>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</si>
  <si>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</si>
  <si>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</si>
  <si>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</si>
  <si>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</si>
  <si>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</si>
  <si>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</si>
  <si>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</si>
  <si>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</si>
  <si>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</si>
  <si>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</si>
  <si>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</si>
  <si>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REDUCC. FORZADA
Por Salida       hs. Restantes</t>
  </si>
  <si>
    <t>SISTEMA DE TRANSPORTE DE ENERGÍA ELÉCTRICA POR DISTRIBUCIÓN TRONCAL -  TRANSNOA S.A.</t>
  </si>
  <si>
    <t>2.2.- Salidas</t>
  </si>
  <si>
    <t>2.2.1.- Equipamiento propio</t>
  </si>
  <si>
    <t xml:space="preserve">Salida en 132 kV o 66 kV = </t>
  </si>
  <si>
    <t xml:space="preserve">Salida en 33 kV </t>
  </si>
  <si>
    <t>Salida en 13,2 kV =</t>
  </si>
  <si>
    <t>Hs.
Indisp.</t>
  </si>
  <si>
    <t>K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</si>
  <si>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</si>
  <si>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</si>
  <si>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</si>
  <si>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</si>
  <si>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</si>
  <si>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</si>
  <si>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</si>
  <si>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</si>
  <si>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</si>
  <si>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</si>
  <si>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</si>
  <si>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U [kV]</t>
  </si>
  <si>
    <t>Long [km]</t>
  </si>
  <si>
    <t>Cargo por C. T.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</si>
  <si>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</si>
  <si>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</si>
  <si>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</si>
  <si>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</si>
  <si>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</si>
  <si>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</si>
  <si>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</si>
  <si>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</si>
  <si>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</si>
  <si>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</si>
  <si>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</si>
  <si>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</si>
  <si>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</si>
  <si>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</si>
  <si>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</si>
  <si>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</si>
  <si>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</si>
  <si>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</si>
  <si>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</si>
  <si>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</si>
  <si>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</si>
  <si>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</si>
  <si>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</si>
  <si>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</si>
  <si>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</si>
  <si>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</si>
  <si>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</si>
  <si>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</si>
  <si>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</si>
  <si>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</si>
  <si>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</si>
  <si>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</si>
  <si>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</si>
  <si>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</si>
  <si>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</si>
  <si>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</si>
  <si>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</si>
  <si>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</si>
  <si>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</si>
  <si>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</si>
  <si>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</si>
  <si>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</si>
  <si>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</si>
  <si>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</si>
  <si>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</si>
  <si>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</si>
  <si>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</si>
  <si>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</si>
  <si>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</si>
  <si>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</si>
  <si>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</si>
  <si>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</si>
  <si>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</si>
  <si>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</si>
  <si>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</si>
  <si>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</si>
  <si>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MODELO L</t>
  </si>
  <si>
    <t>MODELO T</t>
  </si>
  <si>
    <t>MODELO S</t>
  </si>
  <si>
    <t>MODELO L EDESA</t>
  </si>
  <si>
    <t>MODELO T EDESA</t>
  </si>
  <si>
    <t>MODELO S EDESA</t>
  </si>
  <si>
    <t>MODELO VST</t>
  </si>
  <si>
    <t>TRANSNOA_CAUSAS_VST.XLS</t>
  </si>
  <si>
    <t>COL TSAL</t>
  </si>
  <si>
    <t>FILHTOTAL</t>
  </si>
  <si>
    <t>COLHTOTAL</t>
  </si>
  <si>
    <t>FILHCALC</t>
  </si>
  <si>
    <t>COLHCALC</t>
  </si>
  <si>
    <t>FILTRANSP</t>
  </si>
  <si>
    <t>COLTRANSP</t>
  </si>
  <si>
    <t>ID EQUIPO</t>
  </si>
  <si>
    <t>INDISP</t>
  </si>
  <si>
    <t xml:space="preserve"> ENTE NACIONAL REGULADOR </t>
  </si>
  <si>
    <t xml:space="preserve">       DE LA ELECTRICIDAD</t>
  </si>
  <si>
    <t>Total</t>
  </si>
  <si>
    <t>B14</t>
  </si>
  <si>
    <t>TRANSNOA_INDISPONIBILIDADES_LINEAS_TRANSNOA.XLS</t>
  </si>
  <si>
    <t>TRANSNOA_INDISPONIBILIDADES_TRAFOS_TRANSNOA.XLS</t>
  </si>
  <si>
    <t>TRANSNOA_INDISPONIBILIDADES_SALIDAS_TRANSNOA.XLS</t>
  </si>
  <si>
    <t>TRANSNOA_INDISPONIBILIDADES_LINEAS_EDESA.XLS</t>
  </si>
  <si>
    <t>TRANSNOA_INDISPONIBILIDADES_TRAFOS_EDESA.XLS</t>
  </si>
  <si>
    <t>TRANSNOA_INDISPONIBILIDADES_SALIDAS_EDESA.XLS</t>
  </si>
  <si>
    <t>MODELO L RIOJA</t>
  </si>
  <si>
    <t>TRANSNOA_INDISPONIBILIDADES_LINEAS_RIOJA.XLS</t>
  </si>
  <si>
    <t>LA RIOJA SUR P.I.LA RIOJA</t>
  </si>
  <si>
    <t>LA RIOJA SUR P.I.PATQUIA</t>
  </si>
  <si>
    <t>3.2.-</t>
  </si>
  <si>
    <t>Desde el 01 al 30 de abril de 2013</t>
  </si>
  <si>
    <t>C.H. RIO HONDO - EL BRACHO</t>
  </si>
  <si>
    <t>F</t>
  </si>
  <si>
    <t>SI</t>
  </si>
  <si>
    <t>PAMPA GRANDE - TRANCAS</t>
  </si>
  <si>
    <t>TUCUMAN NORTE - EL BRACHO</t>
  </si>
  <si>
    <t>P</t>
  </si>
  <si>
    <t>LIBERTADOR NOA - PICHANAL</t>
  </si>
  <si>
    <t>AGUILARES - VILLA QUINTEROS</t>
  </si>
  <si>
    <t>INDEPENDENCIA- LULES - PAPEL. TUC.</t>
  </si>
  <si>
    <t>METAN - TUCUMAN NORTE</t>
  </si>
  <si>
    <t>GÜEMES - SAN JUANCITO 1</t>
  </si>
  <si>
    <t>SANTIAGO CENTRO I -  S. CORRAL</t>
  </si>
  <si>
    <t>AGUILARES - ESCABA</t>
  </si>
  <si>
    <t>METAN - COBOS</t>
  </si>
  <si>
    <t>VILLA QUINTEROS - ANDALGALA</t>
  </si>
  <si>
    <t>ANDALGALA - SAUJIL</t>
  </si>
  <si>
    <t>ANDALGALA - BELEN</t>
  </si>
  <si>
    <t>132/33/13,2</t>
  </si>
  <si>
    <t>0,000</t>
  </si>
  <si>
    <t>TRAFO 1</t>
  </si>
  <si>
    <t>CEVIL POZO</t>
  </si>
  <si>
    <t>TRAFO 2</t>
  </si>
  <si>
    <t>RP</t>
  </si>
  <si>
    <t xml:space="preserve">SANTIAGO CENTRO </t>
  </si>
  <si>
    <t>R</t>
  </si>
  <si>
    <t xml:space="preserve">PALPALA </t>
  </si>
  <si>
    <t xml:space="preserve">SARMIENTO </t>
  </si>
  <si>
    <t>132/13,2</t>
  </si>
  <si>
    <t>LA COCHA</t>
  </si>
  <si>
    <t>TRAFO</t>
  </si>
  <si>
    <t xml:space="preserve">C.H. RIO HONDO </t>
  </si>
  <si>
    <t>ANDALGALA</t>
  </si>
  <si>
    <t>BELEN</t>
  </si>
  <si>
    <t>ACONQUIJA</t>
  </si>
  <si>
    <t>LA RIOJA</t>
  </si>
  <si>
    <t>SALIDA VILLA VIL. CHAQUIAGO</t>
  </si>
  <si>
    <t>SALIDA ANDALGALA CENTRO</t>
  </si>
  <si>
    <t>MALLIHUACO</t>
  </si>
  <si>
    <t>SALIDA SAUJIL</t>
  </si>
  <si>
    <t>ALIMENTADOR A LONDRES</t>
  </si>
  <si>
    <t>ALIMENTADOR A LINEA 1</t>
  </si>
  <si>
    <t>ALIMENTADOR A LINEA 2</t>
  </si>
  <si>
    <t>SALIDA MINERA</t>
  </si>
  <si>
    <t>ALIMENTADOR A LA PUNTILLA 3</t>
  </si>
  <si>
    <t>ALIMENTADOR NORTE 1</t>
  </si>
  <si>
    <t>LA RIOJA SUR P.I.CIRCUNVALACION</t>
  </si>
  <si>
    <t>INDEPENDENCIA TUC.</t>
  </si>
  <si>
    <t>TRAFO 3</t>
  </si>
  <si>
    <t>FRIAS</t>
  </si>
  <si>
    <t>NO</t>
  </si>
  <si>
    <t>APOLINARIO SARAVIA</t>
  </si>
  <si>
    <t>SAUJIL</t>
  </si>
  <si>
    <t>SALIDA ALIMENTADOR C.D.</t>
  </si>
  <si>
    <t xml:space="preserve">P - PROGRAMADA  ; F - FORZADA  ; 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</si>
  <si>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</si>
  <si>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P - PROGRAMADA  ; R - REDUCCION FORZADA  ; RP - REDUCCIÓN PROGRAMADA</t>
  </si>
  <si>
    <t>P - PROGRAMADA  ; RP - REDUCCIÓN PROGRAMADA</t>
  </si>
  <si>
    <t xml:space="preserve">P - PROGRAMADA </t>
  </si>
  <si>
    <t xml:space="preserve"> F - FORZADA  ; </t>
  </si>
  <si>
    <t>TOTAL A PENALIZAR A TRANSNOA S.A. POR SUPERVISIÓN  DE SU T.I.</t>
  </si>
  <si>
    <t>RM*=</t>
  </si>
  <si>
    <t>1.2.-</t>
  </si>
  <si>
    <t>1.2.- Transportista Independiente TRANSPORTEL La Rioja Sur</t>
  </si>
  <si>
    <t>3.2- SUPERVISIÓN - Transportista Independiente TRANSPORTEL  La Rioja Sur</t>
  </si>
  <si>
    <t>Valores remuneratorios según Convenio de Renovación del acuerdo Instrumental del Acta Acuerdo</t>
  </si>
  <si>
    <t>Equip. del T.I  TRANSPORTEL  LA RIOJA SUR</t>
  </si>
  <si>
    <t>SUPERVISIÓN del T.I.TRANSPORTEL La Rioja Sur</t>
  </si>
  <si>
    <t>TOTAL DE PENALIZACIONES</t>
  </si>
  <si>
    <t xml:space="preserve">SISTEMA DE TRANSPORTE DE ENERGÍA ELÉCTRICA POR DISTRIBUCIÓN TRONCAL </t>
  </si>
  <si>
    <t>INDISPONIBILIDADES FORZADAS DE LÍNEAS - TASA DE FALLA</t>
  </si>
  <si>
    <t>y</t>
  </si>
  <si>
    <t xml:space="preserve">Longitud Total    </t>
  </si>
  <si>
    <t xml:space="preserve">Indisponibilidades Forzadas  </t>
  </si>
  <si>
    <t xml:space="preserve">TASA DE FALLA  </t>
  </si>
  <si>
    <t>XXX</t>
  </si>
  <si>
    <t xml:space="preserve">  Línea no computada en el mes</t>
  </si>
  <si>
    <t>TASA DE FALLA</t>
  </si>
  <si>
    <t>SALIDAS x AÑO / 100 km</t>
  </si>
  <si>
    <t>Correspondiente al mes  de abril de 2013</t>
  </si>
  <si>
    <t>ANEXO I al Memorandum D.T.E.E. N°  475 / 2014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</si>
</sst>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d/m/yy\ h:mm"/>
    <numFmt numFmtId="218" formatCode="&quot;$&quot;\ #,##0.000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0.0000"/>
    <numFmt numFmtId="224" formatCode="[$€-2]\ #,##0.00_);[Red]\([$€-2]\ #,##0.00\)"/>
    <numFmt numFmtId="225" formatCode="[$-2C0A]dddd\,\ dd&quot; de &quot;mmmm&quot; de &quot;yyyy"/>
    <numFmt numFmtId="226" formatCode="[$-2C0A]hh:mm:ss\ AM/PM"/>
    <numFmt numFmtId="227" formatCode="&quot;$&quot;\ #,##0.0;[Red]&quot;$&quot;\ \-#,##0.0"/>
  </numFmts>
  <fonts count="1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1"/>
      <color indexed="5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0"/>
      <color indexed="12"/>
      <name val="Times New Roman"/>
      <family val="1"/>
    </font>
    <font>
      <sz val="11"/>
      <color indexed="56"/>
      <name val="MS Sans Serif"/>
      <family val="2"/>
    </font>
    <font>
      <b/>
      <sz val="10"/>
      <color indexed="56"/>
      <name val="Times New Roman"/>
      <family val="0"/>
    </font>
    <font>
      <sz val="11"/>
      <color indexed="58"/>
      <name val="MS Sans Serif"/>
      <family val="2"/>
    </font>
    <font>
      <b/>
      <sz val="10"/>
      <color indexed="58"/>
      <name val="Times New Roman"/>
      <family val="0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0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4"/>
      <color indexed="8"/>
      <name val="Times New Roman"/>
      <family val="1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sz val="12"/>
      <color indexed="47"/>
      <name val="Times New Roman"/>
      <family val="1"/>
    </font>
    <font>
      <sz val="10"/>
      <color indexed="50"/>
      <name val="MS Sans Serif"/>
      <family val="2"/>
    </font>
    <font>
      <sz val="8"/>
      <name val="MS Sans Serif"/>
      <family val="2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name val="Wingdings"/>
      <family val="0"/>
    </font>
    <font>
      <sz val="8"/>
      <color indexed="9"/>
      <name val="Arial"/>
      <family val="2"/>
    </font>
    <font>
      <b/>
      <i/>
      <sz val="12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i/>
      <u val="single"/>
      <sz val="14"/>
      <color indexed="9"/>
      <name val="Times New Roman"/>
      <family val="1"/>
    </font>
    <font>
      <sz val="14"/>
      <name val="Arial Narrow"/>
      <family val="2"/>
    </font>
    <font>
      <b/>
      <sz val="10"/>
      <color indexed="10"/>
      <name val="MS Sans Serif"/>
      <family val="2"/>
    </font>
    <font>
      <b/>
      <u val="single"/>
      <sz val="12"/>
      <name val="Arial"/>
      <family val="0"/>
    </font>
    <font>
      <b/>
      <i/>
      <sz val="12"/>
      <name val="MS Sans Serif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1" fillId="20" borderId="0" applyNumberFormat="0" applyBorder="0" applyAlignment="0" applyProtection="0"/>
    <xf numFmtId="0" fontId="112" fillId="21" borderId="1" applyNumberFormat="0" applyAlignment="0" applyProtection="0"/>
    <xf numFmtId="0" fontId="113" fillId="22" borderId="2" applyNumberFormat="0" applyAlignment="0" applyProtection="0"/>
    <xf numFmtId="0" fontId="114" fillId="0" borderId="3" applyNumberFormat="0" applyFill="0" applyAlignment="0" applyProtection="0"/>
    <xf numFmtId="0" fontId="115" fillId="0" borderId="0" applyNumberFormat="0" applyFill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0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6" fillId="29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7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9" fillId="21" borderId="5" applyNumberFormat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6" applyNumberFormat="0" applyFill="0" applyAlignment="0" applyProtection="0"/>
    <xf numFmtId="0" fontId="124" fillId="0" borderId="7" applyNumberFormat="0" applyFill="0" applyAlignment="0" applyProtection="0"/>
    <xf numFmtId="0" fontId="115" fillId="0" borderId="8" applyNumberFormat="0" applyFill="0" applyAlignment="0" applyProtection="0"/>
    <xf numFmtId="0" fontId="125" fillId="0" borderId="9" applyNumberFormat="0" applyFill="0" applyAlignment="0" applyProtection="0"/>
  </cellStyleXfs>
  <cellXfs count="61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2" fontId="7" fillId="0" borderId="11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68" fontId="7" fillId="0" borderId="11" xfId="0" applyNumberFormat="1" applyFont="1" applyBorder="1" applyAlignment="1" applyProtection="1" quotePrefix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68" fontId="7" fillId="0" borderId="11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15" xfId="0" applyNumberFormat="1" applyFont="1" applyFill="1" applyBorder="1" applyAlignment="1" applyProtection="1">
      <alignment horizontal="center"/>
      <protection/>
    </xf>
    <xf numFmtId="4" fontId="10" fillId="0" borderId="15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168" fontId="7" fillId="0" borderId="13" xfId="0" applyNumberFormat="1" applyFont="1" applyBorder="1" applyAlignment="1" applyProtection="1" quotePrefix="1">
      <alignment horizontal="center"/>
      <protection/>
    </xf>
    <xf numFmtId="0" fontId="7" fillId="0" borderId="10" xfId="0" applyFont="1" applyFill="1" applyBorder="1" applyAlignment="1">
      <alignment/>
    </xf>
    <xf numFmtId="171" fontId="7" fillId="0" borderId="16" xfId="0" applyNumberFormat="1" applyFont="1" applyFill="1" applyBorder="1" applyAlignment="1" applyProtection="1">
      <alignment horizontal="center"/>
      <protection/>
    </xf>
    <xf numFmtId="8" fontId="10" fillId="0" borderId="14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5" fillId="0" borderId="0" xfId="0" applyFont="1" applyFill="1" applyBorder="1" applyAlignment="1" applyProtection="1">
      <alignment horizontal="centerContinuous"/>
      <protection/>
    </xf>
    <xf numFmtId="0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horizontal="left"/>
      <protection/>
    </xf>
    <xf numFmtId="0" fontId="16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4" fillId="0" borderId="0" xfId="0" applyFont="1" applyAlignment="1">
      <alignment/>
    </xf>
    <xf numFmtId="0" fontId="25" fillId="0" borderId="19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4" fillId="0" borderId="0" xfId="0" applyNumberFormat="1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10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24" fillId="0" borderId="19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/>
    </xf>
    <xf numFmtId="7" fontId="26" fillId="0" borderId="0" xfId="0" applyNumberFormat="1" applyFont="1" applyBorder="1" applyAlignment="1">
      <alignment horizontal="right"/>
    </xf>
    <xf numFmtId="0" fontId="7" fillId="0" borderId="19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 horizontal="center"/>
    </xf>
    <xf numFmtId="7" fontId="26" fillId="0" borderId="21" xfId="0" applyNumberFormat="1" applyFont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23" xfId="0" applyNumberFormat="1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7" fontId="23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21" fillId="0" borderId="1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4" fontId="10" fillId="0" borderId="26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25" fillId="0" borderId="0" xfId="0" applyFont="1" applyBorder="1" applyAlignment="1" applyProtection="1" quotePrefix="1">
      <alignment horizontal="centerContinuous"/>
      <protection/>
    </xf>
    <xf numFmtId="0" fontId="24" fillId="0" borderId="0" xfId="0" applyFont="1" applyBorder="1" applyAlignment="1" applyProtection="1">
      <alignment horizontal="centerContinuous"/>
      <protection/>
    </xf>
    <xf numFmtId="0" fontId="20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30" fillId="0" borderId="27" xfId="0" applyFont="1" applyBorder="1" applyAlignment="1">
      <alignment horizontal="center" vertical="center"/>
    </xf>
    <xf numFmtId="0" fontId="30" fillId="0" borderId="27" xfId="0" applyFont="1" applyBorder="1" applyAlignment="1" applyProtection="1">
      <alignment horizontal="center" vertical="center"/>
      <protection/>
    </xf>
    <xf numFmtId="0" fontId="30" fillId="0" borderId="27" xfId="0" applyFont="1" applyBorder="1" applyAlignment="1" applyProtection="1">
      <alignment horizontal="center" vertical="center" wrapText="1"/>
      <protection/>
    </xf>
    <xf numFmtId="0" fontId="30" fillId="0" borderId="28" xfId="0" applyFont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center" vertical="center" wrapText="1"/>
      <protection/>
    </xf>
    <xf numFmtId="0" fontId="30" fillId="0" borderId="2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2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7" fontId="13" fillId="0" borderId="2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quotePrefix="1">
      <alignment horizontal="lef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9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0" xfId="0" applyFont="1" applyFill="1" applyBorder="1" applyAlignment="1" applyProtection="1" quotePrefix="1">
      <alignment horizontal="left"/>
      <protection/>
    </xf>
    <xf numFmtId="0" fontId="0" fillId="0" borderId="28" xfId="0" applyFont="1" applyFill="1" applyBorder="1" applyAlignment="1" applyProtection="1">
      <alignment horizontal="center"/>
      <protection/>
    </xf>
    <xf numFmtId="164" fontId="0" fillId="0" borderId="27" xfId="0" applyNumberFormat="1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 quotePrefix="1">
      <alignment horizontal="centerContinuous"/>
    </xf>
    <xf numFmtId="0" fontId="24" fillId="0" borderId="10" xfId="0" applyFont="1" applyFill="1" applyBorder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25" fillId="0" borderId="0" xfId="0" applyFont="1" applyBorder="1" applyAlignment="1" quotePrefix="1">
      <alignment horizontal="centerContinuous"/>
    </xf>
    <xf numFmtId="0" fontId="0" fillId="0" borderId="20" xfId="0" applyFont="1" applyBorder="1" applyAlignment="1" applyProtection="1">
      <alignment horizontal="left"/>
      <protection/>
    </xf>
    <xf numFmtId="171" fontId="0" fillId="0" borderId="30" xfId="0" applyNumberFormat="1" applyFont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/>
    </xf>
    <xf numFmtId="171" fontId="29" fillId="0" borderId="3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7" fontId="32" fillId="0" borderId="26" xfId="0" applyNumberFormat="1" applyFont="1" applyFill="1" applyBorder="1" applyAlignment="1">
      <alignment horizontal="center"/>
    </xf>
    <xf numFmtId="0" fontId="30" fillId="0" borderId="27" xfId="0" applyFont="1" applyFill="1" applyBorder="1" applyAlignment="1" applyProtection="1">
      <alignment horizontal="center" vertical="center"/>
      <protection/>
    </xf>
    <xf numFmtId="0" fontId="30" fillId="0" borderId="27" xfId="0" applyFont="1" applyFill="1" applyBorder="1" applyAlignment="1" applyProtection="1">
      <alignment horizontal="center" vertical="center" wrapText="1"/>
      <protection/>
    </xf>
    <xf numFmtId="0" fontId="30" fillId="0" borderId="27" xfId="0" applyFont="1" applyFill="1" applyBorder="1" applyAlignment="1" applyProtection="1" quotePrefix="1">
      <alignment horizontal="center" vertical="center" wrapText="1"/>
      <protection/>
    </xf>
    <xf numFmtId="0" fontId="30" fillId="0" borderId="27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0" fillId="0" borderId="21" xfId="0" applyFont="1" applyFill="1" applyBorder="1" applyAlignment="1" applyProtection="1">
      <alignment horizontal="center" vertical="center"/>
      <protection/>
    </xf>
    <xf numFmtId="0" fontId="30" fillId="0" borderId="28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Border="1" applyAlignment="1">
      <alignment horizontal="centerContinuous"/>
    </xf>
    <xf numFmtId="7" fontId="26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6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 applyProtection="1">
      <alignment horizontal="left" vertical="top"/>
      <protection/>
    </xf>
    <xf numFmtId="0" fontId="35" fillId="0" borderId="0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5" fillId="0" borderId="10" xfId="0" applyFont="1" applyFill="1" applyBorder="1" applyAlignment="1">
      <alignment/>
    </xf>
    <xf numFmtId="7" fontId="37" fillId="0" borderId="0" xfId="0" applyNumberFormat="1" applyFont="1" applyBorder="1" applyAlignment="1">
      <alignment horizontal="right"/>
    </xf>
    <xf numFmtId="7" fontId="13" fillId="0" borderId="27" xfId="0" applyNumberFormat="1" applyFont="1" applyBorder="1" applyAlignment="1">
      <alignment horizontal="right"/>
    </xf>
    <xf numFmtId="0" fontId="38" fillId="33" borderId="27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>
      <alignment/>
    </xf>
    <xf numFmtId="168" fontId="39" fillId="33" borderId="11" xfId="0" applyNumberFormat="1" applyFont="1" applyFill="1" applyBorder="1" applyAlignment="1" applyProtection="1">
      <alignment horizontal="center"/>
      <protection/>
    </xf>
    <xf numFmtId="168" fontId="39" fillId="33" borderId="13" xfId="0" applyNumberFormat="1" applyFont="1" applyFill="1" applyBorder="1" applyAlignment="1" applyProtection="1">
      <alignment horizontal="center"/>
      <protection/>
    </xf>
    <xf numFmtId="0" fontId="39" fillId="33" borderId="14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171" fontId="39" fillId="33" borderId="11" xfId="0" applyNumberFormat="1" applyFont="1" applyFill="1" applyBorder="1" applyAlignment="1" applyProtection="1">
      <alignment horizontal="center"/>
      <protection/>
    </xf>
    <xf numFmtId="171" fontId="39" fillId="33" borderId="13" xfId="0" applyNumberFormat="1" applyFont="1" applyFill="1" applyBorder="1" applyAlignment="1" applyProtection="1">
      <alignment horizontal="center"/>
      <protection/>
    </xf>
    <xf numFmtId="0" fontId="10" fillId="0" borderId="31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30" fillId="0" borderId="27" xfId="0" applyFont="1" applyBorder="1" applyAlignment="1">
      <alignment horizontal="center" vertical="center" wrapText="1"/>
    </xf>
    <xf numFmtId="7" fontId="10" fillId="0" borderId="14" xfId="0" applyNumberFormat="1" applyFont="1" applyBorder="1" applyAlignment="1">
      <alignment horizontal="right"/>
    </xf>
    <xf numFmtId="167" fontId="7" fillId="0" borderId="21" xfId="0" applyNumberFormat="1" applyFont="1" applyBorder="1" applyAlignment="1">
      <alignment horizontal="centerContinuous"/>
    </xf>
    <xf numFmtId="0" fontId="39" fillId="33" borderId="14" xfId="0" applyFont="1" applyFill="1" applyBorder="1" applyAlignment="1">
      <alignment horizontal="center"/>
    </xf>
    <xf numFmtId="0" fontId="45" fillId="34" borderId="27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/>
    </xf>
    <xf numFmtId="2" fontId="46" fillId="34" borderId="11" xfId="0" applyNumberFormat="1" applyFont="1" applyFill="1" applyBorder="1" applyAlignment="1">
      <alignment horizontal="center"/>
    </xf>
    <xf numFmtId="2" fontId="46" fillId="34" borderId="13" xfId="0" applyNumberFormat="1" applyFont="1" applyFill="1" applyBorder="1" applyAlignment="1">
      <alignment horizontal="center"/>
    </xf>
    <xf numFmtId="0" fontId="47" fillId="35" borderId="27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/>
    </xf>
    <xf numFmtId="0" fontId="48" fillId="35" borderId="12" xfId="0" applyFont="1" applyFill="1" applyBorder="1" applyAlignment="1">
      <alignment/>
    </xf>
    <xf numFmtId="2" fontId="48" fillId="35" borderId="11" xfId="0" applyNumberFormat="1" applyFont="1" applyFill="1" applyBorder="1" applyAlignment="1" applyProtection="1">
      <alignment horizontal="center"/>
      <protection/>
    </xf>
    <xf numFmtId="2" fontId="48" fillId="35" borderId="13" xfId="0" applyNumberFormat="1" applyFont="1" applyFill="1" applyBorder="1" applyAlignment="1">
      <alignment horizontal="center"/>
    </xf>
    <xf numFmtId="0" fontId="42" fillId="36" borderId="20" xfId="0" applyFont="1" applyFill="1" applyBorder="1" applyAlignment="1" applyProtection="1">
      <alignment horizontal="centerContinuous" vertical="center" wrapText="1"/>
      <protection/>
    </xf>
    <xf numFmtId="0" fontId="43" fillId="36" borderId="28" xfId="0" applyFont="1" applyFill="1" applyBorder="1" applyAlignment="1">
      <alignment horizontal="centerContinuous"/>
    </xf>
    <xf numFmtId="0" fontId="42" fillId="36" borderId="21" xfId="0" applyFont="1" applyFill="1" applyBorder="1" applyAlignment="1">
      <alignment horizontal="centerContinuous" vertical="center"/>
    </xf>
    <xf numFmtId="168" fontId="41" fillId="36" borderId="32" xfId="0" applyNumberFormat="1" applyFont="1" applyFill="1" applyBorder="1" applyAlignment="1" applyProtection="1" quotePrefix="1">
      <alignment horizontal="center"/>
      <protection/>
    </xf>
    <xf numFmtId="168" fontId="41" fillId="36" borderId="33" xfId="0" applyNumberFormat="1" applyFont="1" applyFill="1" applyBorder="1" applyAlignment="1" applyProtection="1" quotePrefix="1">
      <alignment horizontal="center"/>
      <protection/>
    </xf>
    <xf numFmtId="4" fontId="41" fillId="36" borderId="15" xfId="0" applyNumberFormat="1" applyFont="1" applyFill="1" applyBorder="1" applyAlignment="1">
      <alignment horizontal="center"/>
    </xf>
    <xf numFmtId="168" fontId="41" fillId="36" borderId="34" xfId="0" applyNumberFormat="1" applyFont="1" applyFill="1" applyBorder="1" applyAlignment="1" applyProtection="1" quotePrefix="1">
      <alignment horizontal="center"/>
      <protection/>
    </xf>
    <xf numFmtId="168" fontId="41" fillId="36" borderId="35" xfId="0" applyNumberFormat="1" applyFont="1" applyFill="1" applyBorder="1" applyAlignment="1" applyProtection="1" quotePrefix="1">
      <alignment horizontal="center"/>
      <protection/>
    </xf>
    <xf numFmtId="4" fontId="41" fillId="36" borderId="16" xfId="0" applyNumberFormat="1" applyFont="1" applyFill="1" applyBorder="1" applyAlignment="1">
      <alignment horizontal="center"/>
    </xf>
    <xf numFmtId="0" fontId="41" fillId="36" borderId="36" xfId="0" applyFont="1" applyFill="1" applyBorder="1" applyAlignment="1">
      <alignment/>
    </xf>
    <xf numFmtId="0" fontId="41" fillId="36" borderId="37" xfId="0" applyFont="1" applyFill="1" applyBorder="1" applyAlignment="1">
      <alignment/>
    </xf>
    <xf numFmtId="2" fontId="46" fillId="34" borderId="27" xfId="0" applyNumberFormat="1" applyFont="1" applyFill="1" applyBorder="1" applyAlignment="1">
      <alignment horizontal="center"/>
    </xf>
    <xf numFmtId="2" fontId="48" fillId="35" borderId="27" xfId="0" applyNumberFormat="1" applyFont="1" applyFill="1" applyBorder="1" applyAlignment="1">
      <alignment horizontal="center"/>
    </xf>
    <xf numFmtId="0" fontId="49" fillId="37" borderId="20" xfId="0" applyFont="1" applyFill="1" applyBorder="1" applyAlignment="1">
      <alignment horizontal="centerContinuous" vertical="center" wrapText="1"/>
    </xf>
    <xf numFmtId="0" fontId="50" fillId="37" borderId="28" xfId="0" applyFont="1" applyFill="1" applyBorder="1" applyAlignment="1">
      <alignment horizontal="centerContinuous"/>
    </xf>
    <xf numFmtId="0" fontId="49" fillId="37" borderId="21" xfId="0" applyFont="1" applyFill="1" applyBorder="1" applyAlignment="1">
      <alignment horizontal="centerContinuous" vertical="center"/>
    </xf>
    <xf numFmtId="0" fontId="51" fillId="37" borderId="38" xfId="0" applyFont="1" applyFill="1" applyBorder="1" applyAlignment="1">
      <alignment horizontal="left"/>
    </xf>
    <xf numFmtId="0" fontId="51" fillId="37" borderId="39" xfId="0" applyFont="1" applyFill="1" applyBorder="1" applyAlignment="1">
      <alignment/>
    </xf>
    <xf numFmtId="4" fontId="51" fillId="37" borderId="32" xfId="0" applyNumberFormat="1" applyFont="1" applyFill="1" applyBorder="1" applyAlignment="1" applyProtection="1">
      <alignment horizontal="center"/>
      <protection/>
    </xf>
    <xf numFmtId="4" fontId="51" fillId="37" borderId="34" xfId="0" applyNumberFormat="1" applyFont="1" applyFill="1" applyBorder="1" applyAlignment="1">
      <alignment horizontal="center"/>
    </xf>
    <xf numFmtId="0" fontId="51" fillId="37" borderId="40" xfId="0" applyFont="1" applyFill="1" applyBorder="1" applyAlignment="1">
      <alignment horizontal="left"/>
    </xf>
    <xf numFmtId="0" fontId="51" fillId="37" borderId="41" xfId="0" applyFont="1" applyFill="1" applyBorder="1" applyAlignment="1">
      <alignment/>
    </xf>
    <xf numFmtId="168" fontId="51" fillId="37" borderId="42" xfId="0" applyNumberFormat="1" applyFont="1" applyFill="1" applyBorder="1" applyAlignment="1" applyProtection="1" quotePrefix="1">
      <alignment horizontal="center"/>
      <protection/>
    </xf>
    <xf numFmtId="4" fontId="51" fillId="37" borderId="43" xfId="0" applyNumberFormat="1" applyFont="1" applyFill="1" applyBorder="1" applyAlignment="1">
      <alignment horizontal="center"/>
    </xf>
    <xf numFmtId="0" fontId="51" fillId="37" borderId="44" xfId="0" applyFont="1" applyFill="1" applyBorder="1" applyAlignment="1">
      <alignment horizontal="left"/>
    </xf>
    <xf numFmtId="0" fontId="51" fillId="37" borderId="45" xfId="0" applyFont="1" applyFill="1" applyBorder="1" applyAlignment="1">
      <alignment/>
    </xf>
    <xf numFmtId="4" fontId="51" fillId="37" borderId="46" xfId="0" applyNumberFormat="1" applyFont="1" applyFill="1" applyBorder="1" applyAlignment="1">
      <alignment horizontal="center"/>
    </xf>
    <xf numFmtId="4" fontId="51" fillId="37" borderId="47" xfId="0" applyNumberFormat="1" applyFont="1" applyFill="1" applyBorder="1" applyAlignment="1">
      <alignment horizontal="center"/>
    </xf>
    <xf numFmtId="0" fontId="49" fillId="38" borderId="27" xfId="0" applyFont="1" applyFill="1" applyBorder="1" applyAlignment="1">
      <alignment horizontal="center" vertical="center" wrapText="1"/>
    </xf>
    <xf numFmtId="0" fontId="51" fillId="38" borderId="14" xfId="0" applyFont="1" applyFill="1" applyBorder="1" applyAlignment="1">
      <alignment horizontal="left"/>
    </xf>
    <xf numFmtId="0" fontId="51" fillId="38" borderId="12" xfId="0" applyFont="1" applyFill="1" applyBorder="1" applyAlignment="1">
      <alignment/>
    </xf>
    <xf numFmtId="4" fontId="51" fillId="38" borderId="11" xfId="0" applyNumberFormat="1" applyFont="1" applyFill="1" applyBorder="1" applyAlignment="1">
      <alignment horizontal="center"/>
    </xf>
    <xf numFmtId="4" fontId="51" fillId="38" borderId="13" xfId="0" applyNumberFormat="1" applyFont="1" applyFill="1" applyBorder="1" applyAlignment="1">
      <alignment horizontal="center"/>
    </xf>
    <xf numFmtId="0" fontId="53" fillId="39" borderId="27" xfId="0" applyFont="1" applyFill="1" applyBorder="1" applyAlignment="1">
      <alignment horizontal="center" vertical="center" wrapText="1"/>
    </xf>
    <xf numFmtId="0" fontId="54" fillId="39" borderId="14" xfId="0" applyFont="1" applyFill="1" applyBorder="1" applyAlignment="1">
      <alignment horizontal="left"/>
    </xf>
    <xf numFmtId="0" fontId="54" fillId="39" borderId="12" xfId="0" applyFont="1" applyFill="1" applyBorder="1" applyAlignment="1">
      <alignment/>
    </xf>
    <xf numFmtId="4" fontId="54" fillId="39" borderId="11" xfId="0" applyNumberFormat="1" applyFont="1" applyFill="1" applyBorder="1" applyAlignment="1">
      <alignment horizontal="center"/>
    </xf>
    <xf numFmtId="4" fontId="54" fillId="39" borderId="13" xfId="0" applyNumberFormat="1" applyFont="1" applyFill="1" applyBorder="1" applyAlignment="1">
      <alignment horizontal="center"/>
    </xf>
    <xf numFmtId="2" fontId="41" fillId="36" borderId="27" xfId="0" applyNumberFormat="1" applyFont="1" applyFill="1" applyBorder="1" applyAlignment="1">
      <alignment horizontal="center"/>
    </xf>
    <xf numFmtId="2" fontId="51" fillId="37" borderId="27" xfId="0" applyNumberFormat="1" applyFont="1" applyFill="1" applyBorder="1" applyAlignment="1">
      <alignment horizontal="center"/>
    </xf>
    <xf numFmtId="2" fontId="51" fillId="38" borderId="27" xfId="0" applyNumberFormat="1" applyFont="1" applyFill="1" applyBorder="1" applyAlignment="1">
      <alignment horizontal="center"/>
    </xf>
    <xf numFmtId="2" fontId="54" fillId="39" borderId="27" xfId="0" applyNumberFormat="1" applyFont="1" applyFill="1" applyBorder="1" applyAlignment="1">
      <alignment horizontal="center"/>
    </xf>
    <xf numFmtId="0" fontId="52" fillId="40" borderId="13" xfId="0" applyFont="1" applyFill="1" applyBorder="1" applyAlignment="1">
      <alignment/>
    </xf>
    <xf numFmtId="0" fontId="49" fillId="40" borderId="27" xfId="0" applyFont="1" applyFill="1" applyBorder="1" applyAlignment="1" applyProtection="1">
      <alignment horizontal="center" vertical="center"/>
      <protection/>
    </xf>
    <xf numFmtId="0" fontId="52" fillId="40" borderId="14" xfId="0" applyFont="1" applyFill="1" applyBorder="1" applyAlignment="1">
      <alignment/>
    </xf>
    <xf numFmtId="0" fontId="52" fillId="40" borderId="11" xfId="0" applyFont="1" applyFill="1" applyBorder="1" applyAlignment="1">
      <alignment/>
    </xf>
    <xf numFmtId="4" fontId="52" fillId="40" borderId="11" xfId="0" applyNumberFormat="1" applyFont="1" applyFill="1" applyBorder="1" applyAlignment="1" applyProtection="1">
      <alignment horizontal="center"/>
      <protection/>
    </xf>
    <xf numFmtId="0" fontId="49" fillId="34" borderId="27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/>
    </xf>
    <xf numFmtId="0" fontId="51" fillId="34" borderId="11" xfId="0" applyFont="1" applyFill="1" applyBorder="1" applyAlignment="1">
      <alignment/>
    </xf>
    <xf numFmtId="2" fontId="51" fillId="34" borderId="11" xfId="0" applyNumberFormat="1" applyFont="1" applyFill="1" applyBorder="1" applyAlignment="1">
      <alignment horizontal="center"/>
    </xf>
    <xf numFmtId="0" fontId="51" fillId="34" borderId="13" xfId="0" applyFont="1" applyFill="1" applyBorder="1" applyAlignment="1">
      <alignment/>
    </xf>
    <xf numFmtId="7" fontId="51" fillId="34" borderId="27" xfId="0" applyNumberFormat="1" applyFont="1" applyFill="1" applyBorder="1" applyAlignment="1">
      <alignment horizontal="center"/>
    </xf>
    <xf numFmtId="0" fontId="49" fillId="41" borderId="27" xfId="0" applyFont="1" applyFill="1" applyBorder="1" applyAlignment="1">
      <alignment horizontal="center" vertical="center" wrapText="1"/>
    </xf>
    <xf numFmtId="0" fontId="51" fillId="41" borderId="14" xfId="0" applyFont="1" applyFill="1" applyBorder="1" applyAlignment="1">
      <alignment/>
    </xf>
    <xf numFmtId="0" fontId="51" fillId="41" borderId="11" xfId="0" applyFont="1" applyFill="1" applyBorder="1" applyAlignment="1">
      <alignment/>
    </xf>
    <xf numFmtId="2" fontId="51" fillId="41" borderId="11" xfId="0" applyNumberFormat="1" applyFont="1" applyFill="1" applyBorder="1" applyAlignment="1">
      <alignment horizontal="center"/>
    </xf>
    <xf numFmtId="0" fontId="51" fillId="41" borderId="13" xfId="0" applyFont="1" applyFill="1" applyBorder="1" applyAlignment="1">
      <alignment/>
    </xf>
    <xf numFmtId="7" fontId="52" fillId="41" borderId="27" xfId="0" applyNumberFormat="1" applyFont="1" applyFill="1" applyBorder="1" applyAlignment="1">
      <alignment horizontal="center"/>
    </xf>
    <xf numFmtId="0" fontId="41" fillId="36" borderId="48" xfId="0" applyFont="1" applyFill="1" applyBorder="1" applyAlignment="1">
      <alignment/>
    </xf>
    <xf numFmtId="0" fontId="41" fillId="36" borderId="34" xfId="0" applyFont="1" applyFill="1" applyBorder="1" applyAlignment="1">
      <alignment/>
    </xf>
    <xf numFmtId="0" fontId="41" fillId="36" borderId="47" xfId="0" applyFont="1" applyFill="1" applyBorder="1" applyAlignment="1">
      <alignment/>
    </xf>
    <xf numFmtId="7" fontId="41" fillId="36" borderId="27" xfId="0" applyNumberFormat="1" applyFont="1" applyFill="1" applyBorder="1" applyAlignment="1">
      <alignment horizontal="center"/>
    </xf>
    <xf numFmtId="0" fontId="41" fillId="36" borderId="15" xfId="0" applyFont="1" applyFill="1" applyBorder="1" applyAlignment="1">
      <alignment/>
    </xf>
    <xf numFmtId="168" fontId="41" fillId="36" borderId="46" xfId="0" applyNumberFormat="1" applyFont="1" applyFill="1" applyBorder="1" applyAlignment="1" applyProtection="1" quotePrefix="1">
      <alignment horizontal="center"/>
      <protection/>
    </xf>
    <xf numFmtId="0" fontId="41" fillId="36" borderId="38" xfId="0" applyFont="1" applyFill="1" applyBorder="1" applyAlignment="1">
      <alignment horizontal="center"/>
    </xf>
    <xf numFmtId="0" fontId="41" fillId="36" borderId="32" xfId="0" applyFont="1" applyFill="1" applyBorder="1" applyAlignment="1">
      <alignment horizontal="center"/>
    </xf>
    <xf numFmtId="0" fontId="53" fillId="37" borderId="20" xfId="0" applyFont="1" applyFill="1" applyBorder="1" applyAlignment="1" applyProtection="1">
      <alignment horizontal="centerContinuous" vertical="center" wrapText="1"/>
      <protection/>
    </xf>
    <xf numFmtId="0" fontId="53" fillId="37" borderId="21" xfId="0" applyFont="1" applyFill="1" applyBorder="1" applyAlignment="1">
      <alignment horizontal="centerContinuous" vertical="center"/>
    </xf>
    <xf numFmtId="0" fontId="54" fillId="37" borderId="38" xfId="0" applyFont="1" applyFill="1" applyBorder="1" applyAlignment="1">
      <alignment horizontal="center"/>
    </xf>
    <xf numFmtId="0" fontId="54" fillId="37" borderId="48" xfId="0" applyFont="1" applyFill="1" applyBorder="1" applyAlignment="1">
      <alignment/>
    </xf>
    <xf numFmtId="0" fontId="54" fillId="37" borderId="32" xfId="0" applyFont="1" applyFill="1" applyBorder="1" applyAlignment="1">
      <alignment horizontal="center"/>
    </xf>
    <xf numFmtId="0" fontId="54" fillId="37" borderId="15" xfId="0" applyFont="1" applyFill="1" applyBorder="1" applyAlignment="1">
      <alignment/>
    </xf>
    <xf numFmtId="168" fontId="54" fillId="37" borderId="32" xfId="0" applyNumberFormat="1" applyFont="1" applyFill="1" applyBorder="1" applyAlignment="1" applyProtection="1" quotePrefix="1">
      <alignment horizontal="center"/>
      <protection/>
    </xf>
    <xf numFmtId="168" fontId="54" fillId="37" borderId="46" xfId="0" applyNumberFormat="1" applyFont="1" applyFill="1" applyBorder="1" applyAlignment="1" applyProtection="1" quotePrefix="1">
      <alignment horizontal="center"/>
      <protection/>
    </xf>
    <xf numFmtId="0" fontId="54" fillId="37" borderId="34" xfId="0" applyFont="1" applyFill="1" applyBorder="1" applyAlignment="1">
      <alignment/>
    </xf>
    <xf numFmtId="0" fontId="54" fillId="37" borderId="47" xfId="0" applyFont="1" applyFill="1" applyBorder="1" applyAlignment="1">
      <alignment/>
    </xf>
    <xf numFmtId="7" fontId="54" fillId="37" borderId="27" xfId="0" applyNumberFormat="1" applyFont="1" applyFill="1" applyBorder="1" applyAlignment="1">
      <alignment horizontal="center"/>
    </xf>
    <xf numFmtId="0" fontId="53" fillId="38" borderId="27" xfId="0" applyFont="1" applyFill="1" applyBorder="1" applyAlignment="1">
      <alignment horizontal="center" vertical="center" wrapText="1"/>
    </xf>
    <xf numFmtId="0" fontId="54" fillId="38" borderId="14" xfId="0" applyFont="1" applyFill="1" applyBorder="1" applyAlignment="1">
      <alignment/>
    </xf>
    <xf numFmtId="0" fontId="54" fillId="38" borderId="11" xfId="0" applyFont="1" applyFill="1" applyBorder="1" applyAlignment="1">
      <alignment/>
    </xf>
    <xf numFmtId="168" fontId="54" fillId="38" borderId="11" xfId="0" applyNumberFormat="1" applyFont="1" applyFill="1" applyBorder="1" applyAlignment="1" applyProtection="1" quotePrefix="1">
      <alignment horizontal="center"/>
      <protection/>
    </xf>
    <xf numFmtId="0" fontId="54" fillId="38" borderId="13" xfId="0" applyFont="1" applyFill="1" applyBorder="1" applyAlignment="1">
      <alignment/>
    </xf>
    <xf numFmtId="7" fontId="54" fillId="38" borderId="27" xfId="0" applyNumberFormat="1" applyFont="1" applyFill="1" applyBorder="1" applyAlignment="1">
      <alignment horizontal="center"/>
    </xf>
    <xf numFmtId="0" fontId="55" fillId="42" borderId="27" xfId="0" applyFont="1" applyFill="1" applyBorder="1" applyAlignment="1">
      <alignment horizontal="center" vertical="center" wrapText="1"/>
    </xf>
    <xf numFmtId="0" fontId="56" fillId="42" borderId="14" xfId="0" applyFont="1" applyFill="1" applyBorder="1" applyAlignment="1">
      <alignment/>
    </xf>
    <xf numFmtId="0" fontId="56" fillId="42" borderId="11" xfId="0" applyFont="1" applyFill="1" applyBorder="1" applyAlignment="1">
      <alignment/>
    </xf>
    <xf numFmtId="168" fontId="56" fillId="42" borderId="11" xfId="0" applyNumberFormat="1" applyFont="1" applyFill="1" applyBorder="1" applyAlignment="1" applyProtection="1" quotePrefix="1">
      <alignment horizontal="center"/>
      <protection/>
    </xf>
    <xf numFmtId="0" fontId="56" fillId="42" borderId="13" xfId="0" applyFont="1" applyFill="1" applyBorder="1" applyAlignment="1">
      <alignment/>
    </xf>
    <xf numFmtId="7" fontId="56" fillId="42" borderId="27" xfId="0" applyNumberFormat="1" applyFont="1" applyFill="1" applyBorder="1" applyAlignment="1">
      <alignment horizontal="center"/>
    </xf>
    <xf numFmtId="0" fontId="40" fillId="33" borderId="27" xfId="0" applyFont="1" applyFill="1" applyBorder="1" applyAlignment="1" applyProtection="1">
      <alignment horizontal="center" vertical="center"/>
      <protection/>
    </xf>
    <xf numFmtId="0" fontId="49" fillId="43" borderId="27" xfId="0" applyFont="1" applyFill="1" applyBorder="1" applyAlignment="1">
      <alignment horizontal="center" vertical="center" wrapText="1"/>
    </xf>
    <xf numFmtId="0" fontId="57" fillId="44" borderId="20" xfId="0" applyFont="1" applyFill="1" applyBorder="1" applyAlignment="1" applyProtection="1">
      <alignment horizontal="centerContinuous" vertical="center" wrapText="1"/>
      <protection/>
    </xf>
    <xf numFmtId="0" fontId="57" fillId="44" borderId="21" xfId="0" applyFont="1" applyFill="1" applyBorder="1" applyAlignment="1">
      <alignment horizontal="centerContinuous" vertical="center"/>
    </xf>
    <xf numFmtId="2" fontId="51" fillId="43" borderId="27" xfId="0" applyNumberFormat="1" applyFont="1" applyFill="1" applyBorder="1" applyAlignment="1">
      <alignment horizontal="center"/>
    </xf>
    <xf numFmtId="2" fontId="58" fillId="44" borderId="27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174" fontId="0" fillId="0" borderId="20" xfId="0" applyNumberFormat="1" applyFont="1" applyBorder="1" applyAlignment="1">
      <alignment horizontal="centerContinuous"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21" fillId="0" borderId="19" xfId="0" applyFont="1" applyBorder="1" applyAlignment="1">
      <alignment horizontal="centerContinuous"/>
    </xf>
    <xf numFmtId="0" fontId="60" fillId="0" borderId="0" xfId="0" applyFont="1" applyFill="1" applyBorder="1" applyAlignment="1">
      <alignment horizontal="centerContinuous"/>
    </xf>
    <xf numFmtId="0" fontId="60" fillId="0" borderId="0" xfId="0" applyFont="1" applyFill="1" applyAlignment="1">
      <alignment horizontal="centerContinuous"/>
    </xf>
    <xf numFmtId="0" fontId="60" fillId="0" borderId="10" xfId="0" applyFont="1" applyFill="1" applyBorder="1" applyAlignment="1">
      <alignment horizontal="centerContinuous"/>
    </xf>
    <xf numFmtId="0" fontId="6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59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32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74" fontId="10" fillId="0" borderId="0" xfId="0" applyNumberFormat="1" applyFont="1" applyBorder="1" applyAlignment="1">
      <alignment horizontal="center"/>
    </xf>
    <xf numFmtId="10" fontId="32" fillId="0" borderId="0" xfId="0" applyNumberFormat="1" applyFont="1" applyFill="1" applyBorder="1" applyAlignment="1">
      <alignment/>
    </xf>
    <xf numFmtId="0" fontId="10" fillId="0" borderId="0" xfId="0" applyFont="1" applyBorder="1" applyAlignment="1" applyProtection="1">
      <alignment horizontal="center"/>
      <protection/>
    </xf>
    <xf numFmtId="167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26" fillId="0" borderId="2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65" fillId="0" borderId="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 horizontal="right"/>
      <protection/>
    </xf>
    <xf numFmtId="5" fontId="10" fillId="0" borderId="0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>
      <alignment horizontal="right"/>
    </xf>
    <xf numFmtId="5" fontId="26" fillId="0" borderId="20" xfId="0" applyNumberFormat="1" applyFont="1" applyBorder="1" applyAlignment="1" applyProtection="1">
      <alignment horizontal="center"/>
      <protection/>
    </xf>
    <xf numFmtId="7" fontId="26" fillId="0" borderId="21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7" fontId="66" fillId="0" borderId="21" xfId="0" applyNumberFormat="1" applyFont="1" applyFill="1" applyBorder="1" applyAlignment="1">
      <alignment horizontal="center"/>
    </xf>
    <xf numFmtId="0" fontId="67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7" fontId="10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8" fontId="26" fillId="0" borderId="21" xfId="0" applyNumberFormat="1" applyFont="1" applyBorder="1" applyAlignment="1" applyProtection="1">
      <alignment horizontal="center"/>
      <protection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7" fontId="10" fillId="0" borderId="49" xfId="0" applyNumberFormat="1" applyFont="1" applyBorder="1" applyAlignment="1" applyProtection="1">
      <alignment horizontal="center"/>
      <protection/>
    </xf>
    <xf numFmtId="0" fontId="69" fillId="0" borderId="0" xfId="0" applyFont="1" applyAlignment="1">
      <alignment horizontal="right" vertical="top"/>
    </xf>
    <xf numFmtId="171" fontId="10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10" fillId="0" borderId="50" xfId="0" applyFont="1" applyFill="1" applyBorder="1" applyAlignment="1">
      <alignment/>
    </xf>
    <xf numFmtId="0" fontId="10" fillId="0" borderId="51" xfId="0" applyFont="1" applyBorder="1" applyAlignment="1" applyProtection="1">
      <alignment horizontal="right"/>
      <protection/>
    </xf>
    <xf numFmtId="174" fontId="10" fillId="0" borderId="52" xfId="0" applyNumberFormat="1" applyFont="1" applyBorder="1" applyAlignment="1">
      <alignment horizontal="center"/>
    </xf>
    <xf numFmtId="0" fontId="15" fillId="0" borderId="0" xfId="0" applyFont="1" applyBorder="1" applyAlignment="1" applyProtection="1">
      <alignment/>
      <protection/>
    </xf>
    <xf numFmtId="0" fontId="10" fillId="0" borderId="53" xfId="0" applyFont="1" applyBorder="1" applyAlignment="1" applyProtection="1">
      <alignment horizontal="center"/>
      <protection/>
    </xf>
    <xf numFmtId="0" fontId="10" fillId="0" borderId="54" xfId="0" applyFont="1" applyBorder="1" applyAlignment="1" applyProtection="1">
      <alignment horizontal="center"/>
      <protection/>
    </xf>
    <xf numFmtId="2" fontId="10" fillId="0" borderId="54" xfId="0" applyNumberFormat="1" applyFont="1" applyBorder="1" applyAlignment="1" applyProtection="1">
      <alignment horizontal="center"/>
      <protection/>
    </xf>
    <xf numFmtId="168" fontId="10" fillId="0" borderId="54" xfId="0" applyNumberFormat="1" applyFont="1" applyBorder="1" applyAlignment="1" applyProtection="1">
      <alignment horizontal="center"/>
      <protection/>
    </xf>
    <xf numFmtId="168" fontId="68" fillId="0" borderId="54" xfId="0" applyNumberFormat="1" applyFont="1" applyBorder="1" applyAlignment="1" applyProtection="1" quotePrefix="1">
      <alignment horizontal="centerContinuous"/>
      <protection/>
    </xf>
    <xf numFmtId="0" fontId="0" fillId="0" borderId="54" xfId="0" applyBorder="1" applyAlignment="1">
      <alignment horizontal="centerContinuous"/>
    </xf>
    <xf numFmtId="0" fontId="0" fillId="0" borderId="54" xfId="0" applyBorder="1" applyAlignment="1">
      <alignment/>
    </xf>
    <xf numFmtId="7" fontId="59" fillId="0" borderId="41" xfId="0" applyNumberFormat="1" applyFont="1" applyBorder="1" applyAlignment="1">
      <alignment horizontal="center"/>
    </xf>
    <xf numFmtId="0" fontId="10" fillId="0" borderId="55" xfId="0" applyFont="1" applyBorder="1" applyAlignment="1" applyProtection="1">
      <alignment horizontal="center"/>
      <protection/>
    </xf>
    <xf numFmtId="0" fontId="10" fillId="0" borderId="56" xfId="0" applyFont="1" applyBorder="1" applyAlignment="1" applyProtection="1">
      <alignment horizontal="center"/>
      <protection/>
    </xf>
    <xf numFmtId="2" fontId="10" fillId="0" borderId="56" xfId="0" applyNumberFormat="1" applyFont="1" applyBorder="1" applyAlignment="1" applyProtection="1">
      <alignment horizontal="center"/>
      <protection/>
    </xf>
    <xf numFmtId="168" fontId="10" fillId="0" borderId="56" xfId="0" applyNumberFormat="1" applyFont="1" applyBorder="1" applyAlignment="1" applyProtection="1">
      <alignment horizontal="center"/>
      <protection/>
    </xf>
    <xf numFmtId="7" fontId="10" fillId="0" borderId="56" xfId="0" applyNumberFormat="1" applyFont="1" applyBorder="1" applyAlignment="1" applyProtection="1">
      <alignment horizontal="center"/>
      <protection/>
    </xf>
    <xf numFmtId="7" fontId="10" fillId="0" borderId="56" xfId="0" applyNumberFormat="1" applyFont="1" applyBorder="1" applyAlignment="1" applyProtection="1">
      <alignment horizontal="centerContinuous"/>
      <protection/>
    </xf>
    <xf numFmtId="0" fontId="10" fillId="0" borderId="56" xfId="0" applyFont="1" applyBorder="1" applyAlignment="1" applyProtection="1">
      <alignment horizontal="centerContinuous"/>
      <protection/>
    </xf>
    <xf numFmtId="0" fontId="10" fillId="0" borderId="56" xfId="0" applyFont="1" applyBorder="1" applyAlignment="1" applyProtection="1">
      <alignment horizontal="right"/>
      <protection/>
    </xf>
    <xf numFmtId="7" fontId="10" fillId="0" borderId="57" xfId="0" applyNumberFormat="1" applyFont="1" applyBorder="1" applyAlignment="1" applyProtection="1">
      <alignment horizontal="center"/>
      <protection/>
    </xf>
    <xf numFmtId="0" fontId="10" fillId="0" borderId="58" xfId="0" applyFont="1" applyBorder="1" applyAlignment="1" applyProtection="1">
      <alignment horizontal="center"/>
      <protection/>
    </xf>
    <xf numFmtId="0" fontId="10" fillId="0" borderId="49" xfId="0" applyFont="1" applyBorder="1" applyAlignment="1" applyProtection="1">
      <alignment horizontal="center"/>
      <protection/>
    </xf>
    <xf numFmtId="2" fontId="10" fillId="0" borderId="49" xfId="0" applyNumberFormat="1" applyFont="1" applyBorder="1" applyAlignment="1" applyProtection="1">
      <alignment horizontal="center"/>
      <protection/>
    </xf>
    <xf numFmtId="168" fontId="10" fillId="0" borderId="49" xfId="0" applyNumberFormat="1" applyFont="1" applyBorder="1" applyAlignment="1" applyProtection="1">
      <alignment horizontal="center"/>
      <protection/>
    </xf>
    <xf numFmtId="7" fontId="10" fillId="0" borderId="49" xfId="0" applyNumberFormat="1" applyFont="1" applyBorder="1" applyAlignment="1" applyProtection="1">
      <alignment horizontal="centerContinuous"/>
      <protection/>
    </xf>
    <xf numFmtId="0" fontId="10" fillId="0" borderId="49" xfId="0" applyFont="1" applyBorder="1" applyAlignment="1" applyProtection="1">
      <alignment horizontal="centerContinuous"/>
      <protection/>
    </xf>
    <xf numFmtId="0" fontId="10" fillId="0" borderId="49" xfId="0" applyFont="1" applyBorder="1" applyAlignment="1" applyProtection="1">
      <alignment horizontal="right"/>
      <protection/>
    </xf>
    <xf numFmtId="7" fontId="10" fillId="0" borderId="42" xfId="0" applyNumberFormat="1" applyFont="1" applyBorder="1" applyAlignment="1" applyProtection="1">
      <alignment horizontal="center"/>
      <protection/>
    </xf>
    <xf numFmtId="7" fontId="10" fillId="0" borderId="41" xfId="0" applyNumberFormat="1" applyFont="1" applyBorder="1" applyAlignment="1" applyProtection="1">
      <alignment horizontal="center"/>
      <protection/>
    </xf>
    <xf numFmtId="0" fontId="59" fillId="0" borderId="0" xfId="0" applyFont="1" applyBorder="1" applyAlignment="1" applyProtection="1">
      <alignment horizontal="left"/>
      <protection/>
    </xf>
    <xf numFmtId="0" fontId="69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horizontal="center" vertical="center"/>
    </xf>
    <xf numFmtId="171" fontId="7" fillId="0" borderId="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4" fontId="7" fillId="0" borderId="0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4" fontId="0" fillId="0" borderId="51" xfId="0" applyNumberFormat="1" applyBorder="1" applyAlignment="1">
      <alignment horizontal="center" vertical="center"/>
    </xf>
    <xf numFmtId="0" fontId="7" fillId="0" borderId="11" xfId="0" applyFont="1" applyBorder="1" applyAlignment="1" applyProtection="1">
      <alignment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6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/>
      <protection locked="0"/>
    </xf>
    <xf numFmtId="0" fontId="12" fillId="0" borderId="61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39" fontId="7" fillId="0" borderId="13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2" fontId="7" fillId="0" borderId="11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168" fontId="7" fillId="0" borderId="11" xfId="0" applyNumberFormat="1" applyFont="1" applyBorder="1" applyAlignment="1" applyProtection="1">
      <alignment horizontal="center"/>
      <protection locked="0"/>
    </xf>
    <xf numFmtId="168" fontId="7" fillId="0" borderId="11" xfId="0" applyNumberFormat="1" applyFont="1" applyBorder="1" applyAlignment="1" applyProtection="1" quotePrefix="1">
      <alignment horizontal="center"/>
      <protection locked="0"/>
    </xf>
    <xf numFmtId="168" fontId="7" fillId="0" borderId="13" xfId="0" applyNumberFormat="1" applyFont="1" applyBorder="1" applyAlignment="1" applyProtection="1" quotePrefix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/>
      <protection locked="0"/>
    </xf>
    <xf numFmtId="4" fontId="7" fillId="0" borderId="15" xfId="0" applyNumberFormat="1" applyFont="1" applyBorder="1" applyAlignment="1" applyProtection="1">
      <alignment horizontal="center"/>
      <protection locked="0"/>
    </xf>
    <xf numFmtId="4" fontId="9" fillId="0" borderId="16" xfId="0" applyNumberFormat="1" applyFont="1" applyBorder="1" applyAlignment="1" applyProtection="1">
      <alignment horizontal="center"/>
      <protection locked="0"/>
    </xf>
    <xf numFmtId="0" fontId="25" fillId="0" borderId="19" xfId="0" applyFont="1" applyBorder="1" applyAlignment="1" applyProtection="1">
      <alignment horizontal="centerContinuous"/>
      <protection locked="0"/>
    </xf>
    <xf numFmtId="0" fontId="7" fillId="0" borderId="5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 quotePrefix="1">
      <alignment horizont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/>
      <protection locked="0"/>
    </xf>
    <xf numFmtId="165" fontId="7" fillId="0" borderId="12" xfId="0" applyNumberFormat="1" applyFont="1" applyBorder="1" applyAlignment="1" applyProtection="1" quotePrefix="1">
      <alignment horizontal="center"/>
      <protection locked="0"/>
    </xf>
    <xf numFmtId="2" fontId="7" fillId="0" borderId="12" xfId="0" applyNumberFormat="1" applyFont="1" applyBorder="1" applyAlignment="1" applyProtection="1" quotePrefix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22" fontId="7" fillId="0" borderId="11" xfId="0" applyNumberFormat="1" applyFont="1" applyFill="1" applyBorder="1" applyAlignment="1" applyProtection="1">
      <alignment horizontal="center"/>
      <protection locked="0"/>
    </xf>
    <xf numFmtId="168" fontId="7" fillId="0" borderId="11" xfId="0" applyNumberFormat="1" applyFont="1" applyFill="1" applyBorder="1" applyAlignment="1" applyProtection="1">
      <alignment horizontal="center"/>
      <protection locked="0"/>
    </xf>
    <xf numFmtId="168" fontId="7" fillId="0" borderId="11" xfId="0" applyNumberFormat="1" applyFont="1" applyFill="1" applyBorder="1" applyAlignment="1" applyProtection="1" quotePrefix="1">
      <alignment horizontal="center"/>
      <protection locked="0"/>
    </xf>
    <xf numFmtId="0" fontId="21" fillId="0" borderId="19" xfId="0" applyFont="1" applyBorder="1" applyAlignment="1" applyProtection="1">
      <alignment/>
      <protection locked="0"/>
    </xf>
    <xf numFmtId="0" fontId="12" fillId="0" borderId="59" xfId="0" applyFont="1" applyFill="1" applyBorder="1" applyAlignment="1" applyProtection="1" quotePrefix="1">
      <alignment horizontal="center"/>
      <protection locked="0"/>
    </xf>
    <xf numFmtId="0" fontId="12" fillId="0" borderId="59" xfId="0" applyFont="1" applyFill="1" applyBorder="1" applyAlignment="1" applyProtection="1">
      <alignment horizontal="center"/>
      <protection locked="0"/>
    </xf>
    <xf numFmtId="172" fontId="9" fillId="0" borderId="11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172" fontId="9" fillId="0" borderId="13" xfId="0" applyNumberFormat="1" applyFont="1" applyFill="1" applyBorder="1" applyAlignment="1" applyProtection="1">
      <alignment horizontal="center"/>
      <protection locked="0"/>
    </xf>
    <xf numFmtId="22" fontId="7" fillId="0" borderId="12" xfId="0" applyNumberFormat="1" applyFont="1" applyFill="1" applyBorder="1" applyAlignment="1" applyProtection="1">
      <alignment horizontal="center"/>
      <protection locked="0"/>
    </xf>
    <xf numFmtId="171" fontId="7" fillId="0" borderId="16" xfId="0" applyNumberFormat="1" applyFont="1" applyFill="1" applyBorder="1" applyAlignment="1" applyProtection="1">
      <alignment horizontal="center"/>
      <protection locked="0"/>
    </xf>
    <xf numFmtId="22" fontId="7" fillId="0" borderId="46" xfId="0" applyNumberFormat="1" applyFont="1" applyFill="1" applyBorder="1" applyAlignment="1" applyProtection="1">
      <alignment horizontal="center"/>
      <protection locked="0"/>
    </xf>
    <xf numFmtId="168" fontId="7" fillId="0" borderId="15" xfId="0" applyNumberFormat="1" applyFont="1" applyFill="1" applyBorder="1" applyAlignment="1" applyProtection="1">
      <alignment horizontal="center"/>
      <protection locked="0"/>
    </xf>
    <xf numFmtId="164" fontId="44" fillId="33" borderId="14" xfId="0" applyNumberFormat="1" applyFont="1" applyFill="1" applyBorder="1" applyAlignment="1" applyProtection="1">
      <alignment horizontal="center"/>
      <protection locked="0"/>
    </xf>
    <xf numFmtId="2" fontId="51" fillId="43" borderId="14" xfId="0" applyNumberFormat="1" applyFont="1" applyFill="1" applyBorder="1" applyAlignment="1" applyProtection="1">
      <alignment horizontal="center"/>
      <protection locked="0"/>
    </xf>
    <xf numFmtId="168" fontId="58" fillId="44" borderId="38" xfId="0" applyNumberFormat="1" applyFont="1" applyFill="1" applyBorder="1" applyAlignment="1" applyProtection="1" quotePrefix="1">
      <alignment horizontal="center"/>
      <protection locked="0"/>
    </xf>
    <xf numFmtId="168" fontId="58" fillId="44" borderId="44" xfId="0" applyNumberFormat="1" applyFont="1" applyFill="1" applyBorder="1" applyAlignment="1" applyProtection="1" quotePrefix="1">
      <alignment horizontal="center"/>
      <protection locked="0"/>
    </xf>
    <xf numFmtId="168" fontId="51" fillId="38" borderId="14" xfId="0" applyNumberFormat="1" applyFont="1" applyFill="1" applyBorder="1" applyAlignment="1" applyProtection="1" quotePrefix="1">
      <alignment horizontal="center"/>
      <protection locked="0"/>
    </xf>
    <xf numFmtId="168" fontId="7" fillId="0" borderId="14" xfId="0" applyNumberFormat="1" applyFont="1" applyFill="1" applyBorder="1" applyAlignment="1" applyProtection="1">
      <alignment horizontal="center"/>
      <protection locked="0"/>
    </xf>
    <xf numFmtId="164" fontId="44" fillId="33" borderId="11" xfId="0" applyNumberFormat="1" applyFont="1" applyFill="1" applyBorder="1" applyAlignment="1" applyProtection="1">
      <alignment horizontal="center"/>
      <protection locked="0"/>
    </xf>
    <xf numFmtId="2" fontId="51" fillId="43" borderId="11" xfId="0" applyNumberFormat="1" applyFont="1" applyFill="1" applyBorder="1" applyAlignment="1" applyProtection="1">
      <alignment horizontal="center"/>
      <protection locked="0"/>
    </xf>
    <xf numFmtId="168" fontId="58" fillId="44" borderId="32" xfId="0" applyNumberFormat="1" applyFont="1" applyFill="1" applyBorder="1" applyAlignment="1" applyProtection="1" quotePrefix="1">
      <alignment horizontal="center"/>
      <protection locked="0"/>
    </xf>
    <xf numFmtId="168" fontId="58" fillId="44" borderId="46" xfId="0" applyNumberFormat="1" applyFont="1" applyFill="1" applyBorder="1" applyAlignment="1" applyProtection="1" quotePrefix="1">
      <alignment horizontal="center"/>
      <protection locked="0"/>
    </xf>
    <xf numFmtId="168" fontId="51" fillId="38" borderId="11" xfId="0" applyNumberFormat="1" applyFont="1" applyFill="1" applyBorder="1" applyAlignment="1" applyProtection="1" quotePrefix="1">
      <alignment horizontal="center"/>
      <protection locked="0"/>
    </xf>
    <xf numFmtId="168" fontId="7" fillId="0" borderId="16" xfId="0" applyNumberFormat="1" applyFont="1" applyFill="1" applyBorder="1" applyAlignment="1" applyProtection="1">
      <alignment horizontal="center"/>
      <protection locked="0"/>
    </xf>
    <xf numFmtId="164" fontId="44" fillId="33" borderId="13" xfId="0" applyNumberFormat="1" applyFont="1" applyFill="1" applyBorder="1" applyAlignment="1" applyProtection="1">
      <alignment horizontal="center"/>
      <protection locked="0"/>
    </xf>
    <xf numFmtId="2" fontId="51" fillId="43" borderId="13" xfId="0" applyNumberFormat="1" applyFont="1" applyFill="1" applyBorder="1" applyAlignment="1" applyProtection="1">
      <alignment horizontal="center"/>
      <protection locked="0"/>
    </xf>
    <xf numFmtId="168" fontId="58" fillId="44" borderId="34" xfId="0" applyNumberFormat="1" applyFont="1" applyFill="1" applyBorder="1" applyAlignment="1" applyProtection="1" quotePrefix="1">
      <alignment horizontal="center"/>
      <protection locked="0"/>
    </xf>
    <xf numFmtId="168" fontId="58" fillId="44" borderId="47" xfId="0" applyNumberFormat="1" applyFont="1" applyFill="1" applyBorder="1" applyAlignment="1" applyProtection="1" quotePrefix="1">
      <alignment horizontal="center"/>
      <protection locked="0"/>
    </xf>
    <xf numFmtId="168" fontId="51" fillId="38" borderId="13" xfId="0" applyNumberFormat="1" applyFont="1" applyFill="1" applyBorder="1" applyAlignment="1" applyProtection="1" quotePrefix="1">
      <alignment horizontal="center"/>
      <protection locked="0"/>
    </xf>
    <xf numFmtId="168" fontId="7" fillId="0" borderId="13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0" fontId="72" fillId="0" borderId="0" xfId="53" applyNumberFormat="1" applyFont="1" applyBorder="1" applyAlignment="1">
      <alignment horizontal="left"/>
      <protection/>
    </xf>
    <xf numFmtId="0" fontId="0" fillId="33" borderId="41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Font="1" applyBorder="1" applyAlignment="1" quotePrefix="1">
      <alignment/>
    </xf>
    <xf numFmtId="0" fontId="0" fillId="45" borderId="0" xfId="0" applyFont="1" applyFill="1" applyAlignment="1">
      <alignment/>
    </xf>
    <xf numFmtId="0" fontId="0" fillId="45" borderId="0" xfId="0" applyNumberFormat="1" applyFont="1" applyFill="1" applyAlignment="1">
      <alignment/>
    </xf>
    <xf numFmtId="0" fontId="0" fillId="45" borderId="0" xfId="53" applyFont="1" applyFill="1" applyAlignment="1">
      <alignment/>
      <protection/>
    </xf>
    <xf numFmtId="0" fontId="43" fillId="0" borderId="41" xfId="0" applyFont="1" applyBorder="1" applyAlignment="1">
      <alignment/>
    </xf>
    <xf numFmtId="0" fontId="43" fillId="0" borderId="41" xfId="0" applyFont="1" applyFill="1" applyBorder="1" applyAlignment="1">
      <alignment/>
    </xf>
    <xf numFmtId="0" fontId="43" fillId="0" borderId="42" xfId="0" applyFont="1" applyBorder="1" applyAlignment="1">
      <alignment/>
    </xf>
    <xf numFmtId="0" fontId="73" fillId="0" borderId="17" xfId="0" applyFont="1" applyBorder="1" applyAlignment="1">
      <alignment/>
    </xf>
    <xf numFmtId="0" fontId="74" fillId="0" borderId="41" xfId="0" applyFont="1" applyFill="1" applyBorder="1" applyAlignment="1">
      <alignment/>
    </xf>
    <xf numFmtId="0" fontId="74" fillId="0" borderId="42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59" xfId="0" applyFont="1" applyBorder="1" applyAlignment="1" applyProtection="1">
      <alignment/>
      <protection locked="0"/>
    </xf>
    <xf numFmtId="0" fontId="7" fillId="0" borderId="61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Continuous"/>
      <protection/>
    </xf>
    <xf numFmtId="0" fontId="15" fillId="0" borderId="0" xfId="0" applyFont="1" applyBorder="1" applyAlignment="1" applyProtection="1">
      <alignment horizontal="left"/>
      <protection/>
    </xf>
    <xf numFmtId="0" fontId="75" fillId="33" borderId="41" xfId="0" applyFont="1" applyFill="1" applyBorder="1" applyAlignment="1">
      <alignment horizontal="center"/>
    </xf>
    <xf numFmtId="0" fontId="75" fillId="0" borderId="41" xfId="0" applyFont="1" applyFill="1" applyBorder="1" applyAlignment="1">
      <alignment horizontal="center"/>
    </xf>
    <xf numFmtId="0" fontId="10" fillId="0" borderId="62" xfId="0" applyFont="1" applyBorder="1" applyAlignment="1">
      <alignment/>
    </xf>
    <xf numFmtId="0" fontId="50" fillId="0" borderId="0" xfId="0" applyFont="1" applyBorder="1" applyAlignment="1" applyProtection="1">
      <alignment horizontal="left"/>
      <protection/>
    </xf>
    <xf numFmtId="171" fontId="50" fillId="0" borderId="0" xfId="0" applyNumberFormat="1" applyFont="1" applyBorder="1" applyAlignment="1" applyProtection="1">
      <alignment horizontal="centerContinuous"/>
      <protection/>
    </xf>
    <xf numFmtId="0" fontId="76" fillId="0" borderId="0" xfId="0" applyFont="1" applyBorder="1" applyAlignment="1">
      <alignment horizontal="centerContinuous"/>
    </xf>
    <xf numFmtId="0" fontId="50" fillId="0" borderId="0" xfId="0" applyFont="1" applyBorder="1" applyAlignment="1">
      <alignment/>
    </xf>
    <xf numFmtId="171" fontId="50" fillId="0" borderId="0" xfId="0" applyNumberFormat="1" applyFont="1" applyBorder="1" applyAlignment="1">
      <alignment horizontal="centerContinuous"/>
    </xf>
    <xf numFmtId="0" fontId="5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165" fontId="7" fillId="0" borderId="12" xfId="0" applyNumberFormat="1" applyFont="1" applyBorder="1" applyAlignment="1" applyProtection="1">
      <alignment horizontal="center"/>
      <protection locked="0"/>
    </xf>
    <xf numFmtId="0" fontId="77" fillId="0" borderId="0" xfId="0" applyFont="1" applyBorder="1" applyAlignment="1">
      <alignment horizontal="left"/>
    </xf>
    <xf numFmtId="0" fontId="77" fillId="0" borderId="29" xfId="0" applyFont="1" applyBorder="1" applyAlignment="1">
      <alignment horizontal="center"/>
    </xf>
    <xf numFmtId="223" fontId="0" fillId="0" borderId="20" xfId="0" applyNumberFormat="1" applyFont="1" applyBorder="1" applyAlignment="1">
      <alignment horizontal="centerContinuous"/>
    </xf>
    <xf numFmtId="0" fontId="79" fillId="0" borderId="25" xfId="0" applyFont="1" applyBorder="1" applyAlignment="1">
      <alignment horizontal="center"/>
    </xf>
    <xf numFmtId="0" fontId="80" fillId="0" borderId="0" xfId="0" applyFont="1" applyAlignment="1">
      <alignment horizontal="right" vertical="top"/>
    </xf>
    <xf numFmtId="0" fontId="81" fillId="0" borderId="0" xfId="0" applyFont="1" applyAlignment="1">
      <alignment/>
    </xf>
    <xf numFmtId="14" fontId="82" fillId="0" borderId="0" xfId="0" applyNumberFormat="1" applyFont="1" applyAlignment="1">
      <alignment horizontal="centerContinuous"/>
    </xf>
    <xf numFmtId="0" fontId="81" fillId="0" borderId="0" xfId="0" applyFont="1" applyAlignment="1">
      <alignment horizontal="centerContinuous"/>
    </xf>
    <xf numFmtId="0" fontId="83" fillId="0" borderId="0" xfId="0" applyFont="1" applyBorder="1" applyAlignment="1">
      <alignment horizontal="centerContinuous"/>
    </xf>
    <xf numFmtId="0" fontId="84" fillId="0" borderId="0" xfId="0" applyFont="1" applyBorder="1" applyAlignment="1" applyProtection="1">
      <alignment horizontal="left"/>
      <protection/>
    </xf>
    <xf numFmtId="0" fontId="85" fillId="0" borderId="0" xfId="0" applyFont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85" fillId="0" borderId="0" xfId="0" applyFont="1" applyAlignment="1">
      <alignment horizontal="centerContinuous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86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87" fillId="0" borderId="19" xfId="0" applyFont="1" applyBorder="1" applyAlignment="1">
      <alignment horizontal="centerContinuous"/>
    </xf>
    <xf numFmtId="0" fontId="87" fillId="0" borderId="0" xfId="0" applyFont="1" applyBorder="1" applyAlignment="1">
      <alignment horizontal="centerContinuous"/>
    </xf>
    <xf numFmtId="0" fontId="8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62" xfId="0" applyBorder="1" applyAlignment="1">
      <alignment/>
    </xf>
    <xf numFmtId="0" fontId="86" fillId="0" borderId="0" xfId="0" applyFont="1" applyBorder="1" applyAlignment="1" applyProtection="1">
      <alignment horizontal="center"/>
      <protection/>
    </xf>
    <xf numFmtId="0" fontId="86" fillId="0" borderId="0" xfId="0" applyFont="1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30" fillId="0" borderId="63" xfId="0" applyFont="1" applyBorder="1" applyAlignment="1" applyProtection="1">
      <alignment horizontal="centerContinuous" vertical="center"/>
      <protection/>
    </xf>
    <xf numFmtId="0" fontId="30" fillId="0" borderId="63" xfId="0" applyFont="1" applyBorder="1" applyAlignment="1" applyProtection="1">
      <alignment horizontal="centerContinuous" vertical="center" wrapText="1"/>
      <protection/>
    </xf>
    <xf numFmtId="168" fontId="30" fillId="0" borderId="27" xfId="0" applyNumberFormat="1" applyFont="1" applyBorder="1" applyAlignment="1" applyProtection="1">
      <alignment horizontal="centerContinuous" vertical="center" wrapText="1"/>
      <protection/>
    </xf>
    <xf numFmtId="17" fontId="30" fillId="0" borderId="2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88" fillId="0" borderId="0" xfId="0" applyFont="1" applyAlignment="1">
      <alignment vertical="center"/>
    </xf>
    <xf numFmtId="0" fontId="88" fillId="0" borderId="19" xfId="0" applyFont="1" applyBorder="1" applyAlignment="1">
      <alignment vertical="center"/>
    </xf>
    <xf numFmtId="0" fontId="88" fillId="0" borderId="59" xfId="0" applyFont="1" applyBorder="1" applyAlignment="1">
      <alignment vertical="center"/>
    </xf>
    <xf numFmtId="0" fontId="88" fillId="0" borderId="64" xfId="0" applyFont="1" applyBorder="1" applyAlignment="1">
      <alignment vertical="center"/>
    </xf>
    <xf numFmtId="0" fontId="88" fillId="0" borderId="65" xfId="0" applyFont="1" applyBorder="1" applyAlignment="1">
      <alignment vertical="center"/>
    </xf>
    <xf numFmtId="0" fontId="88" fillId="46" borderId="37" xfId="0" applyNumberFormat="1" applyFont="1" applyFill="1" applyBorder="1" applyAlignment="1">
      <alignment horizontal="center" vertical="center"/>
    </xf>
    <xf numFmtId="0" fontId="88" fillId="0" borderId="10" xfId="0" applyFont="1" applyBorder="1" applyAlignment="1">
      <alignment vertical="center"/>
    </xf>
    <xf numFmtId="0" fontId="88" fillId="1" borderId="59" xfId="0" applyFont="1" applyFill="1" applyBorder="1" applyAlignment="1">
      <alignment horizontal="center" vertical="center"/>
    </xf>
    <xf numFmtId="0" fontId="88" fillId="0" borderId="31" xfId="0" applyFont="1" applyBorder="1" applyAlignment="1">
      <alignment vertical="center"/>
    </xf>
    <xf numFmtId="0" fontId="88" fillId="1" borderId="11" xfId="0" applyFont="1" applyFill="1" applyBorder="1" applyAlignment="1">
      <alignment horizontal="center" vertical="center"/>
    </xf>
    <xf numFmtId="0" fontId="88" fillId="0" borderId="66" xfId="0" applyFont="1" applyFill="1" applyBorder="1" applyAlignment="1">
      <alignment horizontal="center" vertical="center"/>
    </xf>
    <xf numFmtId="0" fontId="88" fillId="0" borderId="67" xfId="0" applyFont="1" applyFill="1" applyBorder="1" applyAlignment="1" applyProtection="1">
      <alignment horizontal="center" vertical="center"/>
      <protection/>
    </xf>
    <xf numFmtId="0" fontId="88" fillId="0" borderId="39" xfId="0" applyFont="1" applyFill="1" applyBorder="1" applyAlignment="1" applyProtection="1">
      <alignment horizontal="center" vertical="center"/>
      <protection/>
    </xf>
    <xf numFmtId="2" fontId="8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right"/>
      <protection/>
    </xf>
    <xf numFmtId="2" fontId="13" fillId="0" borderId="27" xfId="0" applyNumberFormat="1" applyFont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/>
    </xf>
    <xf numFmtId="0" fontId="0" fillId="0" borderId="31" xfId="0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1" fontId="7" fillId="0" borderId="13" xfId="0" applyNumberFormat="1" applyFont="1" applyBorder="1" applyAlignment="1" applyProtection="1">
      <alignment horizontal="center"/>
      <protection/>
    </xf>
    <xf numFmtId="0" fontId="0" fillId="0" borderId="27" xfId="0" applyBorder="1" applyAlignment="1">
      <alignment/>
    </xf>
    <xf numFmtId="0" fontId="5" fillId="0" borderId="0" xfId="0" applyFont="1" applyBorder="1" applyAlignment="1">
      <alignment horizontal="right"/>
    </xf>
    <xf numFmtId="2" fontId="88" fillId="46" borderId="27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 horizontal="right"/>
      <protection/>
    </xf>
    <xf numFmtId="2" fontId="89" fillId="0" borderId="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0" fillId="0" borderId="19" xfId="0" applyFont="1" applyBorder="1" applyAlignment="1">
      <alignment/>
    </xf>
    <xf numFmtId="1" fontId="88" fillId="0" borderId="68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2" fontId="91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0" fillId="0" borderId="21" xfId="0" applyBorder="1" applyAlignment="1">
      <alignment/>
    </xf>
    <xf numFmtId="0" fontId="90" fillId="0" borderId="22" xfId="0" applyFont="1" applyBorder="1" applyAlignment="1">
      <alignment/>
    </xf>
    <xf numFmtId="0" fontId="5" fillId="0" borderId="23" xfId="0" applyFont="1" applyBorder="1" applyAlignment="1" applyProtection="1">
      <alignment horizontal="left"/>
      <protection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0" fillId="0" borderId="0" xfId="0" applyFont="1" applyBorder="1" applyAlignment="1" applyProtection="1">
      <alignment horizontal="left"/>
      <protection/>
    </xf>
    <xf numFmtId="168" fontId="86" fillId="0" borderId="0" xfId="0" applyNumberFormat="1" applyFont="1" applyBorder="1" applyAlignment="1" applyProtection="1">
      <alignment horizontal="left"/>
      <protection/>
    </xf>
    <xf numFmtId="0" fontId="92" fillId="0" borderId="0" xfId="0" applyFont="1" applyAlignment="1">
      <alignment/>
    </xf>
    <xf numFmtId="0" fontId="0" fillId="0" borderId="0" xfId="0" applyAlignment="1">
      <alignment/>
    </xf>
    <xf numFmtId="0" fontId="92" fillId="0" borderId="0" xfId="0" applyFont="1" applyAlignment="1">
      <alignment/>
    </xf>
    <xf numFmtId="0" fontId="86" fillId="0" borderId="0" xfId="0" applyFont="1" applyBorder="1" applyAlignment="1" applyProtection="1">
      <alignment horizontal="left"/>
      <protection/>
    </xf>
    <xf numFmtId="1" fontId="86" fillId="0" borderId="0" xfId="0" applyNumberFormat="1" applyFont="1" applyBorder="1" applyAlignment="1" applyProtection="1">
      <alignment horizontal="center"/>
      <protection/>
    </xf>
    <xf numFmtId="0" fontId="86" fillId="0" borderId="0" xfId="0" applyFont="1" applyBorder="1" applyAlignment="1" applyProtection="1">
      <alignment horizontal="fill"/>
      <protection/>
    </xf>
    <xf numFmtId="0" fontId="88" fillId="46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omahue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2428875</xdr:colOff>
      <xdr:row>0</xdr:row>
      <xdr:rowOff>0</xdr:rowOff>
    </xdr:from>
    <xdr:to>
      <xdr:col>0</xdr:col>
      <xdr:colOff>2952750</xdr:colOff>
      <xdr:row>2</xdr:row>
      <xdr:rowOff>38100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0"/>
          <a:ext cx="523875" cy="952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371475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810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371475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5810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381000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381000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381000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381000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371475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5810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0</xdr:rowOff>
    </xdr:from>
    <xdr:to>
      <xdr:col>0</xdr:col>
      <xdr:colOff>1000125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50482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2771775"/>
          <a:ext cx="2771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SNOA\TBAS2N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áfico1"/>
      <sheetName val="FUERZA MAYOR"/>
    </sheetNames>
    <sheetDataSet>
      <sheetData sheetId="0">
        <row r="17">
          <cell r="C17">
            <v>1</v>
          </cell>
          <cell r="D17" t="str">
            <v>AGUA BLANCA - VILLA QUINTEROS</v>
          </cell>
          <cell r="E17">
            <v>132</v>
          </cell>
          <cell r="F17">
            <v>23.8</v>
          </cell>
          <cell r="HW17">
            <v>1</v>
          </cell>
        </row>
        <row r="18">
          <cell r="C18">
            <v>2</v>
          </cell>
          <cell r="D18" t="str">
            <v>AGUILARES - ESCABA</v>
          </cell>
          <cell r="E18">
            <v>132</v>
          </cell>
          <cell r="F18">
            <v>27.6</v>
          </cell>
        </row>
        <row r="19">
          <cell r="C19">
            <v>3</v>
          </cell>
          <cell r="D19" t="str">
            <v>CABRA CORRAL - SALTA SUR</v>
          </cell>
          <cell r="E19">
            <v>132</v>
          </cell>
          <cell r="F19">
            <v>62</v>
          </cell>
          <cell r="HM19" t="str">
            <v>XXXX</v>
          </cell>
          <cell r="HN19" t="str">
            <v>XXXX</v>
          </cell>
          <cell r="HO19" t="str">
            <v>XXXX</v>
          </cell>
          <cell r="HP19" t="str">
            <v>XXXX</v>
          </cell>
          <cell r="HQ19" t="str">
            <v>XXXX</v>
          </cell>
          <cell r="HR19" t="str">
            <v>XXXX</v>
          </cell>
          <cell r="HS19" t="str">
            <v>XXXX</v>
          </cell>
          <cell r="HT19" t="str">
            <v>XXXX</v>
          </cell>
          <cell r="HU19" t="str">
            <v>XXXX</v>
          </cell>
          <cell r="HV19" t="str">
            <v>XXXX</v>
          </cell>
          <cell r="HW19" t="str">
            <v>XXXX</v>
          </cell>
          <cell r="HX19" t="str">
            <v>XXXX</v>
          </cell>
        </row>
        <row r="20">
          <cell r="C20">
            <v>4</v>
          </cell>
          <cell r="D20" t="str">
            <v>CEVIL POZO - TUCUMAN NORTE</v>
          </cell>
          <cell r="E20">
            <v>132</v>
          </cell>
          <cell r="F20">
            <v>14.5</v>
          </cell>
        </row>
        <row r="21">
          <cell r="C21">
            <v>5</v>
          </cell>
          <cell r="D21" t="str">
            <v>CAMPO SANTO - MINETTI</v>
          </cell>
          <cell r="E21">
            <v>132</v>
          </cell>
          <cell r="F21">
            <v>29.9</v>
          </cell>
          <cell r="HM21" t="str">
            <v>XXXX</v>
          </cell>
          <cell r="HN21" t="str">
            <v>XXXX</v>
          </cell>
          <cell r="HO21" t="str">
            <v>XXXX</v>
          </cell>
          <cell r="HP21" t="str">
            <v>XXXX</v>
          </cell>
          <cell r="HQ21" t="str">
            <v>XXXX</v>
          </cell>
          <cell r="HR21" t="str">
            <v>XXXX</v>
          </cell>
          <cell r="HS21" t="str">
            <v>XXXX</v>
          </cell>
          <cell r="HT21" t="str">
            <v>XXXX</v>
          </cell>
          <cell r="HU21" t="str">
            <v>XXXX</v>
          </cell>
          <cell r="HV21" t="str">
            <v>XXXX</v>
          </cell>
          <cell r="HW21" t="str">
            <v>XXXX</v>
          </cell>
          <cell r="HX21" t="str">
            <v>XXXX</v>
          </cell>
        </row>
        <row r="22">
          <cell r="C22">
            <v>6</v>
          </cell>
          <cell r="D22" t="str">
            <v>ESCABA - HUACRA</v>
          </cell>
          <cell r="E22">
            <v>132</v>
          </cell>
          <cell r="F22">
            <v>49.9</v>
          </cell>
          <cell r="HM22" t="str">
            <v>XXXX</v>
          </cell>
          <cell r="HN22" t="str">
            <v>XXXX</v>
          </cell>
          <cell r="HO22" t="str">
            <v>XXXX</v>
          </cell>
          <cell r="HP22" t="str">
            <v>XXXX</v>
          </cell>
          <cell r="HQ22" t="str">
            <v>XXXX</v>
          </cell>
          <cell r="HR22" t="str">
            <v>XXXX</v>
          </cell>
          <cell r="HS22" t="str">
            <v>XXXX</v>
          </cell>
          <cell r="HT22" t="str">
            <v>XXXX</v>
          </cell>
          <cell r="HU22" t="str">
            <v>XXXX</v>
          </cell>
          <cell r="HV22" t="str">
            <v>XXXX</v>
          </cell>
          <cell r="HW22" t="str">
            <v>XXXX</v>
          </cell>
          <cell r="HX22" t="str">
            <v>XXXX</v>
          </cell>
        </row>
        <row r="23">
          <cell r="C23">
            <v>7</v>
          </cell>
          <cell r="D23" t="str">
            <v>ESTATICA SUR - EL BRACHO</v>
          </cell>
          <cell r="E23">
            <v>132</v>
          </cell>
          <cell r="F23">
            <v>19.6</v>
          </cell>
        </row>
        <row r="24">
          <cell r="C24">
            <v>8</v>
          </cell>
          <cell r="D24" t="str">
            <v>ESTATICA SUR - INDEPENDENCIA (O.F.)</v>
          </cell>
          <cell r="E24">
            <v>132</v>
          </cell>
          <cell r="F24">
            <v>2.6</v>
          </cell>
        </row>
        <row r="25">
          <cell r="C25">
            <v>9</v>
          </cell>
          <cell r="D25" t="str">
            <v>ESTATICA SUR - SARMIENTO "TRANSNOA S.A."</v>
          </cell>
          <cell r="E25">
            <v>132</v>
          </cell>
          <cell r="F25">
            <v>4.4</v>
          </cell>
        </row>
        <row r="26">
          <cell r="C26">
            <v>10</v>
          </cell>
          <cell r="D26" t="str">
            <v>GÜEMES - EL BRACHO</v>
          </cell>
          <cell r="E26">
            <v>132</v>
          </cell>
          <cell r="F26">
            <v>308</v>
          </cell>
          <cell r="HM26" t="str">
            <v>XXXX</v>
          </cell>
          <cell r="HN26" t="str">
            <v>XXXX</v>
          </cell>
          <cell r="HO26" t="str">
            <v>XXXX</v>
          </cell>
          <cell r="HP26" t="str">
            <v>XXXX</v>
          </cell>
          <cell r="HQ26" t="str">
            <v>XXXX</v>
          </cell>
          <cell r="HR26" t="str">
            <v>XXXX</v>
          </cell>
          <cell r="HS26" t="str">
            <v>XXXX</v>
          </cell>
          <cell r="HT26" t="str">
            <v>XXXX</v>
          </cell>
          <cell r="HU26" t="str">
            <v>XXXX</v>
          </cell>
          <cell r="HV26" t="str">
            <v>XXXX</v>
          </cell>
          <cell r="HW26" t="str">
            <v>XXXX</v>
          </cell>
          <cell r="HX26" t="str">
            <v>XXXX</v>
          </cell>
        </row>
        <row r="27">
          <cell r="C27">
            <v>11</v>
          </cell>
          <cell r="D27" t="str">
            <v>CAMPO SANTO - GÜEMES</v>
          </cell>
          <cell r="E27">
            <v>132</v>
          </cell>
          <cell r="F27">
            <v>6.2</v>
          </cell>
          <cell r="HM27" t="str">
            <v>XXXX</v>
          </cell>
          <cell r="HN27" t="str">
            <v>XXXX</v>
          </cell>
          <cell r="HO27" t="str">
            <v>XXXX</v>
          </cell>
          <cell r="HP27" t="str">
            <v>XXXX</v>
          </cell>
          <cell r="HQ27" t="str">
            <v>XXXX</v>
          </cell>
          <cell r="HR27" t="str">
            <v>XXXX</v>
          </cell>
          <cell r="HS27" t="str">
            <v>XXXX</v>
          </cell>
          <cell r="HT27" t="str">
            <v>XXXX</v>
          </cell>
          <cell r="HU27" t="str">
            <v>XXXX</v>
          </cell>
          <cell r="HV27" t="str">
            <v>XXXX</v>
          </cell>
          <cell r="HW27" t="str">
            <v>XXXX</v>
          </cell>
          <cell r="HX27" t="str">
            <v>XXXX</v>
          </cell>
        </row>
        <row r="28">
          <cell r="C28">
            <v>12</v>
          </cell>
          <cell r="D28" t="str">
            <v>GÜEMES - SAN JUANCITO</v>
          </cell>
          <cell r="E28">
            <v>132</v>
          </cell>
          <cell r="F28">
            <v>36.24</v>
          </cell>
          <cell r="HW28">
            <v>1</v>
          </cell>
        </row>
        <row r="29">
          <cell r="C29">
            <v>13</v>
          </cell>
          <cell r="D29" t="str">
            <v>CATAMARCA - HUACRA</v>
          </cell>
          <cell r="E29">
            <v>132</v>
          </cell>
          <cell r="F29">
            <v>67.3</v>
          </cell>
          <cell r="HS29">
            <v>1</v>
          </cell>
          <cell r="HT29">
            <v>1</v>
          </cell>
          <cell r="HU29">
            <v>1</v>
          </cell>
        </row>
        <row r="30">
          <cell r="C30">
            <v>14</v>
          </cell>
          <cell r="D30" t="str">
            <v>HUACRA - LA CALERA</v>
          </cell>
          <cell r="E30">
            <v>132</v>
          </cell>
          <cell r="F30">
            <v>91.2</v>
          </cell>
          <cell r="HM30">
            <v>1</v>
          </cell>
        </row>
        <row r="31">
          <cell r="C31">
            <v>15</v>
          </cell>
          <cell r="D31" t="str">
            <v>AGUA BLANCA - INDEPENDENCIA</v>
          </cell>
          <cell r="E31">
            <v>132</v>
          </cell>
          <cell r="F31">
            <v>34.14</v>
          </cell>
          <cell r="HU31">
            <v>1</v>
          </cell>
          <cell r="HV31">
            <v>1</v>
          </cell>
        </row>
        <row r="32">
          <cell r="C32">
            <v>16</v>
          </cell>
          <cell r="D32" t="str">
            <v>INDEPENDENCIA - EL BRACHO 1</v>
          </cell>
          <cell r="E32">
            <v>132</v>
          </cell>
          <cell r="F32">
            <v>17.1</v>
          </cell>
          <cell r="HR32">
            <v>1</v>
          </cell>
        </row>
        <row r="33">
          <cell r="C33">
            <v>17</v>
          </cell>
          <cell r="D33" t="str">
            <v>INDEPENDENCIA - LULES - PAPEL TUCUMAN</v>
          </cell>
          <cell r="E33">
            <v>132</v>
          </cell>
          <cell r="F33">
            <v>19.3</v>
          </cell>
        </row>
        <row r="34">
          <cell r="C34">
            <v>18</v>
          </cell>
          <cell r="D34" t="str">
            <v>FRIAS - LA CALERA NOA.</v>
          </cell>
          <cell r="E34">
            <v>132</v>
          </cell>
          <cell r="F34">
            <v>27.3</v>
          </cell>
          <cell r="HV34">
            <v>1</v>
          </cell>
        </row>
        <row r="35">
          <cell r="C35">
            <v>19</v>
          </cell>
          <cell r="D35" t="str">
            <v>LA BANDA - SANTIAGO CENTRO</v>
          </cell>
          <cell r="E35">
            <v>132</v>
          </cell>
          <cell r="F35">
            <v>10.91</v>
          </cell>
        </row>
        <row r="36">
          <cell r="C36">
            <v>20</v>
          </cell>
          <cell r="D36" t="str">
            <v>LIBERTADOR NOA. - PICHANAL</v>
          </cell>
          <cell r="E36">
            <v>132</v>
          </cell>
          <cell r="F36">
            <v>76</v>
          </cell>
          <cell r="HN36">
            <v>2</v>
          </cell>
          <cell r="HP36">
            <v>1</v>
          </cell>
          <cell r="HX36">
            <v>1</v>
          </cell>
        </row>
        <row r="37">
          <cell r="C37">
            <v>21</v>
          </cell>
          <cell r="D37" t="str">
            <v>GÜEMES - METAN</v>
          </cell>
          <cell r="E37">
            <v>132</v>
          </cell>
          <cell r="F37">
            <v>97.13</v>
          </cell>
          <cell r="HM37" t="str">
            <v>XXXX</v>
          </cell>
          <cell r="HN37" t="str">
            <v>XXXX</v>
          </cell>
          <cell r="HO37" t="str">
            <v>XXXX</v>
          </cell>
          <cell r="HP37" t="str">
            <v>XXXX</v>
          </cell>
          <cell r="HQ37" t="str">
            <v>XXXX</v>
          </cell>
          <cell r="HR37" t="str">
            <v>XXXX</v>
          </cell>
          <cell r="HS37" t="str">
            <v>XXXX</v>
          </cell>
          <cell r="HT37" t="str">
            <v>XXXX</v>
          </cell>
          <cell r="HU37" t="str">
            <v>XXXX</v>
          </cell>
          <cell r="HV37" t="str">
            <v>XXXX</v>
          </cell>
          <cell r="HW37" t="str">
            <v>XXXX</v>
          </cell>
          <cell r="HX37" t="str">
            <v>XXXX</v>
          </cell>
        </row>
        <row r="38">
          <cell r="C38">
            <v>22</v>
          </cell>
          <cell r="D38" t="str">
            <v>MINETTI - SAN JUANCITO</v>
          </cell>
          <cell r="E38">
            <v>132</v>
          </cell>
          <cell r="F38">
            <v>26</v>
          </cell>
          <cell r="HM38">
            <v>1</v>
          </cell>
          <cell r="HS38">
            <v>1</v>
          </cell>
          <cell r="HV38">
            <v>1</v>
          </cell>
          <cell r="HW38">
            <v>2</v>
          </cell>
          <cell r="HX38">
            <v>1</v>
          </cell>
        </row>
        <row r="39">
          <cell r="C39">
            <v>23</v>
          </cell>
          <cell r="D39" t="str">
            <v>PALPALA - JUJUY SUR</v>
          </cell>
          <cell r="E39">
            <v>132</v>
          </cell>
          <cell r="F39">
            <v>14</v>
          </cell>
          <cell r="HM39" t="str">
            <v>XXXX</v>
          </cell>
          <cell r="HN39" t="str">
            <v>XXXX</v>
          </cell>
          <cell r="HO39" t="str">
            <v>XXXX</v>
          </cell>
          <cell r="HP39" t="str">
            <v>XXXX</v>
          </cell>
          <cell r="HQ39" t="str">
            <v>XXXX</v>
          </cell>
          <cell r="HR39" t="str">
            <v>XXXX</v>
          </cell>
          <cell r="HS39" t="str">
            <v>XXXX</v>
          </cell>
          <cell r="HT39" t="str">
            <v>XXXX</v>
          </cell>
          <cell r="HU39" t="str">
            <v>XXXX</v>
          </cell>
          <cell r="HV39" t="str">
            <v>XXXX</v>
          </cell>
          <cell r="HW39" t="str">
            <v>XXXX</v>
          </cell>
          <cell r="HX39" t="str">
            <v>XXXX</v>
          </cell>
        </row>
        <row r="40">
          <cell r="C40">
            <v>24</v>
          </cell>
          <cell r="D40" t="str">
            <v>ORAN - PICHANAL</v>
          </cell>
          <cell r="E40">
            <v>132</v>
          </cell>
          <cell r="F40">
            <v>17</v>
          </cell>
          <cell r="HM40" t="str">
            <v>XXXX</v>
          </cell>
          <cell r="HN40" t="str">
            <v>XXXX</v>
          </cell>
          <cell r="HO40" t="str">
            <v>XXXX</v>
          </cell>
          <cell r="HP40" t="str">
            <v>XXXX</v>
          </cell>
          <cell r="HQ40" t="str">
            <v>XXXX</v>
          </cell>
          <cell r="HR40" t="str">
            <v>XXXX</v>
          </cell>
          <cell r="HS40" t="str">
            <v>XXXX</v>
          </cell>
          <cell r="HT40" t="str">
            <v>XXXX</v>
          </cell>
          <cell r="HU40" t="str">
            <v>XXXX</v>
          </cell>
          <cell r="HV40" t="str">
            <v>XXXX</v>
          </cell>
          <cell r="HW40" t="str">
            <v>XXXX</v>
          </cell>
          <cell r="HX40" t="str">
            <v>XXXX</v>
          </cell>
        </row>
        <row r="41">
          <cell r="C41">
            <v>25</v>
          </cell>
          <cell r="D41" t="str">
            <v>PICHANAL - TARTAGAL</v>
          </cell>
          <cell r="E41">
            <v>132</v>
          </cell>
          <cell r="F41">
            <v>105</v>
          </cell>
          <cell r="HR41">
            <v>1</v>
          </cell>
        </row>
        <row r="42">
          <cell r="C42">
            <v>26</v>
          </cell>
          <cell r="D42" t="str">
            <v>C.H. RIO HONDO - LA BANDA</v>
          </cell>
          <cell r="E42">
            <v>132</v>
          </cell>
          <cell r="F42">
            <v>76.5</v>
          </cell>
          <cell r="HP42">
            <v>1</v>
          </cell>
          <cell r="HQ42">
            <v>1</v>
          </cell>
          <cell r="HS42">
            <v>1</v>
          </cell>
          <cell r="HV42">
            <v>1</v>
          </cell>
        </row>
        <row r="43">
          <cell r="C43">
            <v>27</v>
          </cell>
          <cell r="D43" t="str">
            <v>LA RIOJA - RECREO  2</v>
          </cell>
          <cell r="E43">
            <v>132</v>
          </cell>
          <cell r="F43">
            <v>220</v>
          </cell>
          <cell r="HM43" t="str">
            <v>XXXX</v>
          </cell>
          <cell r="HN43" t="str">
            <v>XXXX</v>
          </cell>
          <cell r="HO43" t="str">
            <v>XXXX</v>
          </cell>
          <cell r="HP43" t="str">
            <v>XXXX</v>
          </cell>
          <cell r="HQ43" t="str">
            <v>XXXX</v>
          </cell>
          <cell r="HR43" t="str">
            <v>XXXX</v>
          </cell>
          <cell r="HS43" t="str">
            <v>XXXX</v>
          </cell>
          <cell r="HT43" t="str">
            <v>XXXX</v>
          </cell>
          <cell r="HU43" t="str">
            <v>XXXX</v>
          </cell>
          <cell r="HV43" t="str">
            <v>XXXX</v>
          </cell>
          <cell r="HW43" t="str">
            <v>XXXX</v>
          </cell>
          <cell r="HX43" t="str">
            <v>XXXX</v>
          </cell>
        </row>
        <row r="44">
          <cell r="C44">
            <v>28</v>
          </cell>
          <cell r="D44" t="str">
            <v>CAMPO SANTO - SALTA SUR</v>
          </cell>
          <cell r="E44">
            <v>132</v>
          </cell>
          <cell r="F44">
            <v>40.92</v>
          </cell>
          <cell r="HM44" t="str">
            <v>XXXX</v>
          </cell>
          <cell r="HN44" t="str">
            <v>XXXX</v>
          </cell>
          <cell r="HO44" t="str">
            <v>XXXX</v>
          </cell>
          <cell r="HP44" t="str">
            <v>XXXX</v>
          </cell>
          <cell r="HQ44" t="str">
            <v>XXXX</v>
          </cell>
          <cell r="HR44" t="str">
            <v>XXXX</v>
          </cell>
          <cell r="HS44" t="str">
            <v>XXXX</v>
          </cell>
          <cell r="HT44" t="str">
            <v>XXXX</v>
          </cell>
          <cell r="HU44" t="str">
            <v>XXXX</v>
          </cell>
          <cell r="HV44" t="str">
            <v>XXXX</v>
          </cell>
          <cell r="HW44" t="str">
            <v>XXXX</v>
          </cell>
          <cell r="HX44" t="str">
            <v>XXXX</v>
          </cell>
        </row>
        <row r="45">
          <cell r="C45">
            <v>29</v>
          </cell>
          <cell r="D45" t="str">
            <v>PALPALA - SAN JUANCITO</v>
          </cell>
          <cell r="E45">
            <v>132</v>
          </cell>
          <cell r="F45">
            <v>23.9</v>
          </cell>
          <cell r="HM45">
            <v>1</v>
          </cell>
          <cell r="HP45">
            <v>1</v>
          </cell>
          <cell r="HR45">
            <v>1</v>
          </cell>
          <cell r="HU45">
            <v>1</v>
          </cell>
          <cell r="HW45">
            <v>2</v>
          </cell>
        </row>
        <row r="46">
          <cell r="C46">
            <v>30</v>
          </cell>
          <cell r="D46" t="str">
            <v>SAN JUANCITO - SAN PEDRO JUJUY</v>
          </cell>
          <cell r="E46">
            <v>132</v>
          </cell>
          <cell r="F46">
            <v>27</v>
          </cell>
          <cell r="HQ46">
            <v>2</v>
          </cell>
          <cell r="HT46">
            <v>1</v>
          </cell>
          <cell r="HU46">
            <v>1</v>
          </cell>
          <cell r="HX46">
            <v>2</v>
          </cell>
        </row>
        <row r="47">
          <cell r="C47">
            <v>31</v>
          </cell>
          <cell r="D47" t="str">
            <v>SAN MARTIN - CATAMARCA</v>
          </cell>
          <cell r="E47">
            <v>132</v>
          </cell>
          <cell r="F47">
            <v>88</v>
          </cell>
          <cell r="HM47" t="str">
            <v>XXXX</v>
          </cell>
          <cell r="HN47" t="str">
            <v>XXXX</v>
          </cell>
          <cell r="HO47" t="str">
            <v>XXXX</v>
          </cell>
          <cell r="HP47" t="str">
            <v>XXXX</v>
          </cell>
          <cell r="HQ47" t="str">
            <v>XXXX</v>
          </cell>
          <cell r="HR47" t="str">
            <v>XXXX</v>
          </cell>
          <cell r="HS47" t="str">
            <v>XXXX</v>
          </cell>
          <cell r="HT47" t="str">
            <v>XXXX</v>
          </cell>
          <cell r="HU47" t="str">
            <v>XXXX</v>
          </cell>
          <cell r="HV47" t="str">
            <v>XXXX</v>
          </cell>
          <cell r="HW47" t="str">
            <v>XXXX</v>
          </cell>
          <cell r="HX47" t="str">
            <v>XXXX</v>
          </cell>
        </row>
        <row r="48">
          <cell r="C48">
            <v>32</v>
          </cell>
          <cell r="D48" t="str">
            <v>SAN MARTIN - RECREO</v>
          </cell>
          <cell r="E48">
            <v>132</v>
          </cell>
          <cell r="F48">
            <v>115</v>
          </cell>
          <cell r="HM48" t="str">
            <v>XXXX</v>
          </cell>
          <cell r="HN48" t="str">
            <v>XXXX</v>
          </cell>
          <cell r="HO48" t="str">
            <v>XXXX</v>
          </cell>
          <cell r="HP48" t="str">
            <v>XXXX</v>
          </cell>
          <cell r="HQ48" t="str">
            <v>XXXX</v>
          </cell>
          <cell r="HR48" t="str">
            <v>XXXX</v>
          </cell>
          <cell r="HS48" t="str">
            <v>XXXX</v>
          </cell>
          <cell r="HT48" t="str">
            <v>XXXX</v>
          </cell>
          <cell r="HU48" t="str">
            <v>XXXX</v>
          </cell>
          <cell r="HV48" t="str">
            <v>XXXX</v>
          </cell>
          <cell r="HW48" t="str">
            <v>XXXX</v>
          </cell>
          <cell r="HX48" t="str">
            <v>XXXX</v>
          </cell>
        </row>
        <row r="49">
          <cell r="C49">
            <v>33</v>
          </cell>
          <cell r="D49" t="str">
            <v>SAN MARTIN C. - LA RIOJA</v>
          </cell>
          <cell r="E49">
            <v>132</v>
          </cell>
          <cell r="F49">
            <v>105</v>
          </cell>
          <cell r="HM49" t="str">
            <v>XXXX</v>
          </cell>
          <cell r="HN49" t="str">
            <v>XXXX</v>
          </cell>
          <cell r="HO49" t="str">
            <v>XXXX</v>
          </cell>
          <cell r="HP49" t="str">
            <v>XXXX</v>
          </cell>
          <cell r="HQ49" t="str">
            <v>XXXX</v>
          </cell>
          <cell r="HR49" t="str">
            <v>XXXX</v>
          </cell>
          <cell r="HS49" t="str">
            <v>XXXX</v>
          </cell>
          <cell r="HT49" t="str">
            <v>XXXX</v>
          </cell>
          <cell r="HU49" t="str">
            <v>XXXX</v>
          </cell>
          <cell r="HV49" t="str">
            <v>XXXX</v>
          </cell>
          <cell r="HW49" t="str">
            <v>XXXX</v>
          </cell>
          <cell r="HX49" t="str">
            <v>XXXX</v>
          </cell>
        </row>
        <row r="50">
          <cell r="C50">
            <v>34</v>
          </cell>
          <cell r="D50" t="str">
            <v>SAN PEDRO JUJUY - LIBERTADOR NOA.</v>
          </cell>
          <cell r="E50">
            <v>132</v>
          </cell>
          <cell r="F50">
            <v>49</v>
          </cell>
          <cell r="HR50">
            <v>1</v>
          </cell>
          <cell r="HT50">
            <v>1</v>
          </cell>
        </row>
        <row r="51">
          <cell r="C51">
            <v>35</v>
          </cell>
          <cell r="D51" t="str">
            <v>TUCUMAN NORTE - EL BRACHO</v>
          </cell>
          <cell r="E51">
            <v>132</v>
          </cell>
          <cell r="F51">
            <v>31.5</v>
          </cell>
        </row>
        <row r="52">
          <cell r="C52">
            <v>36</v>
          </cell>
          <cell r="D52" t="str">
            <v>C.H. EL CADILLAL - TUCUMAN NORTE</v>
          </cell>
          <cell r="E52">
            <v>132</v>
          </cell>
          <cell r="F52">
            <v>21.78</v>
          </cell>
          <cell r="HV52">
            <v>1</v>
          </cell>
          <cell r="HX52">
            <v>1</v>
          </cell>
        </row>
        <row r="53">
          <cell r="C53">
            <v>37</v>
          </cell>
          <cell r="D53" t="str">
            <v>TUCUMAN NORTE - CABRA CORRAL</v>
          </cell>
          <cell r="E53">
            <v>132</v>
          </cell>
          <cell r="F53">
            <v>190</v>
          </cell>
          <cell r="HM53" t="str">
            <v>XXXX</v>
          </cell>
          <cell r="HN53" t="str">
            <v>XXXX</v>
          </cell>
          <cell r="HO53" t="str">
            <v>XXXX</v>
          </cell>
          <cell r="HP53" t="str">
            <v>XXXX</v>
          </cell>
          <cell r="HQ53" t="str">
            <v>XXXX</v>
          </cell>
          <cell r="HR53" t="str">
            <v>XXXX</v>
          </cell>
          <cell r="HS53" t="str">
            <v>XXXX</v>
          </cell>
          <cell r="HT53" t="str">
            <v>XXXX</v>
          </cell>
          <cell r="HU53" t="str">
            <v>XXXX</v>
          </cell>
          <cell r="HV53" t="str">
            <v>XXXX</v>
          </cell>
          <cell r="HW53" t="str">
            <v>XXXX</v>
          </cell>
          <cell r="HX53" t="str">
            <v>XXXX</v>
          </cell>
        </row>
        <row r="54">
          <cell r="C54">
            <v>38</v>
          </cell>
          <cell r="D54" t="str">
            <v>METAN - TUCUMAN NORTE</v>
          </cell>
          <cell r="E54">
            <v>132</v>
          </cell>
          <cell r="F54">
            <v>155.6</v>
          </cell>
          <cell r="HM54">
            <v>1</v>
          </cell>
          <cell r="HO54">
            <v>1</v>
          </cell>
          <cell r="HR54">
            <v>1</v>
          </cell>
          <cell r="HU54">
            <v>1</v>
          </cell>
          <cell r="HX54">
            <v>1</v>
          </cell>
        </row>
        <row r="55">
          <cell r="C55">
            <v>39</v>
          </cell>
          <cell r="D55" t="str">
            <v>SARMIENTO - TUCUMAN NORTE (O.F.)</v>
          </cell>
          <cell r="E55">
            <v>132</v>
          </cell>
          <cell r="F55">
            <v>3.3</v>
          </cell>
        </row>
        <row r="56">
          <cell r="C56">
            <v>40</v>
          </cell>
          <cell r="D56" t="str">
            <v>TUCUMAN OESTE - TUCUMAN NORTE</v>
          </cell>
          <cell r="E56">
            <v>132</v>
          </cell>
          <cell r="F56">
            <v>7</v>
          </cell>
          <cell r="HU56">
            <v>1</v>
          </cell>
        </row>
        <row r="57">
          <cell r="C57">
            <v>41</v>
          </cell>
          <cell r="D57" t="str">
            <v>AGUILARES - VILLA QUINTEROS</v>
          </cell>
          <cell r="E57">
            <v>132</v>
          </cell>
          <cell r="F57">
            <v>21</v>
          </cell>
        </row>
        <row r="58">
          <cell r="C58">
            <v>42</v>
          </cell>
          <cell r="D58" t="str">
            <v>C.H. PUEBLO VIEJO - VILLA QUINTEROS </v>
          </cell>
          <cell r="E58">
            <v>132</v>
          </cell>
          <cell r="F58">
            <v>24.5</v>
          </cell>
          <cell r="HN58">
            <v>1</v>
          </cell>
        </row>
        <row r="59">
          <cell r="C59">
            <v>43</v>
          </cell>
          <cell r="D59" t="str">
            <v>C.H. RIO HONDO - VILLA QUINTEROS</v>
          </cell>
          <cell r="E59">
            <v>132</v>
          </cell>
          <cell r="F59">
            <v>75.4</v>
          </cell>
          <cell r="HR59">
            <v>1</v>
          </cell>
          <cell r="HT59">
            <v>1</v>
          </cell>
          <cell r="HW59">
            <v>1</v>
          </cell>
        </row>
        <row r="60">
          <cell r="C60">
            <v>44</v>
          </cell>
          <cell r="D60" t="str">
            <v>C.H. RIO HONDO - SANTIAGO CENTRO</v>
          </cell>
          <cell r="E60">
            <v>132</v>
          </cell>
          <cell r="F60">
            <v>79</v>
          </cell>
          <cell r="HM60" t="str">
            <v>XXXX</v>
          </cell>
          <cell r="HN60" t="str">
            <v>XXXX</v>
          </cell>
          <cell r="HO60" t="str">
            <v>XXXX</v>
          </cell>
          <cell r="HP60" t="str">
            <v>XXXX</v>
          </cell>
          <cell r="HQ60" t="str">
            <v>XXXX</v>
          </cell>
          <cell r="HR60" t="str">
            <v>XXXX</v>
          </cell>
          <cell r="HS60" t="str">
            <v>XXXX</v>
          </cell>
          <cell r="HT60" t="str">
            <v>XXXX</v>
          </cell>
          <cell r="HU60" t="str">
            <v>XXXX</v>
          </cell>
          <cell r="HV60" t="str">
            <v>XXXX</v>
          </cell>
          <cell r="HW60" t="str">
            <v>XXXX</v>
          </cell>
          <cell r="HX60" t="str">
            <v>XXXX</v>
          </cell>
        </row>
        <row r="61">
          <cell r="C61">
            <v>45</v>
          </cell>
          <cell r="D61" t="str">
            <v>C.H. RIO HONDO - EL BRACHO</v>
          </cell>
          <cell r="E61">
            <v>132</v>
          </cell>
          <cell r="F61">
            <v>80.66</v>
          </cell>
          <cell r="HP61">
            <v>2</v>
          </cell>
          <cell r="HR61">
            <v>3</v>
          </cell>
          <cell r="HS61">
            <v>1</v>
          </cell>
          <cell r="HV61">
            <v>1</v>
          </cell>
          <cell r="HX61">
            <v>1</v>
          </cell>
        </row>
        <row r="62">
          <cell r="C62">
            <v>46</v>
          </cell>
          <cell r="D62" t="str">
            <v>SALTA SUR - SALTA NORTE</v>
          </cell>
          <cell r="E62">
            <v>132</v>
          </cell>
          <cell r="F62">
            <v>10</v>
          </cell>
          <cell r="HP62">
            <v>1</v>
          </cell>
        </row>
        <row r="63">
          <cell r="C63">
            <v>47</v>
          </cell>
          <cell r="D63" t="str">
            <v>PALPALA - JUJUY ESTE</v>
          </cell>
          <cell r="E63">
            <v>132</v>
          </cell>
          <cell r="F63">
            <v>12.25</v>
          </cell>
          <cell r="HM63">
            <v>1</v>
          </cell>
        </row>
        <row r="64">
          <cell r="C64">
            <v>48</v>
          </cell>
          <cell r="D64" t="str">
            <v>JUJUY ESTE - JUJUY SUR</v>
          </cell>
          <cell r="E64">
            <v>132</v>
          </cell>
          <cell r="F64">
            <v>4.25</v>
          </cell>
          <cell r="HW64">
            <v>1</v>
          </cell>
        </row>
        <row r="65">
          <cell r="C65">
            <v>49</v>
          </cell>
          <cell r="D65" t="str">
            <v>CEVIL POZO - GUEMES</v>
          </cell>
          <cell r="E65">
            <v>132</v>
          </cell>
          <cell r="F65">
            <v>291</v>
          </cell>
          <cell r="HM65" t="str">
            <v>XXXX</v>
          </cell>
          <cell r="HN65" t="str">
            <v>XXXX</v>
          </cell>
          <cell r="HO65" t="str">
            <v>XXXX</v>
          </cell>
          <cell r="HP65" t="str">
            <v>XXXX</v>
          </cell>
          <cell r="HQ65" t="str">
            <v>XXXX</v>
          </cell>
          <cell r="HR65" t="str">
            <v>XXXX</v>
          </cell>
          <cell r="HS65" t="str">
            <v>XXXX</v>
          </cell>
          <cell r="HT65" t="str">
            <v>XXXX</v>
          </cell>
          <cell r="HU65" t="str">
            <v>XXXX</v>
          </cell>
          <cell r="HV65" t="str">
            <v>XXXX</v>
          </cell>
          <cell r="HW65" t="str">
            <v>XXXX</v>
          </cell>
          <cell r="HX65" t="str">
            <v>XXXX</v>
          </cell>
        </row>
        <row r="66">
          <cell r="C66">
            <v>50</v>
          </cell>
          <cell r="D66" t="str">
            <v>CEVIL POZO - EL BRACHO</v>
          </cell>
          <cell r="E66">
            <v>132</v>
          </cell>
          <cell r="F66">
            <v>17</v>
          </cell>
          <cell r="HP66">
            <v>1</v>
          </cell>
        </row>
        <row r="68">
          <cell r="C68">
            <v>51</v>
          </cell>
          <cell r="D68" t="str">
            <v>METAN - EL TUNAL</v>
          </cell>
          <cell r="E68">
            <v>132</v>
          </cell>
          <cell r="F68">
            <v>75.6</v>
          </cell>
        </row>
        <row r="69">
          <cell r="C69">
            <v>52</v>
          </cell>
          <cell r="D69" t="str">
            <v>EL TUNAL - J.V. GONZALEZ</v>
          </cell>
          <cell r="E69">
            <v>132</v>
          </cell>
          <cell r="F69">
            <v>41.4</v>
          </cell>
        </row>
        <row r="71">
          <cell r="C71">
            <v>53</v>
          </cell>
          <cell r="D71" t="str">
            <v>LOS PIZARROS - ESCABA</v>
          </cell>
          <cell r="E71">
            <v>132</v>
          </cell>
          <cell r="F71">
            <v>21.4</v>
          </cell>
        </row>
        <row r="72">
          <cell r="C72">
            <v>54</v>
          </cell>
          <cell r="D72" t="str">
            <v>LOS PIZARROS - LA COCHA</v>
          </cell>
          <cell r="E72">
            <v>132</v>
          </cell>
          <cell r="F72">
            <v>6.5</v>
          </cell>
        </row>
        <row r="73">
          <cell r="C73">
            <v>55</v>
          </cell>
          <cell r="D73" t="str">
            <v>HUACRA - LOS PIZARROS</v>
          </cell>
          <cell r="E73">
            <v>132</v>
          </cell>
          <cell r="F73">
            <v>28.5</v>
          </cell>
        </row>
        <row r="74">
          <cell r="C74">
            <v>56</v>
          </cell>
          <cell r="D74" t="str">
            <v>CEVIL POZO - AVELLANEDA</v>
          </cell>
          <cell r="E74">
            <v>132</v>
          </cell>
          <cell r="F74">
            <v>8</v>
          </cell>
        </row>
        <row r="75">
          <cell r="C75">
            <v>57</v>
          </cell>
          <cell r="D75" t="str">
            <v>CABRA CORRAL - SALTA ESTE</v>
          </cell>
          <cell r="E75">
            <v>132</v>
          </cell>
          <cell r="F75">
            <v>55</v>
          </cell>
          <cell r="HR75">
            <v>2</v>
          </cell>
        </row>
        <row r="76">
          <cell r="C76">
            <v>58</v>
          </cell>
          <cell r="D76" t="str">
            <v>SALTA ESTE - SALTA SUR</v>
          </cell>
          <cell r="E76">
            <v>132</v>
          </cell>
          <cell r="F76">
            <v>7</v>
          </cell>
          <cell r="HP76">
            <v>1</v>
          </cell>
          <cell r="HR76">
            <v>1</v>
          </cell>
          <cell r="HU76">
            <v>1</v>
          </cell>
        </row>
        <row r="77">
          <cell r="C77">
            <v>59</v>
          </cell>
          <cell r="D77" t="str">
            <v>V. QUINTEROS - ACONQUIJA - ANDALGALA</v>
          </cell>
          <cell r="E77">
            <v>132</v>
          </cell>
          <cell r="F77">
            <v>102</v>
          </cell>
          <cell r="HQ77">
            <v>1</v>
          </cell>
          <cell r="HT77">
            <v>1</v>
          </cell>
          <cell r="HU77">
            <v>1</v>
          </cell>
        </row>
        <row r="78">
          <cell r="C78">
            <v>60</v>
          </cell>
          <cell r="D78" t="str">
            <v>ANDALGALA - BELEN</v>
          </cell>
          <cell r="E78">
            <v>132</v>
          </cell>
          <cell r="F78">
            <v>80.3</v>
          </cell>
        </row>
        <row r="79">
          <cell r="C79">
            <v>61</v>
          </cell>
          <cell r="D79" t="str">
            <v>TUCUMAN NORTE - TRANCAS</v>
          </cell>
          <cell r="E79">
            <v>132</v>
          </cell>
          <cell r="F79">
            <v>75</v>
          </cell>
          <cell r="HR79">
            <v>1</v>
          </cell>
        </row>
        <row r="80">
          <cell r="C80">
            <v>62</v>
          </cell>
          <cell r="D80" t="str">
            <v>CABRA CORRAL - TRANCAS</v>
          </cell>
          <cell r="E80">
            <v>132</v>
          </cell>
          <cell r="F80">
            <v>115</v>
          </cell>
          <cell r="HM80" t="str">
            <v>XXXX</v>
          </cell>
          <cell r="HN80" t="str">
            <v>XXXX</v>
          </cell>
          <cell r="HO80" t="str">
            <v>XXXX</v>
          </cell>
          <cell r="HP80" t="str">
            <v>XXXX</v>
          </cell>
          <cell r="HQ80" t="str">
            <v>XXXX</v>
          </cell>
          <cell r="HR80" t="str">
            <v>XXXX</v>
          </cell>
          <cell r="HS80" t="str">
            <v>XXXX</v>
          </cell>
          <cell r="HT80" t="str">
            <v>XXXX</v>
          </cell>
          <cell r="HU80" t="str">
            <v>XXXX</v>
          </cell>
          <cell r="HV80" t="str">
            <v>XXXX</v>
          </cell>
          <cell r="HW80" t="str">
            <v>XXXX</v>
          </cell>
          <cell r="HX80" t="str">
            <v>XXXX</v>
          </cell>
        </row>
        <row r="81">
          <cell r="C81">
            <v>63</v>
          </cell>
          <cell r="D81" t="str">
            <v>LAS MADERAS - JUJUY SUR</v>
          </cell>
          <cell r="E81">
            <v>132</v>
          </cell>
          <cell r="F81">
            <v>29</v>
          </cell>
          <cell r="HM81">
            <v>1</v>
          </cell>
          <cell r="HV81">
            <v>1</v>
          </cell>
        </row>
        <row r="82">
          <cell r="C82">
            <v>64</v>
          </cell>
          <cell r="D82" t="str">
            <v>BELEN - TINOGASTA</v>
          </cell>
          <cell r="E82">
            <v>132</v>
          </cell>
          <cell r="F82">
            <v>72</v>
          </cell>
          <cell r="HU82">
            <v>1</v>
          </cell>
          <cell r="HV82">
            <v>1</v>
          </cell>
        </row>
        <row r="83">
          <cell r="C83">
            <v>65</v>
          </cell>
          <cell r="D83" t="str">
            <v>BURRUYACU - CEVIL POZO</v>
          </cell>
          <cell r="E83">
            <v>132</v>
          </cell>
          <cell r="F83">
            <v>56</v>
          </cell>
          <cell r="HP83">
            <v>1</v>
          </cell>
        </row>
        <row r="84">
          <cell r="C84">
            <v>66</v>
          </cell>
          <cell r="D84" t="str">
            <v>GÜEMES - BURRUYACU</v>
          </cell>
          <cell r="E84">
            <v>132</v>
          </cell>
          <cell r="F84">
            <v>235.1</v>
          </cell>
          <cell r="HM84" t="str">
            <v>XXXX</v>
          </cell>
          <cell r="HN84" t="str">
            <v>XXXX</v>
          </cell>
          <cell r="HO84" t="str">
            <v>XXXX</v>
          </cell>
          <cell r="HP84" t="str">
            <v>XXXX</v>
          </cell>
          <cell r="HQ84" t="str">
            <v>XXXX</v>
          </cell>
          <cell r="HR84" t="str">
            <v>XXXX</v>
          </cell>
          <cell r="HS84" t="str">
            <v>XXXX</v>
          </cell>
          <cell r="HT84" t="str">
            <v>XXXX</v>
          </cell>
          <cell r="HU84" t="str">
            <v>XXXX</v>
          </cell>
          <cell r="HV84" t="str">
            <v>XXXX</v>
          </cell>
          <cell r="HW84" t="str">
            <v>XXXX</v>
          </cell>
          <cell r="HX84" t="str">
            <v>XXXX</v>
          </cell>
        </row>
        <row r="85">
          <cell r="C85">
            <v>67</v>
          </cell>
          <cell r="D85" t="str">
            <v>FRIAS - RECREO</v>
          </cell>
          <cell r="E85">
            <v>132</v>
          </cell>
          <cell r="F85">
            <v>74.54</v>
          </cell>
        </row>
        <row r="86">
          <cell r="C86">
            <v>68</v>
          </cell>
          <cell r="D86" t="str">
            <v>RECREO - LA RIOJA 1</v>
          </cell>
          <cell r="E86">
            <v>132</v>
          </cell>
          <cell r="F86">
            <v>221</v>
          </cell>
        </row>
        <row r="87">
          <cell r="C87">
            <v>69</v>
          </cell>
          <cell r="D87" t="str">
            <v>RECREO - LA RIOJA 2</v>
          </cell>
          <cell r="E87">
            <v>132</v>
          </cell>
          <cell r="F87">
            <v>220</v>
          </cell>
        </row>
        <row r="88">
          <cell r="C88">
            <v>70</v>
          </cell>
          <cell r="D88" t="str">
            <v>RECREO - CATAMARCA</v>
          </cell>
          <cell r="E88">
            <v>132</v>
          </cell>
          <cell r="F88">
            <v>203</v>
          </cell>
        </row>
        <row r="89">
          <cell r="C89">
            <v>71</v>
          </cell>
          <cell r="D89" t="str">
            <v>CABRA CORRAL - EL CARRIL</v>
          </cell>
          <cell r="E89">
            <v>132</v>
          </cell>
          <cell r="F89">
            <v>33.55</v>
          </cell>
          <cell r="HW89">
            <v>2</v>
          </cell>
        </row>
        <row r="90">
          <cell r="C90">
            <v>72</v>
          </cell>
          <cell r="D90" t="str">
            <v>PAMPA GRANDE - CABRA CORRAL</v>
          </cell>
          <cell r="E90">
            <v>132</v>
          </cell>
          <cell r="F90">
            <v>60</v>
          </cell>
          <cell r="HU90">
            <v>1</v>
          </cell>
          <cell r="HX90">
            <v>1</v>
          </cell>
        </row>
        <row r="91">
          <cell r="C91">
            <v>73</v>
          </cell>
          <cell r="D91" t="str">
            <v>PAMPA GRANDE - CAFAYATE</v>
          </cell>
          <cell r="E91">
            <v>132</v>
          </cell>
          <cell r="F91">
            <v>63</v>
          </cell>
          <cell r="HR91">
            <v>1</v>
          </cell>
        </row>
        <row r="92">
          <cell r="C92">
            <v>74</v>
          </cell>
          <cell r="D92" t="str">
            <v>PAMPA GRANDE - TRANCAS</v>
          </cell>
          <cell r="E92">
            <v>132</v>
          </cell>
          <cell r="F92">
            <v>55</v>
          </cell>
          <cell r="HT92">
            <v>1</v>
          </cell>
        </row>
        <row r="93">
          <cell r="C93">
            <v>75</v>
          </cell>
          <cell r="D93" t="str">
            <v>SANTIAGO CENTRO - SUNCHO CORRAL </v>
          </cell>
          <cell r="E93">
            <v>132</v>
          </cell>
          <cell r="F93">
            <v>103</v>
          </cell>
          <cell r="HM93">
            <v>1</v>
          </cell>
          <cell r="HX93">
            <v>1</v>
          </cell>
        </row>
        <row r="94">
          <cell r="C94">
            <v>76</v>
          </cell>
          <cell r="D94" t="str">
            <v>SUNCHO CORRAL - ANATUYA</v>
          </cell>
          <cell r="E94">
            <v>132</v>
          </cell>
          <cell r="F94">
            <v>81</v>
          </cell>
        </row>
        <row r="95">
          <cell r="C95">
            <v>77</v>
          </cell>
          <cell r="D95" t="str">
            <v>LAS MADERAS - GÜEMES SALTA</v>
          </cell>
          <cell r="E95">
            <v>132</v>
          </cell>
          <cell r="F95">
            <v>42</v>
          </cell>
          <cell r="HP95">
            <v>1</v>
          </cell>
          <cell r="HV95">
            <v>1</v>
          </cell>
          <cell r="HW95">
            <v>1</v>
          </cell>
          <cell r="HX95">
            <v>1</v>
          </cell>
        </row>
        <row r="96">
          <cell r="C96">
            <v>78</v>
          </cell>
          <cell r="D96" t="str">
            <v>INDEPENDENCIA - EL BRACHO 2</v>
          </cell>
          <cell r="E96">
            <v>132</v>
          </cell>
          <cell r="F96">
            <v>17.1</v>
          </cell>
        </row>
        <row r="97">
          <cell r="C97">
            <v>79</v>
          </cell>
          <cell r="D97" t="str">
            <v>GÜEMES - SALTA SUR</v>
          </cell>
          <cell r="E97">
            <v>132</v>
          </cell>
          <cell r="F97">
            <v>47.6</v>
          </cell>
          <cell r="HP97">
            <v>1</v>
          </cell>
        </row>
        <row r="98">
          <cell r="C98">
            <v>80</v>
          </cell>
          <cell r="D98" t="str">
            <v>BURRUYACU - COBOS</v>
          </cell>
          <cell r="E98">
            <v>132</v>
          </cell>
          <cell r="F98">
            <v>229.5</v>
          </cell>
          <cell r="HM98" t="str">
            <v>XXXX</v>
          </cell>
          <cell r="HN98" t="str">
            <v>XXXX</v>
          </cell>
          <cell r="HO98" t="str">
            <v>XXXX</v>
          </cell>
          <cell r="HP98" t="str">
            <v>XXXX</v>
          </cell>
          <cell r="HQ98" t="str">
            <v>XXXX</v>
          </cell>
          <cell r="HR98" t="str">
            <v>XXXX</v>
          </cell>
          <cell r="HS98" t="str">
            <v>XXXX</v>
          </cell>
          <cell r="HT98" t="str">
            <v>XXXX</v>
          </cell>
          <cell r="HU98" t="str">
            <v>XXXX</v>
          </cell>
          <cell r="HV98" t="str">
            <v>XXXX</v>
          </cell>
          <cell r="HW98" t="str">
            <v>XXXX</v>
          </cell>
          <cell r="HX98" t="str">
            <v>XXXX</v>
          </cell>
        </row>
        <row r="99">
          <cell r="C99">
            <v>81</v>
          </cell>
          <cell r="D99" t="str">
            <v>METAN - COBOS</v>
          </cell>
          <cell r="E99">
            <v>132</v>
          </cell>
          <cell r="F99">
            <v>89.2</v>
          </cell>
          <cell r="HW99">
            <v>1</v>
          </cell>
        </row>
        <row r="100">
          <cell r="C100">
            <v>82</v>
          </cell>
          <cell r="D100" t="str">
            <v>AÑATUYA - BANDERA</v>
          </cell>
          <cell r="E100">
            <v>132</v>
          </cell>
          <cell r="F100">
            <v>76</v>
          </cell>
          <cell r="HQ100">
            <v>2</v>
          </cell>
          <cell r="HT100">
            <v>1</v>
          </cell>
          <cell r="HU100">
            <v>1</v>
          </cell>
        </row>
        <row r="101">
          <cell r="C101">
            <v>84</v>
          </cell>
          <cell r="D101" t="str">
            <v>GÜEMES SALTA - COBOS 1</v>
          </cell>
          <cell r="E101">
            <v>132</v>
          </cell>
          <cell r="F101">
            <v>12.1</v>
          </cell>
        </row>
        <row r="102">
          <cell r="C102">
            <v>85</v>
          </cell>
          <cell r="D102" t="str">
            <v>GÜEMES SALTA - COBOS 2</v>
          </cell>
          <cell r="E102">
            <v>132</v>
          </cell>
          <cell r="F102">
            <v>12.1</v>
          </cell>
        </row>
        <row r="103">
          <cell r="C103">
            <v>86</v>
          </cell>
          <cell r="D103" t="str">
            <v>EL BRACHO - LA BANDA</v>
          </cell>
          <cell r="E103">
            <v>132</v>
          </cell>
          <cell r="F103">
            <v>133.5</v>
          </cell>
          <cell r="HR103">
            <v>1</v>
          </cell>
          <cell r="HV103" t="str">
            <v>XXXX</v>
          </cell>
          <cell r="HW103" t="str">
            <v>XXXX</v>
          </cell>
          <cell r="HX103" t="str">
            <v>XXXX</v>
          </cell>
        </row>
        <row r="104">
          <cell r="C104">
            <v>87</v>
          </cell>
          <cell r="D104" t="str">
            <v>SANTIAGO OESTE - SANTIAGO SUR </v>
          </cell>
          <cell r="E104">
            <v>132</v>
          </cell>
          <cell r="F104">
            <v>10.6</v>
          </cell>
        </row>
        <row r="105">
          <cell r="C105">
            <v>88</v>
          </cell>
          <cell r="D105" t="str">
            <v>SANTIAGO SUR - SANTIAGO CENTRO</v>
          </cell>
          <cell r="E105">
            <v>132</v>
          </cell>
          <cell r="F105">
            <v>4</v>
          </cell>
        </row>
        <row r="106">
          <cell r="C106">
            <v>89</v>
          </cell>
          <cell r="D106" t="str">
            <v>C.H. RIO HONDO - SANTIAGO OESTE</v>
          </cell>
          <cell r="E106">
            <v>132</v>
          </cell>
          <cell r="F106">
            <v>69.8</v>
          </cell>
        </row>
        <row r="107">
          <cell r="C107">
            <v>90</v>
          </cell>
          <cell r="D107" t="str">
            <v>GÜEMES - MINETTI</v>
          </cell>
          <cell r="E107">
            <v>132</v>
          </cell>
          <cell r="F107">
            <v>41.4</v>
          </cell>
          <cell r="HR107">
            <v>1</v>
          </cell>
          <cell r="HS107">
            <v>1</v>
          </cell>
          <cell r="HT107">
            <v>1</v>
          </cell>
          <cell r="HW107">
            <v>1</v>
          </cell>
        </row>
        <row r="108">
          <cell r="C108">
            <v>91</v>
          </cell>
          <cell r="D108" t="str">
            <v>GÜEMES - SALTA NORTE</v>
          </cell>
          <cell r="E108">
            <v>132</v>
          </cell>
          <cell r="F108">
            <v>38.97</v>
          </cell>
        </row>
        <row r="109">
          <cell r="C109">
            <v>92</v>
          </cell>
          <cell r="D109" t="str">
            <v>BURRUYACU - R. DE LA FRONTERA</v>
          </cell>
          <cell r="E109">
            <v>132</v>
          </cell>
          <cell r="F109">
            <v>99.1</v>
          </cell>
          <cell r="HO109">
            <v>1</v>
          </cell>
        </row>
        <row r="110">
          <cell r="C110">
            <v>93</v>
          </cell>
          <cell r="D110" t="str">
            <v>R. DE LA FRONTERA - COBOS</v>
          </cell>
          <cell r="E110">
            <v>132</v>
          </cell>
          <cell r="F110">
            <v>130.4</v>
          </cell>
          <cell r="HR110">
            <v>1</v>
          </cell>
          <cell r="HS110">
            <v>1</v>
          </cell>
          <cell r="HU110">
            <v>2</v>
          </cell>
        </row>
        <row r="111">
          <cell r="C111">
            <v>94</v>
          </cell>
          <cell r="D111" t="str">
            <v>J.V. GONZALEZ - APOLINARIO SARAVIA</v>
          </cell>
          <cell r="E111">
            <v>132</v>
          </cell>
          <cell r="F111">
            <v>94</v>
          </cell>
          <cell r="HU111">
            <v>1</v>
          </cell>
          <cell r="HX111">
            <v>1</v>
          </cell>
        </row>
        <row r="112">
          <cell r="C112">
            <v>95</v>
          </cell>
          <cell r="D112" t="str">
            <v>ANDALGALA - SAULIL</v>
          </cell>
          <cell r="E112">
            <v>132</v>
          </cell>
          <cell r="F112">
            <v>76</v>
          </cell>
        </row>
        <row r="113">
          <cell r="C113">
            <v>96</v>
          </cell>
          <cell r="D113" t="str">
            <v>SANTIAGO OESTE - SANT. SUR  - SANT. CENTRO</v>
          </cell>
          <cell r="E113">
            <v>132</v>
          </cell>
          <cell r="F113">
            <v>14.6</v>
          </cell>
          <cell r="HM113" t="str">
            <v>XXXX</v>
          </cell>
          <cell r="HN113" t="str">
            <v>XXXX</v>
          </cell>
          <cell r="HO113" t="str">
            <v>XXXX</v>
          </cell>
          <cell r="HP113" t="str">
            <v>XXXX</v>
          </cell>
          <cell r="HQ113" t="str">
            <v>XXXX</v>
          </cell>
          <cell r="HR113" t="str">
            <v>XXXX</v>
          </cell>
          <cell r="HS113" t="str">
            <v>XXXX</v>
          </cell>
          <cell r="HT113" t="str">
            <v>XXXX</v>
          </cell>
          <cell r="HU113" t="str">
            <v>XXXX</v>
          </cell>
          <cell r="HV113" t="str">
            <v>XXXX</v>
          </cell>
          <cell r="HW113" t="str">
            <v>XXXX</v>
          </cell>
          <cell r="HX113" t="str">
            <v>XXXX</v>
          </cell>
        </row>
        <row r="114">
          <cell r="C114">
            <v>97</v>
          </cell>
          <cell r="D114" t="str">
            <v>LA RIOJA SUR - PI LA RIOJA  </v>
          </cell>
          <cell r="E114">
            <v>132</v>
          </cell>
          <cell r="F114">
            <v>40</v>
          </cell>
        </row>
        <row r="115">
          <cell r="C115">
            <v>98</v>
          </cell>
          <cell r="D115" t="str">
            <v>LA RIOJA SUR - PI. PATQUIA</v>
          </cell>
          <cell r="E115">
            <v>132</v>
          </cell>
          <cell r="F115">
            <v>40</v>
          </cell>
        </row>
        <row r="116">
          <cell r="C116">
            <v>99</v>
          </cell>
          <cell r="D116" t="str">
            <v>SUNCHO CORRAL - QUIMILI</v>
          </cell>
          <cell r="E116">
            <v>132</v>
          </cell>
          <cell r="F116">
            <v>108</v>
          </cell>
          <cell r="HO116">
            <v>1</v>
          </cell>
        </row>
        <row r="117">
          <cell r="C117">
            <v>100</v>
          </cell>
          <cell r="D117" t="str">
            <v>EL BRACHO - LA BANDA ESTE</v>
          </cell>
          <cell r="E117">
            <v>132</v>
          </cell>
          <cell r="F117">
            <v>140.9</v>
          </cell>
          <cell r="HM117" t="str">
            <v>XXXX</v>
          </cell>
          <cell r="HN117" t="str">
            <v>XXXX</v>
          </cell>
          <cell r="HO117" t="str">
            <v>XXXX</v>
          </cell>
          <cell r="HP117" t="str">
            <v>XXXX</v>
          </cell>
          <cell r="HQ117" t="str">
            <v>XXXX</v>
          </cell>
          <cell r="HR117" t="str">
            <v>XXXX</v>
          </cell>
          <cell r="HS117" t="str">
            <v>XXXX</v>
          </cell>
          <cell r="HT117" t="str">
            <v>XXXX</v>
          </cell>
          <cell r="HU117" t="str">
            <v>XXXX</v>
          </cell>
        </row>
        <row r="118">
          <cell r="C118">
            <v>101</v>
          </cell>
          <cell r="D118" t="str">
            <v>LA BANDA ESTE - LA BANDA</v>
          </cell>
          <cell r="E118">
            <v>132</v>
          </cell>
          <cell r="F118">
            <v>16.2</v>
          </cell>
          <cell r="HM118" t="str">
            <v>XXXX</v>
          </cell>
          <cell r="HN118" t="str">
            <v>XXXX</v>
          </cell>
          <cell r="HO118" t="str">
            <v>XXXX</v>
          </cell>
          <cell r="HP118" t="str">
            <v>XXXX</v>
          </cell>
          <cell r="HQ118" t="str">
            <v>XXXX</v>
          </cell>
          <cell r="HR118" t="str">
            <v>XXXX</v>
          </cell>
          <cell r="HS118" t="str">
            <v>XXXX</v>
          </cell>
          <cell r="HT118" t="str">
            <v>XXXX</v>
          </cell>
          <cell r="HU118" t="str">
            <v>XXXX</v>
          </cell>
        </row>
        <row r="119">
          <cell r="C119">
            <v>102</v>
          </cell>
          <cell r="D119" t="str">
            <v>TABACAL - PICHANAL</v>
          </cell>
          <cell r="E119">
            <v>132</v>
          </cell>
          <cell r="F119">
            <v>7</v>
          </cell>
        </row>
        <row r="120">
          <cell r="C120">
            <v>103</v>
          </cell>
          <cell r="D120" t="str">
            <v>ORAN - TABACAL</v>
          </cell>
          <cell r="E120">
            <v>132</v>
          </cell>
          <cell r="F120">
            <v>10</v>
          </cell>
        </row>
        <row r="121">
          <cell r="C121">
            <v>104</v>
          </cell>
          <cell r="D121" t="str">
            <v>MONTE QUEMADO -COPO - QUIMILI</v>
          </cell>
          <cell r="E121">
            <v>132</v>
          </cell>
          <cell r="F121">
            <v>218</v>
          </cell>
          <cell r="HM121" t="str">
            <v>XXXX</v>
          </cell>
          <cell r="HN121" t="str">
            <v>XXXX</v>
          </cell>
          <cell r="HO121" t="str">
            <v>XXXX</v>
          </cell>
          <cell r="HP121" t="str">
            <v>XXXX</v>
          </cell>
          <cell r="HQ121" t="str">
            <v>XXXX</v>
          </cell>
          <cell r="HR121" t="str">
            <v>XXXX</v>
          </cell>
          <cell r="HS121" t="str">
            <v>XXXX</v>
          </cell>
          <cell r="HT121" t="str">
            <v>XXXX</v>
          </cell>
          <cell r="HU121" t="str">
            <v>XXXX</v>
          </cell>
        </row>
        <row r="129">
          <cell r="HM129">
            <v>2.35</v>
          </cell>
          <cell r="HN129">
            <v>2.37</v>
          </cell>
          <cell r="HO129">
            <v>2.44</v>
          </cell>
          <cell r="HP129">
            <v>2.4</v>
          </cell>
          <cell r="HQ129">
            <v>2.52</v>
          </cell>
          <cell r="HR129">
            <v>2.4</v>
          </cell>
          <cell r="HS129">
            <v>2.49</v>
          </cell>
          <cell r="HT129">
            <v>2.47</v>
          </cell>
          <cell r="HU129">
            <v>2.52</v>
          </cell>
          <cell r="HV129">
            <v>2.6</v>
          </cell>
          <cell r="HW129">
            <v>2.49</v>
          </cell>
          <cell r="HX129">
            <v>2.51</v>
          </cell>
          <cell r="HY129">
            <v>2.42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6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5.7109375" style="8" customWidth="1"/>
    <col min="2" max="2" width="7.7109375" style="8" customWidth="1"/>
    <col min="3" max="3" width="10.421875" style="8" customWidth="1"/>
    <col min="4" max="5" width="9.00390625" style="8" customWidth="1"/>
    <col min="6" max="6" width="3.7109375" style="8" customWidth="1"/>
    <col min="7" max="8" width="20.7109375" style="8" customWidth="1"/>
    <col min="9" max="9" width="6.28125" style="8" customWidth="1"/>
    <col min="10" max="10" width="15.7109375" style="8" customWidth="1"/>
    <col min="11" max="11" width="14.8515625" style="8" customWidth="1"/>
    <col min="12" max="12" width="15.7109375" style="8" customWidth="1"/>
    <col min="13" max="14" width="11.421875" style="8" customWidth="1"/>
    <col min="15" max="15" width="14.140625" style="8" customWidth="1"/>
    <col min="16" max="16" width="11.421875" style="8" customWidth="1"/>
    <col min="17" max="17" width="14.7109375" style="8" customWidth="1"/>
    <col min="18" max="18" width="11.421875" style="8" customWidth="1"/>
    <col min="19" max="19" width="12.00390625" style="8" customWidth="1"/>
    <col min="20" max="16384" width="11.421875" style="8" customWidth="1"/>
  </cols>
  <sheetData>
    <row r="1" spans="2:12" s="36" customFormat="1" ht="26.25">
      <c r="B1" s="37"/>
      <c r="L1" s="379"/>
    </row>
    <row r="2" spans="2:11" s="36" customFormat="1" ht="26.25">
      <c r="B2" s="37" t="s">
        <v>247</v>
      </c>
      <c r="C2" s="38"/>
      <c r="D2" s="39"/>
      <c r="E2" s="39"/>
      <c r="F2" s="39"/>
      <c r="G2" s="39"/>
      <c r="H2" s="39"/>
      <c r="I2" s="39"/>
      <c r="J2" s="39"/>
      <c r="K2" s="39"/>
    </row>
    <row r="3" spans="3:20" ht="12.75">
      <c r="C3"/>
      <c r="D3" s="40"/>
      <c r="E3" s="40"/>
      <c r="F3" s="40"/>
      <c r="G3" s="40"/>
      <c r="H3" s="40"/>
      <c r="I3" s="40"/>
      <c r="J3" s="40"/>
      <c r="K3" s="40"/>
      <c r="Q3" s="7"/>
      <c r="R3" s="7"/>
      <c r="S3" s="7"/>
      <c r="T3" s="7"/>
    </row>
    <row r="4" spans="1:20" s="43" customFormat="1" ht="11.25">
      <c r="A4" s="41" t="s">
        <v>4</v>
      </c>
      <c r="B4" s="42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s="43" customFormat="1" ht="11.25">
      <c r="A5" s="41" t="s">
        <v>5</v>
      </c>
      <c r="B5" s="42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2:20" s="36" customFormat="1" ht="6" customHeight="1">
      <c r="B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2:20" s="54" customFormat="1" ht="19.5">
      <c r="B7" s="111" t="s">
        <v>0</v>
      </c>
      <c r="C7" s="185"/>
      <c r="D7" s="186"/>
      <c r="E7" s="186"/>
      <c r="F7" s="186"/>
      <c r="G7" s="59"/>
      <c r="H7" s="59"/>
      <c r="I7" s="59"/>
      <c r="J7" s="59"/>
      <c r="K7" s="59"/>
      <c r="L7" s="61"/>
      <c r="M7" s="61"/>
      <c r="N7" s="61"/>
      <c r="O7" s="61"/>
      <c r="P7" s="61"/>
      <c r="Q7" s="61"/>
      <c r="R7" s="61"/>
      <c r="S7" s="61"/>
      <c r="T7" s="61"/>
    </row>
    <row r="8" spans="10:20" ht="12.75"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0" s="54" customFormat="1" ht="19.5">
      <c r="B9" s="111" t="s">
        <v>1</v>
      </c>
      <c r="C9" s="185"/>
      <c r="D9" s="186"/>
      <c r="E9" s="186"/>
      <c r="F9" s="186"/>
      <c r="G9" s="59"/>
      <c r="H9" s="59"/>
      <c r="I9" s="59"/>
      <c r="J9" s="59"/>
      <c r="K9" s="59"/>
      <c r="L9" s="61"/>
      <c r="M9" s="61"/>
      <c r="N9" s="61"/>
      <c r="O9" s="61"/>
      <c r="P9" s="61"/>
      <c r="Q9" s="61"/>
      <c r="R9" s="61"/>
      <c r="S9" s="61"/>
      <c r="T9" s="61"/>
    </row>
    <row r="10" spans="4:20" ht="12.75">
      <c r="D10" s="49"/>
      <c r="E10" s="49"/>
      <c r="F10" s="49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2:20" s="54" customFormat="1" ht="19.5">
      <c r="B11" s="111" t="s">
        <v>235</v>
      </c>
      <c r="C11" s="185"/>
      <c r="D11" s="186"/>
      <c r="E11" s="186"/>
      <c r="F11" s="186"/>
      <c r="G11" s="59"/>
      <c r="H11" s="59"/>
      <c r="I11" s="59"/>
      <c r="J11" s="59"/>
      <c r="K11" s="59"/>
      <c r="L11" s="61"/>
      <c r="M11" s="61"/>
      <c r="N11" s="61"/>
      <c r="O11" s="61"/>
      <c r="P11" s="61"/>
      <c r="Q11" s="61"/>
      <c r="R11" s="61"/>
      <c r="S11" s="61"/>
      <c r="T11" s="61"/>
    </row>
    <row r="12" spans="4:20" s="50" customFormat="1" ht="16.5" thickBot="1">
      <c r="D12" s="6"/>
      <c r="E12" s="6"/>
      <c r="F12" s="6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2:20" s="50" customFormat="1" ht="16.5" thickTop="1">
      <c r="B13" s="526">
        <v>1</v>
      </c>
      <c r="C13" s="501"/>
      <c r="D13" s="52"/>
      <c r="E13" s="52"/>
      <c r="F13" s="52"/>
      <c r="G13" s="52"/>
      <c r="H13" s="52"/>
      <c r="I13" s="52"/>
      <c r="J13" s="52"/>
      <c r="K13" s="53"/>
      <c r="L13" s="51"/>
      <c r="M13" s="51"/>
      <c r="N13" s="51"/>
      <c r="O13" s="51"/>
      <c r="P13" s="51"/>
      <c r="Q13" s="51"/>
      <c r="R13" s="51"/>
      <c r="S13" s="51"/>
      <c r="T13" s="51"/>
    </row>
    <row r="14" spans="2:20" s="54" customFormat="1" ht="19.5">
      <c r="B14" s="55" t="s">
        <v>167</v>
      </c>
      <c r="C14" s="56"/>
      <c r="D14" s="57"/>
      <c r="E14" s="58"/>
      <c r="F14" s="58"/>
      <c r="G14" s="58"/>
      <c r="H14" s="58"/>
      <c r="I14" s="58"/>
      <c r="J14" s="59"/>
      <c r="K14" s="60"/>
      <c r="L14" s="61"/>
      <c r="M14" s="61"/>
      <c r="N14" s="61"/>
      <c r="O14" s="61"/>
      <c r="P14" s="61"/>
      <c r="Q14" s="61"/>
      <c r="R14" s="61"/>
      <c r="S14" s="61"/>
      <c r="T14" s="61"/>
    </row>
    <row r="15" spans="2:20" s="54" customFormat="1" ht="19.5" hidden="1">
      <c r="B15" s="62"/>
      <c r="C15" s="63"/>
      <c r="D15" s="63"/>
      <c r="E15" s="61"/>
      <c r="F15" s="61"/>
      <c r="G15" s="64"/>
      <c r="H15" s="64"/>
      <c r="I15" s="64"/>
      <c r="J15" s="61"/>
      <c r="K15" s="65"/>
      <c r="L15" s="61"/>
      <c r="M15" s="61"/>
      <c r="N15" s="61"/>
      <c r="O15" s="61"/>
      <c r="P15" s="61"/>
      <c r="Q15" s="61"/>
      <c r="R15" s="61"/>
      <c r="S15" s="61"/>
      <c r="T15" s="61"/>
    </row>
    <row r="16" spans="2:20" s="54" customFormat="1" ht="19.5" hidden="1">
      <c r="B16" s="55" t="s">
        <v>6</v>
      </c>
      <c r="C16" s="183"/>
      <c r="D16" s="183"/>
      <c r="E16" s="59"/>
      <c r="F16" s="59"/>
      <c r="G16" s="58"/>
      <c r="H16" s="58"/>
      <c r="I16" s="58"/>
      <c r="J16" s="59"/>
      <c r="K16" s="60"/>
      <c r="L16"/>
      <c r="M16" s="61"/>
      <c r="N16" s="61"/>
      <c r="O16" s="61"/>
      <c r="P16" s="61"/>
      <c r="Q16" s="61"/>
      <c r="R16" s="61"/>
      <c r="S16" s="61"/>
      <c r="T16" s="61"/>
    </row>
    <row r="17" spans="2:20" s="54" customFormat="1" ht="19.5">
      <c r="B17" s="62"/>
      <c r="C17" s="63"/>
      <c r="D17" s="63"/>
      <c r="E17" s="61"/>
      <c r="F17" s="61"/>
      <c r="G17" s="64"/>
      <c r="H17" s="64"/>
      <c r="I17" s="64"/>
      <c r="J17" s="61"/>
      <c r="K17" s="65"/>
      <c r="L17"/>
      <c r="M17" s="61"/>
      <c r="N17" s="61"/>
      <c r="O17" s="61"/>
      <c r="P17" s="61"/>
      <c r="Q17" s="61"/>
      <c r="R17" s="61"/>
      <c r="S17" s="61"/>
      <c r="T17" s="61"/>
    </row>
    <row r="18" spans="2:20" s="54" customFormat="1" ht="19.5">
      <c r="B18" s="62"/>
      <c r="C18" s="66" t="s">
        <v>7</v>
      </c>
      <c r="D18" s="67" t="s">
        <v>3</v>
      </c>
      <c r="E18" s="61"/>
      <c r="F18" s="61"/>
      <c r="G18" s="64"/>
      <c r="H18" s="64"/>
      <c r="I18" s="64"/>
      <c r="J18" s="68"/>
      <c r="K18" s="65"/>
      <c r="L18" s="61"/>
      <c r="M18" s="61"/>
      <c r="N18" s="61"/>
      <c r="O18" s="61"/>
      <c r="P18" s="61"/>
      <c r="Q18" s="61"/>
      <c r="R18" s="61"/>
      <c r="S18" s="61"/>
      <c r="T18" s="61"/>
    </row>
    <row r="19" spans="2:20" s="54" customFormat="1" ht="19.5">
      <c r="B19" s="62"/>
      <c r="C19" s="66"/>
      <c r="D19" s="66" t="s">
        <v>8</v>
      </c>
      <c r="E19" s="75" t="s">
        <v>9</v>
      </c>
      <c r="F19" s="75"/>
      <c r="G19" s="64"/>
      <c r="H19" s="64"/>
      <c r="I19" s="64"/>
      <c r="J19" s="68">
        <f>'LI-04 (2)'!AA42</f>
        <v>99690.94</v>
      </c>
      <c r="K19" s="65"/>
      <c r="L19" s="61"/>
      <c r="M19" s="61"/>
      <c r="N19" s="61"/>
      <c r="O19" s="61"/>
      <c r="P19" s="61"/>
      <c r="Q19" s="61"/>
      <c r="R19" s="61"/>
      <c r="S19" s="61"/>
      <c r="T19" s="61"/>
    </row>
    <row r="20" spans="2:20" s="54" customFormat="1" ht="19.5">
      <c r="B20" s="62"/>
      <c r="C20" s="66"/>
      <c r="D20" s="66" t="s">
        <v>229</v>
      </c>
      <c r="E20" s="75" t="s">
        <v>233</v>
      </c>
      <c r="F20" s="75"/>
      <c r="G20" s="64"/>
      <c r="H20" s="64"/>
      <c r="I20" s="64"/>
      <c r="J20" s="68">
        <f>'LI-RIOJA-04 (1)'!AA42</f>
        <v>754.06</v>
      </c>
      <c r="K20" s="65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7.5" customHeight="1">
      <c r="B21" s="69"/>
      <c r="C21" s="70"/>
      <c r="D21" s="71"/>
      <c r="E21" s="7"/>
      <c r="F21" s="7"/>
      <c r="G21" s="72"/>
      <c r="H21" s="72"/>
      <c r="I21" s="72"/>
      <c r="J21" s="73"/>
      <c r="K21" s="9"/>
      <c r="L21" s="7"/>
      <c r="M21" s="7"/>
      <c r="N21" s="7"/>
      <c r="O21" s="7"/>
      <c r="P21" s="7"/>
      <c r="Q21" s="7"/>
      <c r="R21" s="7"/>
      <c r="S21" s="7"/>
      <c r="T21" s="7"/>
    </row>
    <row r="22" spans="2:20" s="54" customFormat="1" ht="19.5">
      <c r="B22" s="62"/>
      <c r="C22" s="66" t="s">
        <v>10</v>
      </c>
      <c r="D22" s="67" t="s">
        <v>11</v>
      </c>
      <c r="E22" s="61"/>
      <c r="F22" s="61"/>
      <c r="G22" s="64"/>
      <c r="H22" s="64"/>
      <c r="I22" s="64"/>
      <c r="J22" s="68"/>
      <c r="K22" s="65"/>
      <c r="L22" s="61"/>
      <c r="M22" s="61"/>
      <c r="N22" s="61"/>
      <c r="O22" s="61"/>
      <c r="P22" s="61"/>
      <c r="Q22" s="61"/>
      <c r="R22" s="61"/>
      <c r="S22" s="61"/>
      <c r="T22" s="61"/>
    </row>
    <row r="23" spans="2:20" s="54" customFormat="1" ht="19.5">
      <c r="B23" s="62"/>
      <c r="C23" s="66"/>
      <c r="D23" s="66" t="s">
        <v>12</v>
      </c>
      <c r="E23" s="75" t="s">
        <v>13</v>
      </c>
      <c r="F23" s="75"/>
      <c r="G23" s="64"/>
      <c r="H23" s="64"/>
      <c r="I23" s="64"/>
      <c r="J23" s="68"/>
      <c r="K23" s="65"/>
      <c r="L23" s="61"/>
      <c r="M23" s="61"/>
      <c r="N23" s="61"/>
      <c r="O23" s="61"/>
      <c r="P23" s="61"/>
      <c r="Q23" s="61"/>
      <c r="R23" s="61"/>
      <c r="S23" s="61"/>
      <c r="T23" s="61"/>
    </row>
    <row r="24" spans="2:20" s="54" customFormat="1" ht="19.5">
      <c r="B24" s="62"/>
      <c r="C24" s="66"/>
      <c r="D24"/>
      <c r="E24" s="66" t="s">
        <v>14</v>
      </c>
      <c r="F24" s="75" t="s">
        <v>9</v>
      </c>
      <c r="G24"/>
      <c r="H24" s="64"/>
      <c r="I24" s="64"/>
      <c r="J24" s="68">
        <f>'T-04 (2)'!AC45</f>
        <v>1268.61</v>
      </c>
      <c r="K24" s="65"/>
      <c r="L24" s="61"/>
      <c r="M24" s="61"/>
      <c r="N24" s="61"/>
      <c r="O24" s="61"/>
      <c r="P24" s="61"/>
      <c r="Q24" s="61"/>
      <c r="R24" s="61"/>
      <c r="S24" s="61"/>
      <c r="T24" s="61"/>
    </row>
    <row r="25" spans="2:20" ht="8.25" customHeight="1">
      <c r="B25" s="69"/>
      <c r="C25" s="70"/>
      <c r="D25" s="70"/>
      <c r="E25" s="7"/>
      <c r="F25" s="7"/>
      <c r="G25" s="72"/>
      <c r="H25" s="72"/>
      <c r="I25" s="72"/>
      <c r="J25" s="74"/>
      <c r="K25" s="9"/>
      <c r="L25" s="7"/>
      <c r="M25" s="7"/>
      <c r="N25" s="7"/>
      <c r="O25" s="7"/>
      <c r="P25" s="7"/>
      <c r="Q25" s="7"/>
      <c r="R25" s="7"/>
      <c r="S25" s="7"/>
      <c r="T25" s="7"/>
    </row>
    <row r="26" spans="2:20" s="54" customFormat="1" ht="19.5">
      <c r="B26" s="62"/>
      <c r="C26" s="66"/>
      <c r="D26" s="66" t="s">
        <v>15</v>
      </c>
      <c r="E26" s="75" t="s">
        <v>16</v>
      </c>
      <c r="F26" s="75"/>
      <c r="G26" s="64"/>
      <c r="H26" s="64"/>
      <c r="I26" s="64"/>
      <c r="J26" s="68"/>
      <c r="K26" s="65"/>
      <c r="L26" s="61"/>
      <c r="M26" s="61"/>
      <c r="N26" s="61"/>
      <c r="O26" s="61"/>
      <c r="P26" s="61"/>
      <c r="Q26" s="61"/>
      <c r="R26" s="61"/>
      <c r="S26" s="61"/>
      <c r="T26" s="61"/>
    </row>
    <row r="27" spans="2:20" s="54" customFormat="1" ht="19.5">
      <c r="B27" s="62"/>
      <c r="C27" s="66"/>
      <c r="D27"/>
      <c r="E27" s="66" t="s">
        <v>17</v>
      </c>
      <c r="F27" s="75" t="s">
        <v>9</v>
      </c>
      <c r="G27"/>
      <c r="H27" s="64"/>
      <c r="I27" s="64"/>
      <c r="J27" s="68">
        <f>'SA-04 (2)'!V44</f>
        <v>1023.17</v>
      </c>
      <c r="K27" s="65"/>
      <c r="L27" s="61"/>
      <c r="M27" s="61"/>
      <c r="N27" s="61"/>
      <c r="O27" s="61"/>
      <c r="P27" s="61"/>
      <c r="Q27" s="61"/>
      <c r="R27" s="61"/>
      <c r="S27" s="61"/>
      <c r="T27" s="61"/>
    </row>
    <row r="28" spans="2:20" s="54" customFormat="1" ht="9" customHeight="1">
      <c r="B28" s="62"/>
      <c r="C28" s="63"/>
      <c r="D28" s="63"/>
      <c r="E28" s="75"/>
      <c r="F28" s="75"/>
      <c r="G28" s="64"/>
      <c r="H28" s="64"/>
      <c r="I28" s="64"/>
      <c r="J28" s="68"/>
      <c r="K28" s="65"/>
      <c r="L28" s="61"/>
      <c r="M28" s="61"/>
      <c r="N28" s="61"/>
      <c r="O28" s="61"/>
      <c r="P28" s="61"/>
      <c r="Q28" s="61"/>
      <c r="R28" s="61"/>
      <c r="S28" s="61"/>
      <c r="T28" s="61"/>
    </row>
    <row r="29" spans="2:20" s="54" customFormat="1" ht="19.5">
      <c r="B29" s="62"/>
      <c r="C29" s="66" t="s">
        <v>166</v>
      </c>
      <c r="D29" s="67" t="s">
        <v>234</v>
      </c>
      <c r="E29" s="61"/>
      <c r="F29" s="61"/>
      <c r="G29" s="64"/>
      <c r="H29" s="64"/>
      <c r="I29" s="64"/>
      <c r="J29" s="68">
        <f>'SUP-RIOJA'!I44</f>
        <v>105.77859237026088</v>
      </c>
      <c r="K29" s="65"/>
      <c r="L29" s="61"/>
      <c r="M29" s="61"/>
      <c r="N29" s="61"/>
      <c r="O29" s="61"/>
      <c r="P29" s="61"/>
      <c r="Q29" s="61"/>
      <c r="R29" s="61"/>
      <c r="S29" s="61"/>
      <c r="T29" s="61"/>
    </row>
    <row r="30" spans="2:20" s="54" customFormat="1" ht="19.5">
      <c r="B30" s="62"/>
      <c r="C30" s="66"/>
      <c r="D30" s="66"/>
      <c r="E30" s="75"/>
      <c r="F30" s="75"/>
      <c r="G30" s="64"/>
      <c r="H30" s="64"/>
      <c r="I30" s="64"/>
      <c r="J30" s="68"/>
      <c r="K30" s="65"/>
      <c r="L30" s="61"/>
      <c r="M30" s="61"/>
      <c r="N30" s="61"/>
      <c r="O30" s="61"/>
      <c r="P30" s="61"/>
      <c r="Q30" s="61"/>
      <c r="R30" s="61"/>
      <c r="S30" s="61"/>
      <c r="T30" s="61"/>
    </row>
    <row r="31" spans="2:20" s="54" customFormat="1" ht="20.25" thickBot="1">
      <c r="B31" s="62"/>
      <c r="C31" s="63"/>
      <c r="D31" s="63"/>
      <c r="E31" s="61"/>
      <c r="F31" s="61"/>
      <c r="G31" s="64"/>
      <c r="H31" s="64"/>
      <c r="I31" s="64"/>
      <c r="J31" s="61"/>
      <c r="K31" s="65"/>
      <c r="L31" s="61"/>
      <c r="M31" s="61"/>
      <c r="N31" s="61"/>
      <c r="O31" s="61"/>
      <c r="P31" s="61"/>
      <c r="Q31" s="61"/>
      <c r="R31" s="61"/>
      <c r="S31" s="61"/>
      <c r="T31" s="61"/>
    </row>
    <row r="32" spans="2:20" s="54" customFormat="1" ht="20.25" thickBot="1" thickTop="1">
      <c r="B32" s="62"/>
      <c r="C32" s="66"/>
      <c r="D32" s="66"/>
      <c r="G32" s="76" t="s">
        <v>18</v>
      </c>
      <c r="H32" s="77">
        <f>SUM(J18:J30)</f>
        <v>102842.55859237026</v>
      </c>
      <c r="I32" s="184"/>
      <c r="K32" s="65"/>
      <c r="L32" s="61"/>
      <c r="M32" s="61"/>
      <c r="N32" s="61"/>
      <c r="O32" s="61"/>
      <c r="P32" s="61"/>
      <c r="Q32" s="61"/>
      <c r="R32" s="61"/>
      <c r="S32" s="61"/>
      <c r="T32" s="61"/>
    </row>
    <row r="33" spans="2:20" s="54" customFormat="1" ht="13.5" customHeight="1" thickTop="1">
      <c r="B33" s="62"/>
      <c r="C33" s="66"/>
      <c r="D33" s="66"/>
      <c r="G33" s="490"/>
      <c r="H33" s="184"/>
      <c r="I33" s="184"/>
      <c r="K33" s="65"/>
      <c r="L33" s="61"/>
      <c r="M33" s="61"/>
      <c r="N33" s="61"/>
      <c r="O33" s="61"/>
      <c r="P33" s="61"/>
      <c r="Q33" s="61"/>
      <c r="R33" s="61"/>
      <c r="S33" s="61"/>
      <c r="T33" s="61"/>
    </row>
    <row r="34" spans="2:20" s="54" customFormat="1" ht="15.75" customHeight="1">
      <c r="B34" s="62"/>
      <c r="C34" s="491" t="s">
        <v>232</v>
      </c>
      <c r="D34" s="66"/>
      <c r="G34" s="490"/>
      <c r="H34" s="184"/>
      <c r="I34" s="184"/>
      <c r="K34" s="65"/>
      <c r="L34" s="61"/>
      <c r="M34" s="61"/>
      <c r="N34" s="61"/>
      <c r="O34" s="61"/>
      <c r="P34" s="61"/>
      <c r="Q34" s="61"/>
      <c r="R34" s="61"/>
      <c r="S34" s="61"/>
      <c r="T34" s="61"/>
    </row>
    <row r="35" spans="2:20" s="50" customFormat="1" ht="12.75" customHeight="1" thickBot="1">
      <c r="B35" s="78"/>
      <c r="C35" s="79"/>
      <c r="D35" s="79"/>
      <c r="E35" s="80"/>
      <c r="F35" s="80"/>
      <c r="G35" s="80"/>
      <c r="H35" s="80"/>
      <c r="I35" s="80"/>
      <c r="J35" s="80"/>
      <c r="K35" s="81"/>
      <c r="L35" s="51"/>
      <c r="M35" s="51"/>
      <c r="N35" s="82"/>
      <c r="O35" s="83"/>
      <c r="P35" s="83"/>
      <c r="Q35" s="84"/>
      <c r="R35" s="85"/>
      <c r="S35" s="51"/>
      <c r="T35" s="51"/>
    </row>
    <row r="36" spans="4:20" ht="13.5" thickTop="1">
      <c r="D36" s="7"/>
      <c r="G36" s="7"/>
      <c r="H36" s="7"/>
      <c r="I36" s="7"/>
      <c r="J36" s="7"/>
      <c r="K36" s="7"/>
      <c r="L36" s="7"/>
      <c r="M36" s="7"/>
      <c r="N36" s="27"/>
      <c r="O36" s="86"/>
      <c r="P36" s="86"/>
      <c r="Q36" s="7"/>
      <c r="R36" s="87"/>
      <c r="S36" s="7"/>
      <c r="T36" s="7"/>
    </row>
    <row r="37" spans="4:20" ht="12.75">
      <c r="D37" s="7"/>
      <c r="G37" s="7"/>
      <c r="H37" s="7"/>
      <c r="I37" s="7"/>
      <c r="J37" s="7"/>
      <c r="K37" s="7"/>
      <c r="L37" s="7"/>
      <c r="M37" s="7"/>
      <c r="N37" s="7"/>
      <c r="O37" s="88"/>
      <c r="P37" s="88"/>
      <c r="Q37" s="89"/>
      <c r="R37" s="87"/>
      <c r="S37" s="7"/>
      <c r="T37" s="7"/>
    </row>
    <row r="38" spans="4:20" ht="12.75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8"/>
      <c r="P38" s="88"/>
      <c r="Q38" s="89"/>
      <c r="R38" s="87"/>
      <c r="S38" s="7"/>
      <c r="T38" s="7"/>
    </row>
    <row r="39" spans="4:20" ht="12.75">
      <c r="D39" s="7"/>
      <c r="E39" s="7"/>
      <c r="F39" s="7"/>
      <c r="M39" s="7"/>
      <c r="N39" s="7"/>
      <c r="O39" s="7"/>
      <c r="P39" s="7"/>
      <c r="Q39" s="7"/>
      <c r="R39" s="7"/>
      <c r="S39" s="7"/>
      <c r="T39" s="7"/>
    </row>
    <row r="40" spans="4:20" ht="12.75">
      <c r="D40" s="7"/>
      <c r="E40" s="7"/>
      <c r="F40" s="7"/>
      <c r="Q40" s="7"/>
      <c r="R40" s="7"/>
      <c r="S40" s="7"/>
      <c r="T40" s="7"/>
    </row>
    <row r="41" spans="4:20" ht="12.75">
      <c r="D41" s="7"/>
      <c r="E41" s="7"/>
      <c r="F41" s="7"/>
      <c r="Q41" s="7"/>
      <c r="R41" s="7"/>
      <c r="S41" s="7"/>
      <c r="T41" s="7"/>
    </row>
    <row r="42" spans="4:20" ht="12.75">
      <c r="D42" s="7"/>
      <c r="E42" s="7"/>
      <c r="F42" s="7"/>
      <c r="Q42" s="7"/>
      <c r="R42" s="7"/>
      <c r="S42" s="7"/>
      <c r="T42" s="7"/>
    </row>
    <row r="43" spans="4:20" ht="12.75">
      <c r="D43" s="7"/>
      <c r="E43" s="7"/>
      <c r="F43" s="7"/>
      <c r="Q43" s="7"/>
      <c r="R43" s="7"/>
      <c r="S43" s="7"/>
      <c r="T43" s="7"/>
    </row>
    <row r="44" spans="4:20" ht="12.75">
      <c r="D44" s="7"/>
      <c r="E44" s="7"/>
      <c r="F44" s="7"/>
      <c r="Q44" s="7"/>
      <c r="R44" s="7"/>
      <c r="S44" s="7"/>
      <c r="T44" s="7"/>
    </row>
    <row r="45" spans="17:20" ht="12.75">
      <c r="Q45" s="7"/>
      <c r="R45" s="7"/>
      <c r="S45" s="7"/>
      <c r="T45" s="7"/>
    </row>
    <row r="46" spans="17:20" ht="12.75">
      <c r="Q46" s="7"/>
      <c r="R46" s="7"/>
      <c r="S46" s="7"/>
      <c r="T46" s="7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0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8"/>
  <sheetViews>
    <sheetView zoomScale="55" zoomScaleNormal="55" zoomScalePageLayoutView="0" workbookViewId="0" topLeftCell="A1">
      <selection activeCell="W125" sqref="W125"/>
    </sheetView>
  </sheetViews>
  <sheetFormatPr defaultColWidth="11.421875" defaultRowHeight="12.75"/>
  <cols>
    <col min="1" max="1" width="65.28125" style="0" customWidth="1"/>
    <col min="2" max="2" width="8.7109375" style="0" customWidth="1"/>
    <col min="3" max="3" width="7.00390625" style="0" customWidth="1"/>
    <col min="4" max="4" width="53.140625" style="0" bestFit="1" customWidth="1"/>
    <col min="5" max="5" width="8.57421875" style="0" customWidth="1"/>
    <col min="6" max="6" width="12.8515625" style="0" customWidth="1"/>
    <col min="7" max="12" width="7.7109375" style="0" customWidth="1"/>
    <col min="13" max="13" width="10.28125" style="0" bestFit="1" customWidth="1"/>
    <col min="14" max="19" width="7.7109375" style="0" customWidth="1"/>
    <col min="20" max="20" width="8.7109375" style="0" customWidth="1"/>
  </cols>
  <sheetData>
    <row r="1" ht="40.5" customHeight="1">
      <c r="T1" s="527"/>
    </row>
    <row r="2" spans="2:20" s="528" customFormat="1" ht="31.5" customHeight="1">
      <c r="B2" s="529" t="str">
        <f>'TOT-0413'!B2</f>
        <v>ANEXO I al Memorandum D.T.E.E. N°  475 / 2014</v>
      </c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</row>
    <row r="3" spans="1:3" ht="12.75" customHeight="1">
      <c r="A3" s="609" t="s">
        <v>4</v>
      </c>
      <c r="B3" s="609"/>
      <c r="C3" s="609"/>
    </row>
    <row r="4" spans="1:4" ht="12.75" customHeight="1">
      <c r="A4" s="609" t="s">
        <v>5</v>
      </c>
      <c r="B4" s="609"/>
      <c r="C4" s="609"/>
      <c r="D4" s="531"/>
    </row>
    <row r="5" spans="1:4" ht="12" customHeight="1">
      <c r="A5" s="532"/>
      <c r="D5" s="531"/>
    </row>
    <row r="6" spans="1:20" ht="26.25">
      <c r="A6" s="532"/>
      <c r="B6" s="533" t="s">
        <v>236</v>
      </c>
      <c r="C6" s="534"/>
      <c r="D6" s="531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</row>
    <row r="7" spans="1:4" ht="18.75" customHeight="1">
      <c r="A7" s="532"/>
      <c r="D7" s="531"/>
    </row>
    <row r="8" spans="1:20" ht="26.25">
      <c r="A8" s="532"/>
      <c r="B8" s="535" t="s">
        <v>1</v>
      </c>
      <c r="C8" s="534"/>
      <c r="D8" s="531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</row>
    <row r="9" spans="1:4" ht="18.75" customHeight="1">
      <c r="A9" s="532"/>
      <c r="D9" s="531"/>
    </row>
    <row r="10" spans="1:20" ht="26.25">
      <c r="A10" s="532"/>
      <c r="B10" s="535" t="s">
        <v>237</v>
      </c>
      <c r="C10" s="534"/>
      <c r="D10" s="531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</row>
    <row r="11" ht="18.75" customHeight="1" thickBot="1"/>
    <row r="12" spans="2:20" ht="18.75" customHeight="1" thickTop="1">
      <c r="B12" s="536"/>
      <c r="C12" s="537"/>
      <c r="D12" s="538"/>
      <c r="E12" s="538"/>
      <c r="F12" s="538"/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9"/>
    </row>
    <row r="13" spans="1:20" ht="19.5">
      <c r="A13" s="540"/>
      <c r="B13" s="541" t="s">
        <v>238</v>
      </c>
      <c r="C13" s="542"/>
      <c r="D13" s="58" t="s">
        <v>246</v>
      </c>
      <c r="E13" s="543"/>
      <c r="F13" s="543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545"/>
    </row>
    <row r="14" spans="2:20" ht="18.75" customHeight="1" thickBot="1">
      <c r="B14" s="546"/>
      <c r="C14" s="547"/>
      <c r="D14" s="548"/>
      <c r="E14" s="548"/>
      <c r="F14" s="54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540"/>
    </row>
    <row r="15" spans="1:20" s="557" customFormat="1" ht="34.5" customHeight="1" thickBot="1" thickTop="1">
      <c r="A15" s="550"/>
      <c r="B15" s="551"/>
      <c r="C15" s="117" t="s">
        <v>24</v>
      </c>
      <c r="D15" s="552" t="s">
        <v>3</v>
      </c>
      <c r="E15" s="553" t="s">
        <v>25</v>
      </c>
      <c r="F15" s="554" t="s">
        <v>26</v>
      </c>
      <c r="G15" s="555">
        <v>41000</v>
      </c>
      <c r="H15" s="555">
        <v>41030</v>
      </c>
      <c r="I15" s="555">
        <v>41061</v>
      </c>
      <c r="J15" s="555">
        <v>41091</v>
      </c>
      <c r="K15" s="555">
        <v>41122</v>
      </c>
      <c r="L15" s="555">
        <v>41153</v>
      </c>
      <c r="M15" s="555">
        <v>41183</v>
      </c>
      <c r="N15" s="555">
        <v>41214</v>
      </c>
      <c r="O15" s="555">
        <v>41244</v>
      </c>
      <c r="P15" s="555">
        <v>41275</v>
      </c>
      <c r="Q15" s="555">
        <v>41306</v>
      </c>
      <c r="R15" s="555">
        <v>41334</v>
      </c>
      <c r="S15" s="555">
        <v>41365</v>
      </c>
      <c r="T15" s="556"/>
    </row>
    <row r="16" spans="2:20" s="558" customFormat="1" ht="19.5" customHeight="1" thickTop="1">
      <c r="B16" s="559"/>
      <c r="C16" s="560"/>
      <c r="D16" s="561"/>
      <c r="E16" s="561"/>
      <c r="F16" s="562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2"/>
      <c r="T16" s="564"/>
    </row>
    <row r="17" spans="2:20" s="558" customFormat="1" ht="19.5" customHeight="1">
      <c r="B17" s="559"/>
      <c r="C17" s="565">
        <f>'[1]Tasa de Falla'!C17</f>
        <v>1</v>
      </c>
      <c r="D17" s="565" t="str">
        <f>'[1]Tasa de Falla'!D17</f>
        <v>AGUA BLANCA - VILLA QUINTEROS</v>
      </c>
      <c r="E17" s="565">
        <f>'[1]Tasa de Falla'!E17</f>
        <v>132</v>
      </c>
      <c r="F17" s="565">
        <f>'[1]Tasa de Falla'!F17</f>
        <v>23.8</v>
      </c>
      <c r="G17" s="608">
        <f>IF('[1]Tasa de Falla'!HM17=0,"",'[1]Tasa de Falla'!HM17)</f>
      </c>
      <c r="H17" s="563">
        <f>IF('[1]Tasa de Falla'!HN17=0,"",'[1]Tasa de Falla'!HN17)</f>
      </c>
      <c r="I17" s="563">
        <f>IF('[1]Tasa de Falla'!HO17=0,"",'[1]Tasa de Falla'!HO17)</f>
      </c>
      <c r="J17" s="563">
        <f>IF('[1]Tasa de Falla'!HP17=0,"",'[1]Tasa de Falla'!HP17)</f>
      </c>
      <c r="K17" s="563">
        <f>IF('[1]Tasa de Falla'!HQ17=0,"",'[1]Tasa de Falla'!HQ17)</f>
      </c>
      <c r="L17" s="563">
        <f>IF('[1]Tasa de Falla'!HR17=0,"",'[1]Tasa de Falla'!HR17)</f>
      </c>
      <c r="M17" s="563">
        <f>IF('[1]Tasa de Falla'!HS17=0,"",'[1]Tasa de Falla'!HS17)</f>
      </c>
      <c r="N17" s="563">
        <f>IF('[1]Tasa de Falla'!HT17=0,"",'[1]Tasa de Falla'!HT17)</f>
      </c>
      <c r="O17" s="563">
        <f>IF('[1]Tasa de Falla'!HU17=0,"",'[1]Tasa de Falla'!HU17)</f>
      </c>
      <c r="P17" s="563">
        <f>IF('[1]Tasa de Falla'!HV17=0,"",'[1]Tasa de Falla'!HV17)</f>
      </c>
      <c r="Q17" s="563">
        <f>IF('[1]Tasa de Falla'!HW17=0,"",'[1]Tasa de Falla'!HW17)</f>
        <v>1</v>
      </c>
      <c r="R17" s="563">
        <f>IF('[1]Tasa de Falla'!HX17=0,"",'[1]Tasa de Falla'!HX17)</f>
      </c>
      <c r="S17" s="566"/>
      <c r="T17" s="564"/>
    </row>
    <row r="18" spans="2:20" s="558" customFormat="1" ht="19.5" customHeight="1">
      <c r="B18" s="559"/>
      <c r="C18" s="565">
        <f>'[1]Tasa de Falla'!C18</f>
        <v>2</v>
      </c>
      <c r="D18" s="565" t="str">
        <f>'[1]Tasa de Falla'!D18</f>
        <v>AGUILARES - ESCABA</v>
      </c>
      <c r="E18" s="565">
        <f>'[1]Tasa de Falla'!E18</f>
        <v>132</v>
      </c>
      <c r="F18" s="565">
        <f>'[1]Tasa de Falla'!F18</f>
        <v>27.6</v>
      </c>
      <c r="G18" s="608">
        <f>IF('[1]Tasa de Falla'!HM18=0,"",'[1]Tasa de Falla'!HM18)</f>
      </c>
      <c r="H18" s="563">
        <f>IF('[1]Tasa de Falla'!HN18=0,"",'[1]Tasa de Falla'!HN18)</f>
      </c>
      <c r="I18" s="563">
        <f>IF('[1]Tasa de Falla'!HO18=0,"",'[1]Tasa de Falla'!HO18)</f>
      </c>
      <c r="J18" s="563">
        <f>IF('[1]Tasa de Falla'!HP18=0,"",'[1]Tasa de Falla'!HP18)</f>
      </c>
      <c r="K18" s="563">
        <f>IF('[1]Tasa de Falla'!HQ18=0,"",'[1]Tasa de Falla'!HQ18)</f>
      </c>
      <c r="L18" s="563">
        <f>IF('[1]Tasa de Falla'!HR18=0,"",'[1]Tasa de Falla'!HR18)</f>
      </c>
      <c r="M18" s="563">
        <f>IF('[1]Tasa de Falla'!HS18=0,"",'[1]Tasa de Falla'!HS18)</f>
      </c>
      <c r="N18" s="563">
        <f>IF('[1]Tasa de Falla'!HT18=0,"",'[1]Tasa de Falla'!HT18)</f>
      </c>
      <c r="O18" s="563">
        <f>IF('[1]Tasa de Falla'!HU18=0,"",'[1]Tasa de Falla'!HU18)</f>
      </c>
      <c r="P18" s="563">
        <f>IF('[1]Tasa de Falla'!HV18=0,"",'[1]Tasa de Falla'!HV18)</f>
      </c>
      <c r="Q18" s="563">
        <f>IF('[1]Tasa de Falla'!HW18=0,"",'[1]Tasa de Falla'!HW18)</f>
      </c>
      <c r="R18" s="563">
        <f>IF('[1]Tasa de Falla'!HX18=0,"",'[1]Tasa de Falla'!HX18)</f>
      </c>
      <c r="S18" s="566"/>
      <c r="T18" s="564"/>
    </row>
    <row r="19" spans="2:20" s="558" customFormat="1" ht="18">
      <c r="B19" s="559"/>
      <c r="C19" s="565">
        <f>'[1]Tasa de Falla'!C19</f>
        <v>3</v>
      </c>
      <c r="D19" s="565" t="str">
        <f>'[1]Tasa de Falla'!D19</f>
        <v>CABRA CORRAL - SALTA SUR</v>
      </c>
      <c r="E19" s="565">
        <f>'[1]Tasa de Falla'!E19</f>
        <v>132</v>
      </c>
      <c r="F19" s="565">
        <f>'[1]Tasa de Falla'!F19</f>
        <v>62</v>
      </c>
      <c r="G19" s="608" t="str">
        <f>IF('[1]Tasa de Falla'!HM19=0,"",'[1]Tasa de Falla'!HM19)</f>
        <v>XXXX</v>
      </c>
      <c r="H19" s="563" t="str">
        <f>IF('[1]Tasa de Falla'!HN19=0,"",'[1]Tasa de Falla'!HN19)</f>
        <v>XXXX</v>
      </c>
      <c r="I19" s="563" t="str">
        <f>IF('[1]Tasa de Falla'!HO19=0,"",'[1]Tasa de Falla'!HO19)</f>
        <v>XXXX</v>
      </c>
      <c r="J19" s="563" t="str">
        <f>IF('[1]Tasa de Falla'!HP19=0,"",'[1]Tasa de Falla'!HP19)</f>
        <v>XXXX</v>
      </c>
      <c r="K19" s="563" t="str">
        <f>IF('[1]Tasa de Falla'!HQ19=0,"",'[1]Tasa de Falla'!HQ19)</f>
        <v>XXXX</v>
      </c>
      <c r="L19" s="563" t="str">
        <f>IF('[1]Tasa de Falla'!HR19=0,"",'[1]Tasa de Falla'!HR19)</f>
        <v>XXXX</v>
      </c>
      <c r="M19" s="563" t="str">
        <f>IF('[1]Tasa de Falla'!HS19=0,"",'[1]Tasa de Falla'!HS19)</f>
        <v>XXXX</v>
      </c>
      <c r="N19" s="563" t="str">
        <f>IF('[1]Tasa de Falla'!HT19=0,"",'[1]Tasa de Falla'!HT19)</f>
        <v>XXXX</v>
      </c>
      <c r="O19" s="563" t="str">
        <f>IF('[1]Tasa de Falla'!HU19=0,"",'[1]Tasa de Falla'!HU19)</f>
        <v>XXXX</v>
      </c>
      <c r="P19" s="563" t="str">
        <f>IF('[1]Tasa de Falla'!HV19=0,"",'[1]Tasa de Falla'!HV19)</f>
        <v>XXXX</v>
      </c>
      <c r="Q19" s="563" t="str">
        <f>IF('[1]Tasa de Falla'!HW19=0,"",'[1]Tasa de Falla'!HW19)</f>
        <v>XXXX</v>
      </c>
      <c r="R19" s="563" t="str">
        <f>IF('[1]Tasa de Falla'!HX19=0,"",'[1]Tasa de Falla'!HX19)</f>
        <v>XXXX</v>
      </c>
      <c r="S19" s="566"/>
      <c r="T19" s="564"/>
    </row>
    <row r="20" spans="2:20" s="558" customFormat="1" ht="19.5" customHeight="1">
      <c r="B20" s="559"/>
      <c r="C20" s="565">
        <f>'[1]Tasa de Falla'!C20</f>
        <v>4</v>
      </c>
      <c r="D20" s="565" t="str">
        <f>'[1]Tasa de Falla'!D20</f>
        <v>CEVIL POZO - TUCUMAN NORTE</v>
      </c>
      <c r="E20" s="565">
        <f>'[1]Tasa de Falla'!E20</f>
        <v>132</v>
      </c>
      <c r="F20" s="565">
        <f>'[1]Tasa de Falla'!F20</f>
        <v>14.5</v>
      </c>
      <c r="G20" s="608">
        <f>IF('[1]Tasa de Falla'!HM20=0,"",'[1]Tasa de Falla'!HM20)</f>
      </c>
      <c r="H20" s="563">
        <f>IF('[1]Tasa de Falla'!HN20=0,"",'[1]Tasa de Falla'!HN20)</f>
      </c>
      <c r="I20" s="563">
        <f>IF('[1]Tasa de Falla'!HO20=0,"",'[1]Tasa de Falla'!HO20)</f>
      </c>
      <c r="J20" s="563">
        <f>IF('[1]Tasa de Falla'!HP20=0,"",'[1]Tasa de Falla'!HP20)</f>
      </c>
      <c r="K20" s="563">
        <f>IF('[1]Tasa de Falla'!HQ20=0,"",'[1]Tasa de Falla'!HQ20)</f>
      </c>
      <c r="L20" s="563">
        <f>IF('[1]Tasa de Falla'!HR20=0,"",'[1]Tasa de Falla'!HR20)</f>
      </c>
      <c r="M20" s="563">
        <f>IF('[1]Tasa de Falla'!HS20=0,"",'[1]Tasa de Falla'!HS20)</f>
      </c>
      <c r="N20" s="563">
        <f>IF('[1]Tasa de Falla'!HT20=0,"",'[1]Tasa de Falla'!HT20)</f>
      </c>
      <c r="O20" s="563">
        <f>IF('[1]Tasa de Falla'!HU20=0,"",'[1]Tasa de Falla'!HU20)</f>
      </c>
      <c r="P20" s="563">
        <f>IF('[1]Tasa de Falla'!HV20=0,"",'[1]Tasa de Falla'!HV20)</f>
      </c>
      <c r="Q20" s="563">
        <f>IF('[1]Tasa de Falla'!HW20=0,"",'[1]Tasa de Falla'!HW20)</f>
      </c>
      <c r="R20" s="563">
        <f>IF('[1]Tasa de Falla'!HX20=0,"",'[1]Tasa de Falla'!HX20)</f>
      </c>
      <c r="S20" s="566"/>
      <c r="T20" s="564"/>
    </row>
    <row r="21" spans="2:20" s="558" customFormat="1" ht="18">
      <c r="B21" s="559"/>
      <c r="C21" s="565">
        <f>'[1]Tasa de Falla'!C21</f>
        <v>5</v>
      </c>
      <c r="D21" s="565" t="str">
        <f>'[1]Tasa de Falla'!D21</f>
        <v>CAMPO SANTO - MINETTI</v>
      </c>
      <c r="E21" s="565">
        <f>'[1]Tasa de Falla'!E21</f>
        <v>132</v>
      </c>
      <c r="F21" s="565">
        <f>'[1]Tasa de Falla'!F21</f>
        <v>29.9</v>
      </c>
      <c r="G21" s="608" t="str">
        <f>IF('[1]Tasa de Falla'!HM21=0,"",'[1]Tasa de Falla'!HM21)</f>
        <v>XXXX</v>
      </c>
      <c r="H21" s="563" t="str">
        <f>IF('[1]Tasa de Falla'!HN21=0,"",'[1]Tasa de Falla'!HN21)</f>
        <v>XXXX</v>
      </c>
      <c r="I21" s="563" t="str">
        <f>IF('[1]Tasa de Falla'!HO21=0,"",'[1]Tasa de Falla'!HO21)</f>
        <v>XXXX</v>
      </c>
      <c r="J21" s="563" t="str">
        <f>IF('[1]Tasa de Falla'!HP21=0,"",'[1]Tasa de Falla'!HP21)</f>
        <v>XXXX</v>
      </c>
      <c r="K21" s="563" t="str">
        <f>IF('[1]Tasa de Falla'!HQ21=0,"",'[1]Tasa de Falla'!HQ21)</f>
        <v>XXXX</v>
      </c>
      <c r="L21" s="563" t="str">
        <f>IF('[1]Tasa de Falla'!HR21=0,"",'[1]Tasa de Falla'!HR21)</f>
        <v>XXXX</v>
      </c>
      <c r="M21" s="563" t="str">
        <f>IF('[1]Tasa de Falla'!HS21=0,"",'[1]Tasa de Falla'!HS21)</f>
        <v>XXXX</v>
      </c>
      <c r="N21" s="563" t="str">
        <f>IF('[1]Tasa de Falla'!HT21=0,"",'[1]Tasa de Falla'!HT21)</f>
        <v>XXXX</v>
      </c>
      <c r="O21" s="563" t="str">
        <f>IF('[1]Tasa de Falla'!HU21=0,"",'[1]Tasa de Falla'!HU21)</f>
        <v>XXXX</v>
      </c>
      <c r="P21" s="563" t="str">
        <f>IF('[1]Tasa de Falla'!HV21=0,"",'[1]Tasa de Falla'!HV21)</f>
        <v>XXXX</v>
      </c>
      <c r="Q21" s="563" t="str">
        <f>IF('[1]Tasa de Falla'!HW21=0,"",'[1]Tasa de Falla'!HW21)</f>
        <v>XXXX</v>
      </c>
      <c r="R21" s="563" t="str">
        <f>IF('[1]Tasa de Falla'!HX21=0,"",'[1]Tasa de Falla'!HX21)</f>
        <v>XXXX</v>
      </c>
      <c r="S21" s="566"/>
      <c r="T21" s="564"/>
    </row>
    <row r="22" spans="2:20" s="558" customFormat="1" ht="18">
      <c r="B22" s="559"/>
      <c r="C22" s="565">
        <f>'[1]Tasa de Falla'!C22</f>
        <v>6</v>
      </c>
      <c r="D22" s="565" t="str">
        <f>'[1]Tasa de Falla'!D22</f>
        <v>ESCABA - HUACRA</v>
      </c>
      <c r="E22" s="565">
        <f>'[1]Tasa de Falla'!E22</f>
        <v>132</v>
      </c>
      <c r="F22" s="565">
        <f>'[1]Tasa de Falla'!F22</f>
        <v>49.9</v>
      </c>
      <c r="G22" s="608" t="str">
        <f>IF('[1]Tasa de Falla'!HM22=0,"",'[1]Tasa de Falla'!HM22)</f>
        <v>XXXX</v>
      </c>
      <c r="H22" s="563" t="str">
        <f>IF('[1]Tasa de Falla'!HN22=0,"",'[1]Tasa de Falla'!HN22)</f>
        <v>XXXX</v>
      </c>
      <c r="I22" s="563" t="str">
        <f>IF('[1]Tasa de Falla'!HO22=0,"",'[1]Tasa de Falla'!HO22)</f>
        <v>XXXX</v>
      </c>
      <c r="J22" s="563" t="str">
        <f>IF('[1]Tasa de Falla'!HP22=0,"",'[1]Tasa de Falla'!HP22)</f>
        <v>XXXX</v>
      </c>
      <c r="K22" s="563" t="str">
        <f>IF('[1]Tasa de Falla'!HQ22=0,"",'[1]Tasa de Falla'!HQ22)</f>
        <v>XXXX</v>
      </c>
      <c r="L22" s="563" t="str">
        <f>IF('[1]Tasa de Falla'!HR22=0,"",'[1]Tasa de Falla'!HR22)</f>
        <v>XXXX</v>
      </c>
      <c r="M22" s="563" t="str">
        <f>IF('[1]Tasa de Falla'!HS22=0,"",'[1]Tasa de Falla'!HS22)</f>
        <v>XXXX</v>
      </c>
      <c r="N22" s="563" t="str">
        <f>IF('[1]Tasa de Falla'!HT22=0,"",'[1]Tasa de Falla'!HT22)</f>
        <v>XXXX</v>
      </c>
      <c r="O22" s="563" t="str">
        <f>IF('[1]Tasa de Falla'!HU22=0,"",'[1]Tasa de Falla'!HU22)</f>
        <v>XXXX</v>
      </c>
      <c r="P22" s="563" t="str">
        <f>IF('[1]Tasa de Falla'!HV22=0,"",'[1]Tasa de Falla'!HV22)</f>
        <v>XXXX</v>
      </c>
      <c r="Q22" s="563" t="str">
        <f>IF('[1]Tasa de Falla'!HW22=0,"",'[1]Tasa de Falla'!HW22)</f>
        <v>XXXX</v>
      </c>
      <c r="R22" s="563" t="str">
        <f>IF('[1]Tasa de Falla'!HX22=0,"",'[1]Tasa de Falla'!HX22)</f>
        <v>XXXX</v>
      </c>
      <c r="S22" s="566"/>
      <c r="T22" s="564"/>
    </row>
    <row r="23" spans="2:20" s="558" customFormat="1" ht="19.5" customHeight="1">
      <c r="B23" s="559"/>
      <c r="C23" s="565">
        <f>'[1]Tasa de Falla'!C23</f>
        <v>7</v>
      </c>
      <c r="D23" s="565" t="str">
        <f>'[1]Tasa de Falla'!D23</f>
        <v>ESTATICA SUR - EL BRACHO</v>
      </c>
      <c r="E23" s="565">
        <f>'[1]Tasa de Falla'!E23</f>
        <v>132</v>
      </c>
      <c r="F23" s="565">
        <f>'[1]Tasa de Falla'!F23</f>
        <v>19.6</v>
      </c>
      <c r="G23" s="608">
        <f>IF('[1]Tasa de Falla'!HM23=0,"",'[1]Tasa de Falla'!HM23)</f>
      </c>
      <c r="H23" s="563">
        <f>IF('[1]Tasa de Falla'!HN23=0,"",'[1]Tasa de Falla'!HN23)</f>
      </c>
      <c r="I23" s="563">
        <f>IF('[1]Tasa de Falla'!HO23=0,"",'[1]Tasa de Falla'!HO23)</f>
      </c>
      <c r="J23" s="563">
        <f>IF('[1]Tasa de Falla'!HP23=0,"",'[1]Tasa de Falla'!HP23)</f>
      </c>
      <c r="K23" s="563">
        <f>IF('[1]Tasa de Falla'!HQ23=0,"",'[1]Tasa de Falla'!HQ23)</f>
      </c>
      <c r="L23" s="563">
        <f>IF('[1]Tasa de Falla'!HR23=0,"",'[1]Tasa de Falla'!HR23)</f>
      </c>
      <c r="M23" s="563">
        <f>IF('[1]Tasa de Falla'!HS23=0,"",'[1]Tasa de Falla'!HS23)</f>
      </c>
      <c r="N23" s="563">
        <f>IF('[1]Tasa de Falla'!HT23=0,"",'[1]Tasa de Falla'!HT23)</f>
      </c>
      <c r="O23" s="563">
        <f>IF('[1]Tasa de Falla'!HU23=0,"",'[1]Tasa de Falla'!HU23)</f>
      </c>
      <c r="P23" s="563">
        <f>IF('[1]Tasa de Falla'!HV23=0,"",'[1]Tasa de Falla'!HV23)</f>
      </c>
      <c r="Q23" s="563">
        <f>IF('[1]Tasa de Falla'!HW23=0,"",'[1]Tasa de Falla'!HW23)</f>
      </c>
      <c r="R23" s="563">
        <f>IF('[1]Tasa de Falla'!HX23=0,"",'[1]Tasa de Falla'!HX23)</f>
      </c>
      <c r="S23" s="566"/>
      <c r="T23" s="564"/>
    </row>
    <row r="24" spans="2:20" s="558" customFormat="1" ht="19.5" customHeight="1">
      <c r="B24" s="559"/>
      <c r="C24" s="565">
        <f>'[1]Tasa de Falla'!C24</f>
        <v>8</v>
      </c>
      <c r="D24" s="565" t="str">
        <f>'[1]Tasa de Falla'!D24</f>
        <v>ESTATICA SUR - INDEPENDENCIA (O.F.)</v>
      </c>
      <c r="E24" s="565">
        <f>'[1]Tasa de Falla'!E24</f>
        <v>132</v>
      </c>
      <c r="F24" s="565">
        <f>'[1]Tasa de Falla'!F24</f>
        <v>2.6</v>
      </c>
      <c r="G24" s="608">
        <f>IF('[1]Tasa de Falla'!HM24=0,"",'[1]Tasa de Falla'!HM24)</f>
      </c>
      <c r="H24" s="563">
        <f>IF('[1]Tasa de Falla'!HN24=0,"",'[1]Tasa de Falla'!HN24)</f>
      </c>
      <c r="I24" s="563">
        <f>IF('[1]Tasa de Falla'!HO24=0,"",'[1]Tasa de Falla'!HO24)</f>
      </c>
      <c r="J24" s="563">
        <f>IF('[1]Tasa de Falla'!HP24=0,"",'[1]Tasa de Falla'!HP24)</f>
      </c>
      <c r="K24" s="563">
        <f>IF('[1]Tasa de Falla'!HQ24=0,"",'[1]Tasa de Falla'!HQ24)</f>
      </c>
      <c r="L24" s="563">
        <f>IF('[1]Tasa de Falla'!HR24=0,"",'[1]Tasa de Falla'!HR24)</f>
      </c>
      <c r="M24" s="563">
        <f>IF('[1]Tasa de Falla'!HS24=0,"",'[1]Tasa de Falla'!HS24)</f>
      </c>
      <c r="N24" s="563">
        <f>IF('[1]Tasa de Falla'!HT24=0,"",'[1]Tasa de Falla'!HT24)</f>
      </c>
      <c r="O24" s="563">
        <f>IF('[1]Tasa de Falla'!HU24=0,"",'[1]Tasa de Falla'!HU24)</f>
      </c>
      <c r="P24" s="563">
        <f>IF('[1]Tasa de Falla'!HV24=0,"",'[1]Tasa de Falla'!HV24)</f>
      </c>
      <c r="Q24" s="563">
        <f>IF('[1]Tasa de Falla'!HW24=0,"",'[1]Tasa de Falla'!HW24)</f>
      </c>
      <c r="R24" s="563">
        <f>IF('[1]Tasa de Falla'!HX24=0,"",'[1]Tasa de Falla'!HX24)</f>
      </c>
      <c r="S24" s="566"/>
      <c r="T24" s="564"/>
    </row>
    <row r="25" spans="2:20" s="558" customFormat="1" ht="19.5" customHeight="1">
      <c r="B25" s="559"/>
      <c r="C25" s="565">
        <f>'[1]Tasa de Falla'!C25</f>
        <v>9</v>
      </c>
      <c r="D25" s="565" t="str">
        <f>'[1]Tasa de Falla'!D25</f>
        <v>ESTATICA SUR - SARMIENTO "TRANSNOA S.A."</v>
      </c>
      <c r="E25" s="565">
        <f>'[1]Tasa de Falla'!E25</f>
        <v>132</v>
      </c>
      <c r="F25" s="565">
        <f>'[1]Tasa de Falla'!F25</f>
        <v>4.4</v>
      </c>
      <c r="G25" s="608">
        <f>IF('[1]Tasa de Falla'!HM25=0,"",'[1]Tasa de Falla'!HM25)</f>
      </c>
      <c r="H25" s="563">
        <f>IF('[1]Tasa de Falla'!HN25=0,"",'[1]Tasa de Falla'!HN25)</f>
      </c>
      <c r="I25" s="563">
        <f>IF('[1]Tasa de Falla'!HO25=0,"",'[1]Tasa de Falla'!HO25)</f>
      </c>
      <c r="J25" s="563">
        <f>IF('[1]Tasa de Falla'!HP25=0,"",'[1]Tasa de Falla'!HP25)</f>
      </c>
      <c r="K25" s="563">
        <f>IF('[1]Tasa de Falla'!HQ25=0,"",'[1]Tasa de Falla'!HQ25)</f>
      </c>
      <c r="L25" s="563">
        <f>IF('[1]Tasa de Falla'!HR25=0,"",'[1]Tasa de Falla'!HR25)</f>
      </c>
      <c r="M25" s="563">
        <f>IF('[1]Tasa de Falla'!HS25=0,"",'[1]Tasa de Falla'!HS25)</f>
      </c>
      <c r="N25" s="563">
        <f>IF('[1]Tasa de Falla'!HT25=0,"",'[1]Tasa de Falla'!HT25)</f>
      </c>
      <c r="O25" s="563">
        <f>IF('[1]Tasa de Falla'!HU25=0,"",'[1]Tasa de Falla'!HU25)</f>
      </c>
      <c r="P25" s="563">
        <f>IF('[1]Tasa de Falla'!HV25=0,"",'[1]Tasa de Falla'!HV25)</f>
      </c>
      <c r="Q25" s="563">
        <f>IF('[1]Tasa de Falla'!HW25=0,"",'[1]Tasa de Falla'!HW25)</f>
      </c>
      <c r="R25" s="563">
        <f>IF('[1]Tasa de Falla'!HX25=0,"",'[1]Tasa de Falla'!HX25)</f>
      </c>
      <c r="S25" s="566"/>
      <c r="T25" s="564"/>
    </row>
    <row r="26" spans="2:20" s="558" customFormat="1" ht="18">
      <c r="B26" s="559"/>
      <c r="C26" s="565">
        <f>'[1]Tasa de Falla'!C26</f>
        <v>10</v>
      </c>
      <c r="D26" s="565" t="str">
        <f>'[1]Tasa de Falla'!D26</f>
        <v>GÜEMES - EL BRACHO</v>
      </c>
      <c r="E26" s="565">
        <f>'[1]Tasa de Falla'!E26</f>
        <v>132</v>
      </c>
      <c r="F26" s="565">
        <f>'[1]Tasa de Falla'!F26</f>
        <v>308</v>
      </c>
      <c r="G26" s="608" t="str">
        <f>IF('[1]Tasa de Falla'!HM26=0,"",'[1]Tasa de Falla'!HM26)</f>
        <v>XXXX</v>
      </c>
      <c r="H26" s="563" t="str">
        <f>IF('[1]Tasa de Falla'!HN26=0,"",'[1]Tasa de Falla'!HN26)</f>
        <v>XXXX</v>
      </c>
      <c r="I26" s="563" t="str">
        <f>IF('[1]Tasa de Falla'!HO26=0,"",'[1]Tasa de Falla'!HO26)</f>
        <v>XXXX</v>
      </c>
      <c r="J26" s="563" t="str">
        <f>IF('[1]Tasa de Falla'!HP26=0,"",'[1]Tasa de Falla'!HP26)</f>
        <v>XXXX</v>
      </c>
      <c r="K26" s="563" t="str">
        <f>IF('[1]Tasa de Falla'!HQ26=0,"",'[1]Tasa de Falla'!HQ26)</f>
        <v>XXXX</v>
      </c>
      <c r="L26" s="563" t="str">
        <f>IF('[1]Tasa de Falla'!HR26=0,"",'[1]Tasa de Falla'!HR26)</f>
        <v>XXXX</v>
      </c>
      <c r="M26" s="563" t="str">
        <f>IF('[1]Tasa de Falla'!HS26=0,"",'[1]Tasa de Falla'!HS26)</f>
        <v>XXXX</v>
      </c>
      <c r="N26" s="563" t="str">
        <f>IF('[1]Tasa de Falla'!HT26=0,"",'[1]Tasa de Falla'!HT26)</f>
        <v>XXXX</v>
      </c>
      <c r="O26" s="563" t="str">
        <f>IF('[1]Tasa de Falla'!HU26=0,"",'[1]Tasa de Falla'!HU26)</f>
        <v>XXXX</v>
      </c>
      <c r="P26" s="563" t="str">
        <f>IF('[1]Tasa de Falla'!HV26=0,"",'[1]Tasa de Falla'!HV26)</f>
        <v>XXXX</v>
      </c>
      <c r="Q26" s="563" t="str">
        <f>IF('[1]Tasa de Falla'!HW26=0,"",'[1]Tasa de Falla'!HW26)</f>
        <v>XXXX</v>
      </c>
      <c r="R26" s="563" t="str">
        <f>IF('[1]Tasa de Falla'!HX26=0,"",'[1]Tasa de Falla'!HX26)</f>
        <v>XXXX</v>
      </c>
      <c r="S26" s="566"/>
      <c r="T26" s="564"/>
    </row>
    <row r="27" spans="2:20" s="558" customFormat="1" ht="19.5" customHeight="1">
      <c r="B27" s="559"/>
      <c r="C27" s="565">
        <f>'[1]Tasa de Falla'!C27</f>
        <v>11</v>
      </c>
      <c r="D27" s="565" t="str">
        <f>'[1]Tasa de Falla'!D27</f>
        <v>CAMPO SANTO - GÜEMES</v>
      </c>
      <c r="E27" s="565">
        <f>'[1]Tasa de Falla'!E27</f>
        <v>132</v>
      </c>
      <c r="F27" s="565">
        <f>'[1]Tasa de Falla'!F27</f>
        <v>6.2</v>
      </c>
      <c r="G27" s="608" t="str">
        <f>IF('[1]Tasa de Falla'!HM27=0,"",'[1]Tasa de Falla'!HM27)</f>
        <v>XXXX</v>
      </c>
      <c r="H27" s="563" t="str">
        <f>IF('[1]Tasa de Falla'!HN27=0,"",'[1]Tasa de Falla'!HN27)</f>
        <v>XXXX</v>
      </c>
      <c r="I27" s="563" t="str">
        <f>IF('[1]Tasa de Falla'!HO27=0,"",'[1]Tasa de Falla'!HO27)</f>
        <v>XXXX</v>
      </c>
      <c r="J27" s="563" t="str">
        <f>IF('[1]Tasa de Falla'!HP27=0,"",'[1]Tasa de Falla'!HP27)</f>
        <v>XXXX</v>
      </c>
      <c r="K27" s="563" t="str">
        <f>IF('[1]Tasa de Falla'!HQ27=0,"",'[1]Tasa de Falla'!HQ27)</f>
        <v>XXXX</v>
      </c>
      <c r="L27" s="563" t="str">
        <f>IF('[1]Tasa de Falla'!HR27=0,"",'[1]Tasa de Falla'!HR27)</f>
        <v>XXXX</v>
      </c>
      <c r="M27" s="563" t="str">
        <f>IF('[1]Tasa de Falla'!HS27=0,"",'[1]Tasa de Falla'!HS27)</f>
        <v>XXXX</v>
      </c>
      <c r="N27" s="563" t="str">
        <f>IF('[1]Tasa de Falla'!HT27=0,"",'[1]Tasa de Falla'!HT27)</f>
        <v>XXXX</v>
      </c>
      <c r="O27" s="563" t="str">
        <f>IF('[1]Tasa de Falla'!HU27=0,"",'[1]Tasa de Falla'!HU27)</f>
        <v>XXXX</v>
      </c>
      <c r="P27" s="563" t="str">
        <f>IF('[1]Tasa de Falla'!HV27=0,"",'[1]Tasa de Falla'!HV27)</f>
        <v>XXXX</v>
      </c>
      <c r="Q27" s="563" t="str">
        <f>IF('[1]Tasa de Falla'!HW27=0,"",'[1]Tasa de Falla'!HW27)</f>
        <v>XXXX</v>
      </c>
      <c r="R27" s="563" t="str">
        <f>IF('[1]Tasa de Falla'!HX27=0,"",'[1]Tasa de Falla'!HX27)</f>
        <v>XXXX</v>
      </c>
      <c r="S27" s="566"/>
      <c r="T27" s="564"/>
    </row>
    <row r="28" spans="2:20" s="558" customFormat="1" ht="19.5" customHeight="1">
      <c r="B28" s="559"/>
      <c r="C28" s="565">
        <f>'[1]Tasa de Falla'!C28</f>
        <v>12</v>
      </c>
      <c r="D28" s="565" t="str">
        <f>'[1]Tasa de Falla'!D28</f>
        <v>GÜEMES - SAN JUANCITO</v>
      </c>
      <c r="E28" s="565">
        <f>'[1]Tasa de Falla'!E28</f>
        <v>132</v>
      </c>
      <c r="F28" s="565">
        <f>'[1]Tasa de Falla'!F28</f>
        <v>36.24</v>
      </c>
      <c r="G28" s="608">
        <f>IF('[1]Tasa de Falla'!HM28=0,"",'[1]Tasa de Falla'!HM28)</f>
      </c>
      <c r="H28" s="563">
        <f>IF('[1]Tasa de Falla'!HN28=0,"",'[1]Tasa de Falla'!HN28)</f>
      </c>
      <c r="I28" s="563">
        <f>IF('[1]Tasa de Falla'!HO28=0,"",'[1]Tasa de Falla'!HO28)</f>
      </c>
      <c r="J28" s="563">
        <f>IF('[1]Tasa de Falla'!HP28=0,"",'[1]Tasa de Falla'!HP28)</f>
      </c>
      <c r="K28" s="563">
        <f>IF('[1]Tasa de Falla'!HQ28=0,"",'[1]Tasa de Falla'!HQ28)</f>
      </c>
      <c r="L28" s="563">
        <f>IF('[1]Tasa de Falla'!HR28=0,"",'[1]Tasa de Falla'!HR28)</f>
      </c>
      <c r="M28" s="563">
        <f>IF('[1]Tasa de Falla'!HS28=0,"",'[1]Tasa de Falla'!HS28)</f>
      </c>
      <c r="N28" s="563">
        <f>IF('[1]Tasa de Falla'!HT28=0,"",'[1]Tasa de Falla'!HT28)</f>
      </c>
      <c r="O28" s="563">
        <f>IF('[1]Tasa de Falla'!HU28=0,"",'[1]Tasa de Falla'!HU28)</f>
      </c>
      <c r="P28" s="563">
        <f>IF('[1]Tasa de Falla'!HV28=0,"",'[1]Tasa de Falla'!HV28)</f>
      </c>
      <c r="Q28" s="563">
        <f>IF('[1]Tasa de Falla'!HW28=0,"",'[1]Tasa de Falla'!HW28)</f>
        <v>1</v>
      </c>
      <c r="R28" s="563">
        <f>IF('[1]Tasa de Falla'!HX28=0,"",'[1]Tasa de Falla'!HX28)</f>
      </c>
      <c r="S28" s="566"/>
      <c r="T28" s="564"/>
    </row>
    <row r="29" spans="2:20" s="558" customFormat="1" ht="19.5" customHeight="1">
      <c r="B29" s="559"/>
      <c r="C29" s="565">
        <f>'[1]Tasa de Falla'!C29</f>
        <v>13</v>
      </c>
      <c r="D29" s="565" t="str">
        <f>'[1]Tasa de Falla'!D29</f>
        <v>CATAMARCA - HUACRA</v>
      </c>
      <c r="E29" s="565">
        <f>'[1]Tasa de Falla'!E29</f>
        <v>132</v>
      </c>
      <c r="F29" s="565">
        <f>'[1]Tasa de Falla'!F29</f>
        <v>67.3</v>
      </c>
      <c r="G29" s="608">
        <f>IF('[1]Tasa de Falla'!HM29=0,"",'[1]Tasa de Falla'!HM29)</f>
      </c>
      <c r="H29" s="563">
        <f>IF('[1]Tasa de Falla'!HN29=0,"",'[1]Tasa de Falla'!HN29)</f>
      </c>
      <c r="I29" s="563">
        <f>IF('[1]Tasa de Falla'!HO29=0,"",'[1]Tasa de Falla'!HO29)</f>
      </c>
      <c r="J29" s="563">
        <f>IF('[1]Tasa de Falla'!HP29=0,"",'[1]Tasa de Falla'!HP29)</f>
      </c>
      <c r="K29" s="563">
        <f>IF('[1]Tasa de Falla'!HQ29=0,"",'[1]Tasa de Falla'!HQ29)</f>
      </c>
      <c r="L29" s="563">
        <f>IF('[1]Tasa de Falla'!HR29=0,"",'[1]Tasa de Falla'!HR29)</f>
      </c>
      <c r="M29" s="563">
        <f>IF('[1]Tasa de Falla'!HS29=0,"",'[1]Tasa de Falla'!HS29)</f>
        <v>1</v>
      </c>
      <c r="N29" s="563">
        <f>IF('[1]Tasa de Falla'!HT29=0,"",'[1]Tasa de Falla'!HT29)</f>
        <v>1</v>
      </c>
      <c r="O29" s="563">
        <f>IF('[1]Tasa de Falla'!HU29=0,"",'[1]Tasa de Falla'!HU29)</f>
        <v>1</v>
      </c>
      <c r="P29" s="563">
        <f>IF('[1]Tasa de Falla'!HV29=0,"",'[1]Tasa de Falla'!HV29)</f>
      </c>
      <c r="Q29" s="563">
        <f>IF('[1]Tasa de Falla'!HW29=0,"",'[1]Tasa de Falla'!HW29)</f>
      </c>
      <c r="R29" s="563">
        <f>IF('[1]Tasa de Falla'!HX29=0,"",'[1]Tasa de Falla'!HX29)</f>
      </c>
      <c r="S29" s="566"/>
      <c r="T29" s="564"/>
    </row>
    <row r="30" spans="2:20" s="558" customFormat="1" ht="19.5" customHeight="1">
      <c r="B30" s="559"/>
      <c r="C30" s="565">
        <f>'[1]Tasa de Falla'!C30</f>
        <v>14</v>
      </c>
      <c r="D30" s="565" t="str">
        <f>'[1]Tasa de Falla'!D30</f>
        <v>HUACRA - LA CALERA</v>
      </c>
      <c r="E30" s="565">
        <f>'[1]Tasa de Falla'!E30</f>
        <v>132</v>
      </c>
      <c r="F30" s="565">
        <f>'[1]Tasa de Falla'!F30</f>
        <v>91.2</v>
      </c>
      <c r="G30" s="608">
        <f>IF('[1]Tasa de Falla'!HM30=0,"",'[1]Tasa de Falla'!HM30)</f>
        <v>1</v>
      </c>
      <c r="H30" s="563">
        <f>IF('[1]Tasa de Falla'!HN30=0,"",'[1]Tasa de Falla'!HN30)</f>
      </c>
      <c r="I30" s="563">
        <f>IF('[1]Tasa de Falla'!HO30=0,"",'[1]Tasa de Falla'!HO30)</f>
      </c>
      <c r="J30" s="563">
        <f>IF('[1]Tasa de Falla'!HP30=0,"",'[1]Tasa de Falla'!HP30)</f>
      </c>
      <c r="K30" s="563">
        <f>IF('[1]Tasa de Falla'!HQ30=0,"",'[1]Tasa de Falla'!HQ30)</f>
      </c>
      <c r="L30" s="563">
        <f>IF('[1]Tasa de Falla'!HR30=0,"",'[1]Tasa de Falla'!HR30)</f>
      </c>
      <c r="M30" s="563">
        <f>IF('[1]Tasa de Falla'!HS30=0,"",'[1]Tasa de Falla'!HS30)</f>
      </c>
      <c r="N30" s="563">
        <f>IF('[1]Tasa de Falla'!HT30=0,"",'[1]Tasa de Falla'!HT30)</f>
      </c>
      <c r="O30" s="563">
        <f>IF('[1]Tasa de Falla'!HU30=0,"",'[1]Tasa de Falla'!HU30)</f>
      </c>
      <c r="P30" s="563">
        <f>IF('[1]Tasa de Falla'!HV30=0,"",'[1]Tasa de Falla'!HV30)</f>
      </c>
      <c r="Q30" s="563">
        <f>IF('[1]Tasa de Falla'!HW30=0,"",'[1]Tasa de Falla'!HW30)</f>
      </c>
      <c r="R30" s="563">
        <f>IF('[1]Tasa de Falla'!HX30=0,"",'[1]Tasa de Falla'!HX30)</f>
      </c>
      <c r="S30" s="566"/>
      <c r="T30" s="564"/>
    </row>
    <row r="31" spans="2:20" s="558" customFormat="1" ht="19.5" customHeight="1">
      <c r="B31" s="559"/>
      <c r="C31" s="565">
        <f>'[1]Tasa de Falla'!C31</f>
        <v>15</v>
      </c>
      <c r="D31" s="565" t="str">
        <f>'[1]Tasa de Falla'!D31</f>
        <v>AGUA BLANCA - INDEPENDENCIA</v>
      </c>
      <c r="E31" s="565">
        <f>'[1]Tasa de Falla'!E31</f>
        <v>132</v>
      </c>
      <c r="F31" s="565">
        <f>'[1]Tasa de Falla'!F31</f>
        <v>34.14</v>
      </c>
      <c r="G31" s="608">
        <f>IF('[1]Tasa de Falla'!HM31=0,"",'[1]Tasa de Falla'!HM31)</f>
      </c>
      <c r="H31" s="563">
        <f>IF('[1]Tasa de Falla'!HN31=0,"",'[1]Tasa de Falla'!HN31)</f>
      </c>
      <c r="I31" s="563">
        <f>IF('[1]Tasa de Falla'!HO31=0,"",'[1]Tasa de Falla'!HO31)</f>
      </c>
      <c r="J31" s="563">
        <f>IF('[1]Tasa de Falla'!HP31=0,"",'[1]Tasa de Falla'!HP31)</f>
      </c>
      <c r="K31" s="563">
        <f>IF('[1]Tasa de Falla'!HQ31=0,"",'[1]Tasa de Falla'!HQ31)</f>
      </c>
      <c r="L31" s="563">
        <f>IF('[1]Tasa de Falla'!HR31=0,"",'[1]Tasa de Falla'!HR31)</f>
      </c>
      <c r="M31" s="563">
        <f>IF('[1]Tasa de Falla'!HS31=0,"",'[1]Tasa de Falla'!HS31)</f>
      </c>
      <c r="N31" s="563">
        <f>IF('[1]Tasa de Falla'!HT31=0,"",'[1]Tasa de Falla'!HT31)</f>
      </c>
      <c r="O31" s="563">
        <f>IF('[1]Tasa de Falla'!HU31=0,"",'[1]Tasa de Falla'!HU31)</f>
        <v>1</v>
      </c>
      <c r="P31" s="563">
        <f>IF('[1]Tasa de Falla'!HV31=0,"",'[1]Tasa de Falla'!HV31)</f>
        <v>1</v>
      </c>
      <c r="Q31" s="563">
        <f>IF('[1]Tasa de Falla'!HW31=0,"",'[1]Tasa de Falla'!HW31)</f>
      </c>
      <c r="R31" s="563">
        <f>IF('[1]Tasa de Falla'!HX31=0,"",'[1]Tasa de Falla'!HX31)</f>
      </c>
      <c r="S31" s="566"/>
      <c r="T31" s="564"/>
    </row>
    <row r="32" spans="2:20" s="558" customFormat="1" ht="19.5" customHeight="1">
      <c r="B32" s="559"/>
      <c r="C32" s="565">
        <f>'[1]Tasa de Falla'!C32</f>
        <v>16</v>
      </c>
      <c r="D32" s="565" t="str">
        <f>'[1]Tasa de Falla'!D32</f>
        <v>INDEPENDENCIA - EL BRACHO 1</v>
      </c>
      <c r="E32" s="565">
        <f>'[1]Tasa de Falla'!E32</f>
        <v>132</v>
      </c>
      <c r="F32" s="565">
        <f>'[1]Tasa de Falla'!F32</f>
        <v>17.1</v>
      </c>
      <c r="G32" s="608">
        <f>IF('[1]Tasa de Falla'!HM32=0,"",'[1]Tasa de Falla'!HM32)</f>
      </c>
      <c r="H32" s="563">
        <f>IF('[1]Tasa de Falla'!HN32=0,"",'[1]Tasa de Falla'!HN32)</f>
      </c>
      <c r="I32" s="563">
        <f>IF('[1]Tasa de Falla'!HO32=0,"",'[1]Tasa de Falla'!HO32)</f>
      </c>
      <c r="J32" s="563">
        <f>IF('[1]Tasa de Falla'!HP32=0,"",'[1]Tasa de Falla'!HP32)</f>
      </c>
      <c r="K32" s="563">
        <f>IF('[1]Tasa de Falla'!HQ32=0,"",'[1]Tasa de Falla'!HQ32)</f>
      </c>
      <c r="L32" s="563">
        <f>IF('[1]Tasa de Falla'!HR32=0,"",'[1]Tasa de Falla'!HR32)</f>
        <v>1</v>
      </c>
      <c r="M32" s="563">
        <f>IF('[1]Tasa de Falla'!HS32=0,"",'[1]Tasa de Falla'!HS32)</f>
      </c>
      <c r="N32" s="563">
        <f>IF('[1]Tasa de Falla'!HT32=0,"",'[1]Tasa de Falla'!HT32)</f>
      </c>
      <c r="O32" s="563">
        <f>IF('[1]Tasa de Falla'!HU32=0,"",'[1]Tasa de Falla'!HU32)</f>
      </c>
      <c r="P32" s="563">
        <f>IF('[1]Tasa de Falla'!HV32=0,"",'[1]Tasa de Falla'!HV32)</f>
      </c>
      <c r="Q32" s="563">
        <f>IF('[1]Tasa de Falla'!HW32=0,"",'[1]Tasa de Falla'!HW32)</f>
      </c>
      <c r="R32" s="563">
        <f>IF('[1]Tasa de Falla'!HX32=0,"",'[1]Tasa de Falla'!HX32)</f>
      </c>
      <c r="S32" s="566"/>
      <c r="T32" s="564"/>
    </row>
    <row r="33" spans="2:20" s="558" customFormat="1" ht="19.5" customHeight="1">
      <c r="B33" s="559"/>
      <c r="C33" s="565">
        <f>'[1]Tasa de Falla'!C33</f>
        <v>17</v>
      </c>
      <c r="D33" s="565" t="str">
        <f>'[1]Tasa de Falla'!D33</f>
        <v>INDEPENDENCIA - LULES - PAPEL TUCUMAN</v>
      </c>
      <c r="E33" s="565">
        <f>'[1]Tasa de Falla'!E33</f>
        <v>132</v>
      </c>
      <c r="F33" s="565">
        <f>'[1]Tasa de Falla'!F33</f>
        <v>19.3</v>
      </c>
      <c r="G33" s="608">
        <f>IF('[1]Tasa de Falla'!HM33=0,"",'[1]Tasa de Falla'!HM33)</f>
      </c>
      <c r="H33" s="563">
        <f>IF('[1]Tasa de Falla'!HN33=0,"",'[1]Tasa de Falla'!HN33)</f>
      </c>
      <c r="I33" s="563">
        <f>IF('[1]Tasa de Falla'!HO33=0,"",'[1]Tasa de Falla'!HO33)</f>
      </c>
      <c r="J33" s="563">
        <f>IF('[1]Tasa de Falla'!HP33=0,"",'[1]Tasa de Falla'!HP33)</f>
      </c>
      <c r="K33" s="563">
        <f>IF('[1]Tasa de Falla'!HQ33=0,"",'[1]Tasa de Falla'!HQ33)</f>
      </c>
      <c r="L33" s="563">
        <f>IF('[1]Tasa de Falla'!HR33=0,"",'[1]Tasa de Falla'!HR33)</f>
      </c>
      <c r="M33" s="563">
        <f>IF('[1]Tasa de Falla'!HS33=0,"",'[1]Tasa de Falla'!HS33)</f>
      </c>
      <c r="N33" s="563">
        <f>IF('[1]Tasa de Falla'!HT33=0,"",'[1]Tasa de Falla'!HT33)</f>
      </c>
      <c r="O33" s="563">
        <f>IF('[1]Tasa de Falla'!HU33=0,"",'[1]Tasa de Falla'!HU33)</f>
      </c>
      <c r="P33" s="563">
        <f>IF('[1]Tasa de Falla'!HV33=0,"",'[1]Tasa de Falla'!HV33)</f>
      </c>
      <c r="Q33" s="563">
        <f>IF('[1]Tasa de Falla'!HW33=0,"",'[1]Tasa de Falla'!HW33)</f>
      </c>
      <c r="R33" s="563">
        <f>IF('[1]Tasa de Falla'!HX33=0,"",'[1]Tasa de Falla'!HX33)</f>
      </c>
      <c r="S33" s="566"/>
      <c r="T33" s="564"/>
    </row>
    <row r="34" spans="2:20" s="558" customFormat="1" ht="19.5" customHeight="1">
      <c r="B34" s="559"/>
      <c r="C34" s="565">
        <f>'[1]Tasa de Falla'!C34</f>
        <v>18</v>
      </c>
      <c r="D34" s="565" t="str">
        <f>'[1]Tasa de Falla'!D34</f>
        <v>FRIAS - LA CALERA NOA.</v>
      </c>
      <c r="E34" s="565">
        <f>'[1]Tasa de Falla'!E34</f>
        <v>132</v>
      </c>
      <c r="F34" s="565">
        <f>'[1]Tasa de Falla'!F34</f>
        <v>27.3</v>
      </c>
      <c r="G34" s="608">
        <f>IF('[1]Tasa de Falla'!HM34=0,"",'[1]Tasa de Falla'!HM34)</f>
      </c>
      <c r="H34" s="563">
        <f>IF('[1]Tasa de Falla'!HN34=0,"",'[1]Tasa de Falla'!HN34)</f>
      </c>
      <c r="I34" s="563">
        <f>IF('[1]Tasa de Falla'!HO34=0,"",'[1]Tasa de Falla'!HO34)</f>
      </c>
      <c r="J34" s="563">
        <f>IF('[1]Tasa de Falla'!HP34=0,"",'[1]Tasa de Falla'!HP34)</f>
      </c>
      <c r="K34" s="563">
        <f>IF('[1]Tasa de Falla'!HQ34=0,"",'[1]Tasa de Falla'!HQ34)</f>
      </c>
      <c r="L34" s="563">
        <f>IF('[1]Tasa de Falla'!HR34=0,"",'[1]Tasa de Falla'!HR34)</f>
      </c>
      <c r="M34" s="563">
        <f>IF('[1]Tasa de Falla'!HS34=0,"",'[1]Tasa de Falla'!HS34)</f>
      </c>
      <c r="N34" s="563">
        <f>IF('[1]Tasa de Falla'!HT34=0,"",'[1]Tasa de Falla'!HT34)</f>
      </c>
      <c r="O34" s="563">
        <f>IF('[1]Tasa de Falla'!HU34=0,"",'[1]Tasa de Falla'!HU34)</f>
      </c>
      <c r="P34" s="563">
        <f>IF('[1]Tasa de Falla'!HV34=0,"",'[1]Tasa de Falla'!HV34)</f>
        <v>1</v>
      </c>
      <c r="Q34" s="563">
        <f>IF('[1]Tasa de Falla'!HW34=0,"",'[1]Tasa de Falla'!HW34)</f>
      </c>
      <c r="R34" s="563">
        <f>IF('[1]Tasa de Falla'!HX34=0,"",'[1]Tasa de Falla'!HX34)</f>
      </c>
      <c r="S34" s="566"/>
      <c r="T34" s="564"/>
    </row>
    <row r="35" spans="2:20" s="558" customFormat="1" ht="19.5" customHeight="1">
      <c r="B35" s="559"/>
      <c r="C35" s="565">
        <f>'[1]Tasa de Falla'!C35</f>
        <v>19</v>
      </c>
      <c r="D35" s="565" t="str">
        <f>'[1]Tasa de Falla'!D35</f>
        <v>LA BANDA - SANTIAGO CENTRO</v>
      </c>
      <c r="E35" s="565">
        <f>'[1]Tasa de Falla'!E35</f>
        <v>132</v>
      </c>
      <c r="F35" s="565">
        <f>'[1]Tasa de Falla'!F35</f>
        <v>10.91</v>
      </c>
      <c r="G35" s="608">
        <f>IF('[1]Tasa de Falla'!HM35=0,"",'[1]Tasa de Falla'!HM35)</f>
      </c>
      <c r="H35" s="563">
        <f>IF('[1]Tasa de Falla'!HN35=0,"",'[1]Tasa de Falla'!HN35)</f>
      </c>
      <c r="I35" s="563">
        <f>IF('[1]Tasa de Falla'!HO35=0,"",'[1]Tasa de Falla'!HO35)</f>
      </c>
      <c r="J35" s="563">
        <f>IF('[1]Tasa de Falla'!HP35=0,"",'[1]Tasa de Falla'!HP35)</f>
      </c>
      <c r="K35" s="563">
        <f>IF('[1]Tasa de Falla'!HQ35=0,"",'[1]Tasa de Falla'!HQ35)</f>
      </c>
      <c r="L35" s="563">
        <f>IF('[1]Tasa de Falla'!HR35=0,"",'[1]Tasa de Falla'!HR35)</f>
      </c>
      <c r="M35" s="563">
        <f>IF('[1]Tasa de Falla'!HS35=0,"",'[1]Tasa de Falla'!HS35)</f>
      </c>
      <c r="N35" s="563">
        <f>IF('[1]Tasa de Falla'!HT35=0,"",'[1]Tasa de Falla'!HT35)</f>
      </c>
      <c r="O35" s="563">
        <f>IF('[1]Tasa de Falla'!HU35=0,"",'[1]Tasa de Falla'!HU35)</f>
      </c>
      <c r="P35" s="563">
        <f>IF('[1]Tasa de Falla'!HV35=0,"",'[1]Tasa de Falla'!HV35)</f>
      </c>
      <c r="Q35" s="563">
        <f>IF('[1]Tasa de Falla'!HW35=0,"",'[1]Tasa de Falla'!HW35)</f>
      </c>
      <c r="R35" s="563">
        <f>IF('[1]Tasa de Falla'!HX35=0,"",'[1]Tasa de Falla'!HX35)</f>
      </c>
      <c r="S35" s="566"/>
      <c r="T35" s="564"/>
    </row>
    <row r="36" spans="2:20" s="558" customFormat="1" ht="19.5" customHeight="1">
      <c r="B36" s="559"/>
      <c r="C36" s="565">
        <f>'[1]Tasa de Falla'!C36</f>
        <v>20</v>
      </c>
      <c r="D36" s="565" t="str">
        <f>'[1]Tasa de Falla'!D36</f>
        <v>LIBERTADOR NOA. - PICHANAL</v>
      </c>
      <c r="E36" s="565">
        <f>'[1]Tasa de Falla'!E36</f>
        <v>132</v>
      </c>
      <c r="F36" s="565">
        <f>'[1]Tasa de Falla'!F36</f>
        <v>76</v>
      </c>
      <c r="G36" s="608">
        <f>IF('[1]Tasa de Falla'!HM36=0,"",'[1]Tasa de Falla'!HM36)</f>
      </c>
      <c r="H36" s="563">
        <f>IF('[1]Tasa de Falla'!HN36=0,"",'[1]Tasa de Falla'!HN36)</f>
        <v>2</v>
      </c>
      <c r="I36" s="563">
        <f>IF('[1]Tasa de Falla'!HO36=0,"",'[1]Tasa de Falla'!HO36)</f>
      </c>
      <c r="J36" s="563">
        <f>IF('[1]Tasa de Falla'!HP36=0,"",'[1]Tasa de Falla'!HP36)</f>
        <v>1</v>
      </c>
      <c r="K36" s="563">
        <f>IF('[1]Tasa de Falla'!HQ36=0,"",'[1]Tasa de Falla'!HQ36)</f>
      </c>
      <c r="L36" s="563">
        <f>IF('[1]Tasa de Falla'!HR36=0,"",'[1]Tasa de Falla'!HR36)</f>
      </c>
      <c r="M36" s="563">
        <f>IF('[1]Tasa de Falla'!HS36=0,"",'[1]Tasa de Falla'!HS36)</f>
      </c>
      <c r="N36" s="563">
        <f>IF('[1]Tasa de Falla'!HT36=0,"",'[1]Tasa de Falla'!HT36)</f>
      </c>
      <c r="O36" s="563">
        <f>IF('[1]Tasa de Falla'!HU36=0,"",'[1]Tasa de Falla'!HU36)</f>
      </c>
      <c r="P36" s="563">
        <f>IF('[1]Tasa de Falla'!HV36=0,"",'[1]Tasa de Falla'!HV36)</f>
      </c>
      <c r="Q36" s="563">
        <f>IF('[1]Tasa de Falla'!HW36=0,"",'[1]Tasa de Falla'!HW36)</f>
      </c>
      <c r="R36" s="563">
        <f>IF('[1]Tasa de Falla'!HX36=0,"",'[1]Tasa de Falla'!HX36)</f>
        <v>1</v>
      </c>
      <c r="S36" s="566"/>
      <c r="T36" s="564"/>
    </row>
    <row r="37" spans="2:20" s="558" customFormat="1" ht="19.5" customHeight="1">
      <c r="B37" s="559"/>
      <c r="C37" s="565">
        <f>'[1]Tasa de Falla'!C37</f>
        <v>21</v>
      </c>
      <c r="D37" s="565" t="str">
        <f>'[1]Tasa de Falla'!D37</f>
        <v>GÜEMES - METAN</v>
      </c>
      <c r="E37" s="565">
        <f>'[1]Tasa de Falla'!E37</f>
        <v>132</v>
      </c>
      <c r="F37" s="565">
        <f>'[1]Tasa de Falla'!F37</f>
        <v>97.13</v>
      </c>
      <c r="G37" s="608" t="str">
        <f>IF('[1]Tasa de Falla'!HM37=0,"",'[1]Tasa de Falla'!HM37)</f>
        <v>XXXX</v>
      </c>
      <c r="H37" s="563" t="str">
        <f>IF('[1]Tasa de Falla'!HN37=0,"",'[1]Tasa de Falla'!HN37)</f>
        <v>XXXX</v>
      </c>
      <c r="I37" s="563" t="str">
        <f>IF('[1]Tasa de Falla'!HO37=0,"",'[1]Tasa de Falla'!HO37)</f>
        <v>XXXX</v>
      </c>
      <c r="J37" s="563" t="str">
        <f>IF('[1]Tasa de Falla'!HP37=0,"",'[1]Tasa de Falla'!HP37)</f>
        <v>XXXX</v>
      </c>
      <c r="K37" s="563" t="str">
        <f>IF('[1]Tasa de Falla'!HQ37=0,"",'[1]Tasa de Falla'!HQ37)</f>
        <v>XXXX</v>
      </c>
      <c r="L37" s="563" t="str">
        <f>IF('[1]Tasa de Falla'!HR37=0,"",'[1]Tasa de Falla'!HR37)</f>
        <v>XXXX</v>
      </c>
      <c r="M37" s="563" t="str">
        <f>IF('[1]Tasa de Falla'!HS37=0,"",'[1]Tasa de Falla'!HS37)</f>
        <v>XXXX</v>
      </c>
      <c r="N37" s="563" t="str">
        <f>IF('[1]Tasa de Falla'!HT37=0,"",'[1]Tasa de Falla'!HT37)</f>
        <v>XXXX</v>
      </c>
      <c r="O37" s="563" t="str">
        <f>IF('[1]Tasa de Falla'!HU37=0,"",'[1]Tasa de Falla'!HU37)</f>
        <v>XXXX</v>
      </c>
      <c r="P37" s="563" t="str">
        <f>IF('[1]Tasa de Falla'!HV37=0,"",'[1]Tasa de Falla'!HV37)</f>
        <v>XXXX</v>
      </c>
      <c r="Q37" s="563" t="str">
        <f>IF('[1]Tasa de Falla'!HW37=0,"",'[1]Tasa de Falla'!HW37)</f>
        <v>XXXX</v>
      </c>
      <c r="R37" s="563" t="str">
        <f>IF('[1]Tasa de Falla'!HX37=0,"",'[1]Tasa de Falla'!HX37)</f>
        <v>XXXX</v>
      </c>
      <c r="S37" s="566"/>
      <c r="T37" s="564"/>
    </row>
    <row r="38" spans="2:20" s="558" customFormat="1" ht="19.5" customHeight="1">
      <c r="B38" s="559"/>
      <c r="C38" s="565">
        <f>'[1]Tasa de Falla'!C38</f>
        <v>22</v>
      </c>
      <c r="D38" s="565" t="str">
        <f>'[1]Tasa de Falla'!D38</f>
        <v>MINETTI - SAN JUANCITO</v>
      </c>
      <c r="E38" s="565">
        <f>'[1]Tasa de Falla'!E38</f>
        <v>132</v>
      </c>
      <c r="F38" s="565">
        <f>'[1]Tasa de Falla'!F38</f>
        <v>26</v>
      </c>
      <c r="G38" s="608">
        <f>IF('[1]Tasa de Falla'!HM38=0,"",'[1]Tasa de Falla'!HM38)</f>
        <v>1</v>
      </c>
      <c r="H38" s="563">
        <f>IF('[1]Tasa de Falla'!HN38=0,"",'[1]Tasa de Falla'!HN38)</f>
      </c>
      <c r="I38" s="563">
        <f>IF('[1]Tasa de Falla'!HO38=0,"",'[1]Tasa de Falla'!HO38)</f>
      </c>
      <c r="J38" s="563">
        <f>IF('[1]Tasa de Falla'!HP38=0,"",'[1]Tasa de Falla'!HP38)</f>
      </c>
      <c r="K38" s="563">
        <f>IF('[1]Tasa de Falla'!HQ38=0,"",'[1]Tasa de Falla'!HQ38)</f>
      </c>
      <c r="L38" s="563">
        <f>IF('[1]Tasa de Falla'!HR38=0,"",'[1]Tasa de Falla'!HR38)</f>
      </c>
      <c r="M38" s="563">
        <f>IF('[1]Tasa de Falla'!HS38=0,"",'[1]Tasa de Falla'!HS38)</f>
        <v>1</v>
      </c>
      <c r="N38" s="563">
        <f>IF('[1]Tasa de Falla'!HT38=0,"",'[1]Tasa de Falla'!HT38)</f>
      </c>
      <c r="O38" s="563">
        <f>IF('[1]Tasa de Falla'!HU38=0,"",'[1]Tasa de Falla'!HU38)</f>
      </c>
      <c r="P38" s="563">
        <f>IF('[1]Tasa de Falla'!HV38=0,"",'[1]Tasa de Falla'!HV38)</f>
        <v>1</v>
      </c>
      <c r="Q38" s="563">
        <f>IF('[1]Tasa de Falla'!HW38=0,"",'[1]Tasa de Falla'!HW38)</f>
        <v>2</v>
      </c>
      <c r="R38" s="563">
        <f>IF('[1]Tasa de Falla'!HX38=0,"",'[1]Tasa de Falla'!HX38)</f>
        <v>1</v>
      </c>
      <c r="S38" s="566"/>
      <c r="T38" s="564"/>
    </row>
    <row r="39" spans="2:20" s="558" customFormat="1" ht="18">
      <c r="B39" s="559"/>
      <c r="C39" s="565">
        <f>'[1]Tasa de Falla'!C39</f>
        <v>23</v>
      </c>
      <c r="D39" s="565" t="str">
        <f>'[1]Tasa de Falla'!D39</f>
        <v>PALPALA - JUJUY SUR</v>
      </c>
      <c r="E39" s="565">
        <f>'[1]Tasa de Falla'!E39</f>
        <v>132</v>
      </c>
      <c r="F39" s="565">
        <f>'[1]Tasa de Falla'!F39</f>
        <v>14</v>
      </c>
      <c r="G39" s="608" t="str">
        <f>IF('[1]Tasa de Falla'!HM39=0,"",'[1]Tasa de Falla'!HM39)</f>
        <v>XXXX</v>
      </c>
      <c r="H39" s="563" t="str">
        <f>IF('[1]Tasa de Falla'!HN39=0,"",'[1]Tasa de Falla'!HN39)</f>
        <v>XXXX</v>
      </c>
      <c r="I39" s="563" t="str">
        <f>IF('[1]Tasa de Falla'!HO39=0,"",'[1]Tasa de Falla'!HO39)</f>
        <v>XXXX</v>
      </c>
      <c r="J39" s="563" t="str">
        <f>IF('[1]Tasa de Falla'!HP39=0,"",'[1]Tasa de Falla'!HP39)</f>
        <v>XXXX</v>
      </c>
      <c r="K39" s="563" t="str">
        <f>IF('[1]Tasa de Falla'!HQ39=0,"",'[1]Tasa de Falla'!HQ39)</f>
        <v>XXXX</v>
      </c>
      <c r="L39" s="563" t="str">
        <f>IF('[1]Tasa de Falla'!HR39=0,"",'[1]Tasa de Falla'!HR39)</f>
        <v>XXXX</v>
      </c>
      <c r="M39" s="563" t="str">
        <f>IF('[1]Tasa de Falla'!HS39=0,"",'[1]Tasa de Falla'!HS39)</f>
        <v>XXXX</v>
      </c>
      <c r="N39" s="563" t="str">
        <f>IF('[1]Tasa de Falla'!HT39=0,"",'[1]Tasa de Falla'!HT39)</f>
        <v>XXXX</v>
      </c>
      <c r="O39" s="563" t="str">
        <f>IF('[1]Tasa de Falla'!HU39=0,"",'[1]Tasa de Falla'!HU39)</f>
        <v>XXXX</v>
      </c>
      <c r="P39" s="563" t="str">
        <f>IF('[1]Tasa de Falla'!HV39=0,"",'[1]Tasa de Falla'!HV39)</f>
        <v>XXXX</v>
      </c>
      <c r="Q39" s="563" t="str">
        <f>IF('[1]Tasa de Falla'!HW39=0,"",'[1]Tasa de Falla'!HW39)</f>
        <v>XXXX</v>
      </c>
      <c r="R39" s="563" t="str">
        <f>IF('[1]Tasa de Falla'!HX39=0,"",'[1]Tasa de Falla'!HX39)</f>
        <v>XXXX</v>
      </c>
      <c r="S39" s="566"/>
      <c r="T39" s="564"/>
    </row>
    <row r="40" spans="2:20" s="558" customFormat="1" ht="19.5" customHeight="1">
      <c r="B40" s="559"/>
      <c r="C40" s="565">
        <f>'[1]Tasa de Falla'!C40</f>
        <v>24</v>
      </c>
      <c r="D40" s="565" t="str">
        <f>'[1]Tasa de Falla'!D40</f>
        <v>ORAN - PICHANAL</v>
      </c>
      <c r="E40" s="565">
        <f>'[1]Tasa de Falla'!E40</f>
        <v>132</v>
      </c>
      <c r="F40" s="565">
        <f>'[1]Tasa de Falla'!F40</f>
        <v>17</v>
      </c>
      <c r="G40" s="608" t="str">
        <f>IF('[1]Tasa de Falla'!HM40=0,"",'[1]Tasa de Falla'!HM40)</f>
        <v>XXXX</v>
      </c>
      <c r="H40" s="563" t="str">
        <f>IF('[1]Tasa de Falla'!HN40=0,"",'[1]Tasa de Falla'!HN40)</f>
        <v>XXXX</v>
      </c>
      <c r="I40" s="563" t="str">
        <f>IF('[1]Tasa de Falla'!HO40=0,"",'[1]Tasa de Falla'!HO40)</f>
        <v>XXXX</v>
      </c>
      <c r="J40" s="563" t="str">
        <f>IF('[1]Tasa de Falla'!HP40=0,"",'[1]Tasa de Falla'!HP40)</f>
        <v>XXXX</v>
      </c>
      <c r="K40" s="563" t="str">
        <f>IF('[1]Tasa de Falla'!HQ40=0,"",'[1]Tasa de Falla'!HQ40)</f>
        <v>XXXX</v>
      </c>
      <c r="L40" s="563" t="str">
        <f>IF('[1]Tasa de Falla'!HR40=0,"",'[1]Tasa de Falla'!HR40)</f>
        <v>XXXX</v>
      </c>
      <c r="M40" s="563" t="str">
        <f>IF('[1]Tasa de Falla'!HS40=0,"",'[1]Tasa de Falla'!HS40)</f>
        <v>XXXX</v>
      </c>
      <c r="N40" s="563" t="str">
        <f>IF('[1]Tasa de Falla'!HT40=0,"",'[1]Tasa de Falla'!HT40)</f>
        <v>XXXX</v>
      </c>
      <c r="O40" s="563" t="str">
        <f>IF('[1]Tasa de Falla'!HU40=0,"",'[1]Tasa de Falla'!HU40)</f>
        <v>XXXX</v>
      </c>
      <c r="P40" s="563" t="str">
        <f>IF('[1]Tasa de Falla'!HV40=0,"",'[1]Tasa de Falla'!HV40)</f>
        <v>XXXX</v>
      </c>
      <c r="Q40" s="563" t="str">
        <f>IF('[1]Tasa de Falla'!HW40=0,"",'[1]Tasa de Falla'!HW40)</f>
        <v>XXXX</v>
      </c>
      <c r="R40" s="563" t="str">
        <f>IF('[1]Tasa de Falla'!HX40=0,"",'[1]Tasa de Falla'!HX40)</f>
        <v>XXXX</v>
      </c>
      <c r="S40" s="566"/>
      <c r="T40" s="564"/>
    </row>
    <row r="41" spans="2:20" s="558" customFormat="1" ht="19.5" customHeight="1">
      <c r="B41" s="559"/>
      <c r="C41" s="565">
        <f>'[1]Tasa de Falla'!C41</f>
        <v>25</v>
      </c>
      <c r="D41" s="565" t="str">
        <f>'[1]Tasa de Falla'!D41</f>
        <v>PICHANAL - TARTAGAL</v>
      </c>
      <c r="E41" s="565">
        <f>'[1]Tasa de Falla'!E41</f>
        <v>132</v>
      </c>
      <c r="F41" s="565">
        <f>'[1]Tasa de Falla'!F41</f>
        <v>105</v>
      </c>
      <c r="G41" s="608">
        <f>IF('[1]Tasa de Falla'!HM41=0,"",'[1]Tasa de Falla'!HM41)</f>
      </c>
      <c r="H41" s="563">
        <f>IF('[1]Tasa de Falla'!HN41=0,"",'[1]Tasa de Falla'!HN41)</f>
      </c>
      <c r="I41" s="563">
        <f>IF('[1]Tasa de Falla'!HO41=0,"",'[1]Tasa de Falla'!HO41)</f>
      </c>
      <c r="J41" s="563">
        <f>IF('[1]Tasa de Falla'!HP41=0,"",'[1]Tasa de Falla'!HP41)</f>
      </c>
      <c r="K41" s="563">
        <f>IF('[1]Tasa de Falla'!HQ41=0,"",'[1]Tasa de Falla'!HQ41)</f>
      </c>
      <c r="L41" s="563">
        <f>IF('[1]Tasa de Falla'!HR41=0,"",'[1]Tasa de Falla'!HR41)</f>
        <v>1</v>
      </c>
      <c r="M41" s="563">
        <f>IF('[1]Tasa de Falla'!HS41=0,"",'[1]Tasa de Falla'!HS41)</f>
      </c>
      <c r="N41" s="563">
        <f>IF('[1]Tasa de Falla'!HT41=0,"",'[1]Tasa de Falla'!HT41)</f>
      </c>
      <c r="O41" s="563">
        <f>IF('[1]Tasa de Falla'!HU41=0,"",'[1]Tasa de Falla'!HU41)</f>
      </c>
      <c r="P41" s="563">
        <f>IF('[1]Tasa de Falla'!HV41=0,"",'[1]Tasa de Falla'!HV41)</f>
      </c>
      <c r="Q41" s="563">
        <f>IF('[1]Tasa de Falla'!HW41=0,"",'[1]Tasa de Falla'!HW41)</f>
      </c>
      <c r="R41" s="563">
        <f>IF('[1]Tasa de Falla'!HX41=0,"",'[1]Tasa de Falla'!HX41)</f>
      </c>
      <c r="S41" s="566"/>
      <c r="T41" s="564"/>
    </row>
    <row r="42" spans="2:20" s="558" customFormat="1" ht="19.5" customHeight="1">
      <c r="B42" s="559"/>
      <c r="C42" s="565">
        <f>'[1]Tasa de Falla'!C42</f>
        <v>26</v>
      </c>
      <c r="D42" s="565" t="str">
        <f>'[1]Tasa de Falla'!D42</f>
        <v>C.H. RIO HONDO - LA BANDA</v>
      </c>
      <c r="E42" s="565">
        <f>'[1]Tasa de Falla'!E42</f>
        <v>132</v>
      </c>
      <c r="F42" s="565">
        <f>'[1]Tasa de Falla'!F42</f>
        <v>76.5</v>
      </c>
      <c r="G42" s="608">
        <f>IF('[1]Tasa de Falla'!HM42=0,"",'[1]Tasa de Falla'!HM42)</f>
      </c>
      <c r="H42" s="563">
        <f>IF('[1]Tasa de Falla'!HN42=0,"",'[1]Tasa de Falla'!HN42)</f>
      </c>
      <c r="I42" s="563">
        <f>IF('[1]Tasa de Falla'!HO42=0,"",'[1]Tasa de Falla'!HO42)</f>
      </c>
      <c r="J42" s="563">
        <f>IF('[1]Tasa de Falla'!HP42=0,"",'[1]Tasa de Falla'!HP42)</f>
        <v>1</v>
      </c>
      <c r="K42" s="563">
        <f>IF('[1]Tasa de Falla'!HQ42=0,"",'[1]Tasa de Falla'!HQ42)</f>
        <v>1</v>
      </c>
      <c r="L42" s="563">
        <f>IF('[1]Tasa de Falla'!HR42=0,"",'[1]Tasa de Falla'!HR42)</f>
      </c>
      <c r="M42" s="563">
        <f>IF('[1]Tasa de Falla'!HS42=0,"",'[1]Tasa de Falla'!HS42)</f>
        <v>1</v>
      </c>
      <c r="N42" s="563">
        <f>IF('[1]Tasa de Falla'!HT42=0,"",'[1]Tasa de Falla'!HT42)</f>
      </c>
      <c r="O42" s="563">
        <f>IF('[1]Tasa de Falla'!HU42=0,"",'[1]Tasa de Falla'!HU42)</f>
      </c>
      <c r="P42" s="563">
        <f>IF('[1]Tasa de Falla'!HV42=0,"",'[1]Tasa de Falla'!HV42)</f>
        <v>1</v>
      </c>
      <c r="Q42" s="563">
        <f>IF('[1]Tasa de Falla'!HW42=0,"",'[1]Tasa de Falla'!HW42)</f>
      </c>
      <c r="R42" s="563">
        <f>IF('[1]Tasa de Falla'!HX42=0,"",'[1]Tasa de Falla'!HX42)</f>
      </c>
      <c r="S42" s="566"/>
      <c r="T42" s="564"/>
    </row>
    <row r="43" spans="2:20" s="558" customFormat="1" ht="18">
      <c r="B43" s="559"/>
      <c r="C43" s="565">
        <f>'[1]Tasa de Falla'!C43</f>
        <v>27</v>
      </c>
      <c r="D43" s="565" t="str">
        <f>'[1]Tasa de Falla'!D43</f>
        <v>LA RIOJA - RECREO  2</v>
      </c>
      <c r="E43" s="565">
        <f>'[1]Tasa de Falla'!E43</f>
        <v>132</v>
      </c>
      <c r="F43" s="565">
        <f>'[1]Tasa de Falla'!F43</f>
        <v>220</v>
      </c>
      <c r="G43" s="608" t="str">
        <f>IF('[1]Tasa de Falla'!HM43=0,"",'[1]Tasa de Falla'!HM43)</f>
        <v>XXXX</v>
      </c>
      <c r="H43" s="563" t="str">
        <f>IF('[1]Tasa de Falla'!HN43=0,"",'[1]Tasa de Falla'!HN43)</f>
        <v>XXXX</v>
      </c>
      <c r="I43" s="563" t="str">
        <f>IF('[1]Tasa de Falla'!HO43=0,"",'[1]Tasa de Falla'!HO43)</f>
        <v>XXXX</v>
      </c>
      <c r="J43" s="563" t="str">
        <f>IF('[1]Tasa de Falla'!HP43=0,"",'[1]Tasa de Falla'!HP43)</f>
        <v>XXXX</v>
      </c>
      <c r="K43" s="563" t="str">
        <f>IF('[1]Tasa de Falla'!HQ43=0,"",'[1]Tasa de Falla'!HQ43)</f>
        <v>XXXX</v>
      </c>
      <c r="L43" s="563" t="str">
        <f>IF('[1]Tasa de Falla'!HR43=0,"",'[1]Tasa de Falla'!HR43)</f>
        <v>XXXX</v>
      </c>
      <c r="M43" s="563" t="str">
        <f>IF('[1]Tasa de Falla'!HS43=0,"",'[1]Tasa de Falla'!HS43)</f>
        <v>XXXX</v>
      </c>
      <c r="N43" s="563" t="str">
        <f>IF('[1]Tasa de Falla'!HT43=0,"",'[1]Tasa de Falla'!HT43)</f>
        <v>XXXX</v>
      </c>
      <c r="O43" s="563" t="str">
        <f>IF('[1]Tasa de Falla'!HU43=0,"",'[1]Tasa de Falla'!HU43)</f>
        <v>XXXX</v>
      </c>
      <c r="P43" s="563" t="str">
        <f>IF('[1]Tasa de Falla'!HV43=0,"",'[1]Tasa de Falla'!HV43)</f>
        <v>XXXX</v>
      </c>
      <c r="Q43" s="563" t="str">
        <f>IF('[1]Tasa de Falla'!HW43=0,"",'[1]Tasa de Falla'!HW43)</f>
        <v>XXXX</v>
      </c>
      <c r="R43" s="563" t="str">
        <f>IF('[1]Tasa de Falla'!HX43=0,"",'[1]Tasa de Falla'!HX43)</f>
        <v>XXXX</v>
      </c>
      <c r="S43" s="566"/>
      <c r="T43" s="564"/>
    </row>
    <row r="44" spans="2:20" s="558" customFormat="1" ht="19.5" customHeight="1">
      <c r="B44" s="559"/>
      <c r="C44" s="565">
        <f>'[1]Tasa de Falla'!C44</f>
        <v>28</v>
      </c>
      <c r="D44" s="565" t="str">
        <f>'[1]Tasa de Falla'!D44</f>
        <v>CAMPO SANTO - SALTA SUR</v>
      </c>
      <c r="E44" s="565">
        <f>'[1]Tasa de Falla'!E44</f>
        <v>132</v>
      </c>
      <c r="F44" s="565">
        <f>'[1]Tasa de Falla'!F44</f>
        <v>40.92</v>
      </c>
      <c r="G44" s="608" t="str">
        <f>IF('[1]Tasa de Falla'!HM44=0,"",'[1]Tasa de Falla'!HM44)</f>
        <v>XXXX</v>
      </c>
      <c r="H44" s="563" t="str">
        <f>IF('[1]Tasa de Falla'!HN44=0,"",'[1]Tasa de Falla'!HN44)</f>
        <v>XXXX</v>
      </c>
      <c r="I44" s="563" t="str">
        <f>IF('[1]Tasa de Falla'!HO44=0,"",'[1]Tasa de Falla'!HO44)</f>
        <v>XXXX</v>
      </c>
      <c r="J44" s="563" t="str">
        <f>IF('[1]Tasa de Falla'!HP44=0,"",'[1]Tasa de Falla'!HP44)</f>
        <v>XXXX</v>
      </c>
      <c r="K44" s="563" t="str">
        <f>IF('[1]Tasa de Falla'!HQ44=0,"",'[1]Tasa de Falla'!HQ44)</f>
        <v>XXXX</v>
      </c>
      <c r="L44" s="563" t="str">
        <f>IF('[1]Tasa de Falla'!HR44=0,"",'[1]Tasa de Falla'!HR44)</f>
        <v>XXXX</v>
      </c>
      <c r="M44" s="563" t="str">
        <f>IF('[1]Tasa de Falla'!HS44=0,"",'[1]Tasa de Falla'!HS44)</f>
        <v>XXXX</v>
      </c>
      <c r="N44" s="563" t="str">
        <f>IF('[1]Tasa de Falla'!HT44=0,"",'[1]Tasa de Falla'!HT44)</f>
        <v>XXXX</v>
      </c>
      <c r="O44" s="563" t="str">
        <f>IF('[1]Tasa de Falla'!HU44=0,"",'[1]Tasa de Falla'!HU44)</f>
        <v>XXXX</v>
      </c>
      <c r="P44" s="563" t="str">
        <f>IF('[1]Tasa de Falla'!HV44=0,"",'[1]Tasa de Falla'!HV44)</f>
        <v>XXXX</v>
      </c>
      <c r="Q44" s="563" t="str">
        <f>IF('[1]Tasa de Falla'!HW44=0,"",'[1]Tasa de Falla'!HW44)</f>
        <v>XXXX</v>
      </c>
      <c r="R44" s="563" t="str">
        <f>IF('[1]Tasa de Falla'!HX44=0,"",'[1]Tasa de Falla'!HX44)</f>
        <v>XXXX</v>
      </c>
      <c r="S44" s="566"/>
      <c r="T44" s="564"/>
    </row>
    <row r="45" spans="2:20" s="558" customFormat="1" ht="19.5" customHeight="1">
      <c r="B45" s="559"/>
      <c r="C45" s="565">
        <f>'[1]Tasa de Falla'!C45</f>
        <v>29</v>
      </c>
      <c r="D45" s="565" t="str">
        <f>'[1]Tasa de Falla'!D45</f>
        <v>PALPALA - SAN JUANCITO</v>
      </c>
      <c r="E45" s="565">
        <f>'[1]Tasa de Falla'!E45</f>
        <v>132</v>
      </c>
      <c r="F45" s="565">
        <f>'[1]Tasa de Falla'!F45</f>
        <v>23.9</v>
      </c>
      <c r="G45" s="608">
        <f>IF('[1]Tasa de Falla'!HM45=0,"",'[1]Tasa de Falla'!HM45)</f>
        <v>1</v>
      </c>
      <c r="H45" s="563">
        <f>IF('[1]Tasa de Falla'!HN45=0,"",'[1]Tasa de Falla'!HN45)</f>
      </c>
      <c r="I45" s="563">
        <f>IF('[1]Tasa de Falla'!HO45=0,"",'[1]Tasa de Falla'!HO45)</f>
      </c>
      <c r="J45" s="563">
        <f>IF('[1]Tasa de Falla'!HP45=0,"",'[1]Tasa de Falla'!HP45)</f>
        <v>1</v>
      </c>
      <c r="K45" s="563">
        <f>IF('[1]Tasa de Falla'!HQ45=0,"",'[1]Tasa de Falla'!HQ45)</f>
      </c>
      <c r="L45" s="563">
        <f>IF('[1]Tasa de Falla'!HR45=0,"",'[1]Tasa de Falla'!HR45)</f>
        <v>1</v>
      </c>
      <c r="M45" s="563">
        <f>IF('[1]Tasa de Falla'!HS45=0,"",'[1]Tasa de Falla'!HS45)</f>
      </c>
      <c r="N45" s="563">
        <f>IF('[1]Tasa de Falla'!HT45=0,"",'[1]Tasa de Falla'!HT45)</f>
      </c>
      <c r="O45" s="563">
        <f>IF('[1]Tasa de Falla'!HU45=0,"",'[1]Tasa de Falla'!HU45)</f>
        <v>1</v>
      </c>
      <c r="P45" s="563">
        <f>IF('[1]Tasa de Falla'!HV45=0,"",'[1]Tasa de Falla'!HV45)</f>
      </c>
      <c r="Q45" s="563">
        <f>IF('[1]Tasa de Falla'!HW45=0,"",'[1]Tasa de Falla'!HW45)</f>
        <v>2</v>
      </c>
      <c r="R45" s="563">
        <f>IF('[1]Tasa de Falla'!HX45=0,"",'[1]Tasa de Falla'!HX45)</f>
      </c>
      <c r="S45" s="566"/>
      <c r="T45" s="564"/>
    </row>
    <row r="46" spans="2:20" s="558" customFormat="1" ht="19.5" customHeight="1">
      <c r="B46" s="559"/>
      <c r="C46" s="565">
        <f>'[1]Tasa de Falla'!C46</f>
        <v>30</v>
      </c>
      <c r="D46" s="565" t="str">
        <f>'[1]Tasa de Falla'!D46</f>
        <v>SAN JUANCITO - SAN PEDRO JUJUY</v>
      </c>
      <c r="E46" s="565">
        <f>'[1]Tasa de Falla'!E46</f>
        <v>132</v>
      </c>
      <c r="F46" s="565">
        <f>'[1]Tasa de Falla'!F46</f>
        <v>27</v>
      </c>
      <c r="G46" s="608">
        <f>IF('[1]Tasa de Falla'!HM46=0,"",'[1]Tasa de Falla'!HM46)</f>
      </c>
      <c r="H46" s="563">
        <f>IF('[1]Tasa de Falla'!HN46=0,"",'[1]Tasa de Falla'!HN46)</f>
      </c>
      <c r="I46" s="563">
        <f>IF('[1]Tasa de Falla'!HO46=0,"",'[1]Tasa de Falla'!HO46)</f>
      </c>
      <c r="J46" s="563">
        <f>IF('[1]Tasa de Falla'!HP46=0,"",'[1]Tasa de Falla'!HP46)</f>
      </c>
      <c r="K46" s="563">
        <f>IF('[1]Tasa de Falla'!HQ46=0,"",'[1]Tasa de Falla'!HQ46)</f>
        <v>2</v>
      </c>
      <c r="L46" s="563">
        <f>IF('[1]Tasa de Falla'!HR46=0,"",'[1]Tasa de Falla'!HR46)</f>
      </c>
      <c r="M46" s="563">
        <f>IF('[1]Tasa de Falla'!HS46=0,"",'[1]Tasa de Falla'!HS46)</f>
      </c>
      <c r="N46" s="563">
        <f>IF('[1]Tasa de Falla'!HT46=0,"",'[1]Tasa de Falla'!HT46)</f>
        <v>1</v>
      </c>
      <c r="O46" s="563">
        <f>IF('[1]Tasa de Falla'!HU46=0,"",'[1]Tasa de Falla'!HU46)</f>
        <v>1</v>
      </c>
      <c r="P46" s="563">
        <f>IF('[1]Tasa de Falla'!HV46=0,"",'[1]Tasa de Falla'!HV46)</f>
      </c>
      <c r="Q46" s="563">
        <f>IF('[1]Tasa de Falla'!HW46=0,"",'[1]Tasa de Falla'!HW46)</f>
      </c>
      <c r="R46" s="563">
        <f>IF('[1]Tasa de Falla'!HX46=0,"",'[1]Tasa de Falla'!HX46)</f>
        <v>2</v>
      </c>
      <c r="S46" s="566"/>
      <c r="T46" s="564"/>
    </row>
    <row r="47" spans="2:20" s="558" customFormat="1" ht="18">
      <c r="B47" s="559"/>
      <c r="C47" s="565">
        <f>'[1]Tasa de Falla'!C47</f>
        <v>31</v>
      </c>
      <c r="D47" s="565" t="str">
        <f>'[1]Tasa de Falla'!D47</f>
        <v>SAN MARTIN - CATAMARCA</v>
      </c>
      <c r="E47" s="565">
        <f>'[1]Tasa de Falla'!E47</f>
        <v>132</v>
      </c>
      <c r="F47" s="565">
        <f>'[1]Tasa de Falla'!F47</f>
        <v>88</v>
      </c>
      <c r="G47" s="608" t="str">
        <f>IF('[1]Tasa de Falla'!HM47=0,"",'[1]Tasa de Falla'!HM47)</f>
        <v>XXXX</v>
      </c>
      <c r="H47" s="563" t="str">
        <f>IF('[1]Tasa de Falla'!HN47=0,"",'[1]Tasa de Falla'!HN47)</f>
        <v>XXXX</v>
      </c>
      <c r="I47" s="563" t="str">
        <f>IF('[1]Tasa de Falla'!HO47=0,"",'[1]Tasa de Falla'!HO47)</f>
        <v>XXXX</v>
      </c>
      <c r="J47" s="563" t="str">
        <f>IF('[1]Tasa de Falla'!HP47=0,"",'[1]Tasa de Falla'!HP47)</f>
        <v>XXXX</v>
      </c>
      <c r="K47" s="563" t="str">
        <f>IF('[1]Tasa de Falla'!HQ47=0,"",'[1]Tasa de Falla'!HQ47)</f>
        <v>XXXX</v>
      </c>
      <c r="L47" s="563" t="str">
        <f>IF('[1]Tasa de Falla'!HR47=0,"",'[1]Tasa de Falla'!HR47)</f>
        <v>XXXX</v>
      </c>
      <c r="M47" s="563" t="str">
        <f>IF('[1]Tasa de Falla'!HS47=0,"",'[1]Tasa de Falla'!HS47)</f>
        <v>XXXX</v>
      </c>
      <c r="N47" s="563" t="str">
        <f>IF('[1]Tasa de Falla'!HT47=0,"",'[1]Tasa de Falla'!HT47)</f>
        <v>XXXX</v>
      </c>
      <c r="O47" s="563" t="str">
        <f>IF('[1]Tasa de Falla'!HU47=0,"",'[1]Tasa de Falla'!HU47)</f>
        <v>XXXX</v>
      </c>
      <c r="P47" s="563" t="str">
        <f>IF('[1]Tasa de Falla'!HV47=0,"",'[1]Tasa de Falla'!HV47)</f>
        <v>XXXX</v>
      </c>
      <c r="Q47" s="563" t="str">
        <f>IF('[1]Tasa de Falla'!HW47=0,"",'[1]Tasa de Falla'!HW47)</f>
        <v>XXXX</v>
      </c>
      <c r="R47" s="563" t="str">
        <f>IF('[1]Tasa de Falla'!HX47=0,"",'[1]Tasa de Falla'!HX47)</f>
        <v>XXXX</v>
      </c>
      <c r="S47" s="566"/>
      <c r="T47" s="564"/>
    </row>
    <row r="48" spans="2:20" s="558" customFormat="1" ht="18">
      <c r="B48" s="559"/>
      <c r="C48" s="565">
        <f>'[1]Tasa de Falla'!C48</f>
        <v>32</v>
      </c>
      <c r="D48" s="565" t="str">
        <f>'[1]Tasa de Falla'!D48</f>
        <v>SAN MARTIN - RECREO</v>
      </c>
      <c r="E48" s="565">
        <f>'[1]Tasa de Falla'!E48</f>
        <v>132</v>
      </c>
      <c r="F48" s="565">
        <f>'[1]Tasa de Falla'!F48</f>
        <v>115</v>
      </c>
      <c r="G48" s="608" t="str">
        <f>IF('[1]Tasa de Falla'!HM48=0,"",'[1]Tasa de Falla'!HM48)</f>
        <v>XXXX</v>
      </c>
      <c r="H48" s="563" t="str">
        <f>IF('[1]Tasa de Falla'!HN48=0,"",'[1]Tasa de Falla'!HN48)</f>
        <v>XXXX</v>
      </c>
      <c r="I48" s="563" t="str">
        <f>IF('[1]Tasa de Falla'!HO48=0,"",'[1]Tasa de Falla'!HO48)</f>
        <v>XXXX</v>
      </c>
      <c r="J48" s="563" t="str">
        <f>IF('[1]Tasa de Falla'!HP48=0,"",'[1]Tasa de Falla'!HP48)</f>
        <v>XXXX</v>
      </c>
      <c r="K48" s="563" t="str">
        <f>IF('[1]Tasa de Falla'!HQ48=0,"",'[1]Tasa de Falla'!HQ48)</f>
        <v>XXXX</v>
      </c>
      <c r="L48" s="563" t="str">
        <f>IF('[1]Tasa de Falla'!HR48=0,"",'[1]Tasa de Falla'!HR48)</f>
        <v>XXXX</v>
      </c>
      <c r="M48" s="563" t="str">
        <f>IF('[1]Tasa de Falla'!HS48=0,"",'[1]Tasa de Falla'!HS48)</f>
        <v>XXXX</v>
      </c>
      <c r="N48" s="563" t="str">
        <f>IF('[1]Tasa de Falla'!HT48=0,"",'[1]Tasa de Falla'!HT48)</f>
        <v>XXXX</v>
      </c>
      <c r="O48" s="563" t="str">
        <f>IF('[1]Tasa de Falla'!HU48=0,"",'[1]Tasa de Falla'!HU48)</f>
        <v>XXXX</v>
      </c>
      <c r="P48" s="563" t="str">
        <f>IF('[1]Tasa de Falla'!HV48=0,"",'[1]Tasa de Falla'!HV48)</f>
        <v>XXXX</v>
      </c>
      <c r="Q48" s="563" t="str">
        <f>IF('[1]Tasa de Falla'!HW48=0,"",'[1]Tasa de Falla'!HW48)</f>
        <v>XXXX</v>
      </c>
      <c r="R48" s="563" t="str">
        <f>IF('[1]Tasa de Falla'!HX48=0,"",'[1]Tasa de Falla'!HX48)</f>
        <v>XXXX</v>
      </c>
      <c r="S48" s="566"/>
      <c r="T48" s="564"/>
    </row>
    <row r="49" spans="2:20" s="558" customFormat="1" ht="18">
      <c r="B49" s="559"/>
      <c r="C49" s="565">
        <f>'[1]Tasa de Falla'!C49</f>
        <v>33</v>
      </c>
      <c r="D49" s="565" t="str">
        <f>'[1]Tasa de Falla'!D49</f>
        <v>SAN MARTIN C. - LA RIOJA</v>
      </c>
      <c r="E49" s="565">
        <f>'[1]Tasa de Falla'!E49</f>
        <v>132</v>
      </c>
      <c r="F49" s="565">
        <f>'[1]Tasa de Falla'!F49</f>
        <v>105</v>
      </c>
      <c r="G49" s="608" t="str">
        <f>IF('[1]Tasa de Falla'!HM49=0,"",'[1]Tasa de Falla'!HM49)</f>
        <v>XXXX</v>
      </c>
      <c r="H49" s="563" t="str">
        <f>IF('[1]Tasa de Falla'!HN49=0,"",'[1]Tasa de Falla'!HN49)</f>
        <v>XXXX</v>
      </c>
      <c r="I49" s="563" t="str">
        <f>IF('[1]Tasa de Falla'!HO49=0,"",'[1]Tasa de Falla'!HO49)</f>
        <v>XXXX</v>
      </c>
      <c r="J49" s="563" t="str">
        <f>IF('[1]Tasa de Falla'!HP49=0,"",'[1]Tasa de Falla'!HP49)</f>
        <v>XXXX</v>
      </c>
      <c r="K49" s="563" t="str">
        <f>IF('[1]Tasa de Falla'!HQ49=0,"",'[1]Tasa de Falla'!HQ49)</f>
        <v>XXXX</v>
      </c>
      <c r="L49" s="563" t="str">
        <f>IF('[1]Tasa de Falla'!HR49=0,"",'[1]Tasa de Falla'!HR49)</f>
        <v>XXXX</v>
      </c>
      <c r="M49" s="563" t="str">
        <f>IF('[1]Tasa de Falla'!HS49=0,"",'[1]Tasa de Falla'!HS49)</f>
        <v>XXXX</v>
      </c>
      <c r="N49" s="563" t="str">
        <f>IF('[1]Tasa de Falla'!HT49=0,"",'[1]Tasa de Falla'!HT49)</f>
        <v>XXXX</v>
      </c>
      <c r="O49" s="563" t="str">
        <f>IF('[1]Tasa de Falla'!HU49=0,"",'[1]Tasa de Falla'!HU49)</f>
        <v>XXXX</v>
      </c>
      <c r="P49" s="563" t="str">
        <f>IF('[1]Tasa de Falla'!HV49=0,"",'[1]Tasa de Falla'!HV49)</f>
        <v>XXXX</v>
      </c>
      <c r="Q49" s="563" t="str">
        <f>IF('[1]Tasa de Falla'!HW49=0,"",'[1]Tasa de Falla'!HW49)</f>
        <v>XXXX</v>
      </c>
      <c r="R49" s="563" t="str">
        <f>IF('[1]Tasa de Falla'!HX49=0,"",'[1]Tasa de Falla'!HX49)</f>
        <v>XXXX</v>
      </c>
      <c r="S49" s="566"/>
      <c r="T49" s="564"/>
    </row>
    <row r="50" spans="2:20" s="558" customFormat="1" ht="19.5" customHeight="1">
      <c r="B50" s="559"/>
      <c r="C50" s="565">
        <f>'[1]Tasa de Falla'!C50</f>
        <v>34</v>
      </c>
      <c r="D50" s="565" t="str">
        <f>'[1]Tasa de Falla'!D50</f>
        <v>SAN PEDRO JUJUY - LIBERTADOR NOA.</v>
      </c>
      <c r="E50" s="565">
        <f>'[1]Tasa de Falla'!E50</f>
        <v>132</v>
      </c>
      <c r="F50" s="565">
        <f>'[1]Tasa de Falla'!F50</f>
        <v>49</v>
      </c>
      <c r="G50" s="608">
        <f>IF('[1]Tasa de Falla'!HM50=0,"",'[1]Tasa de Falla'!HM50)</f>
      </c>
      <c r="H50" s="563">
        <f>IF('[1]Tasa de Falla'!HN50=0,"",'[1]Tasa de Falla'!HN50)</f>
      </c>
      <c r="I50" s="563">
        <f>IF('[1]Tasa de Falla'!HO50=0,"",'[1]Tasa de Falla'!HO50)</f>
      </c>
      <c r="J50" s="563">
        <f>IF('[1]Tasa de Falla'!HP50=0,"",'[1]Tasa de Falla'!HP50)</f>
      </c>
      <c r="K50" s="563">
        <f>IF('[1]Tasa de Falla'!HQ50=0,"",'[1]Tasa de Falla'!HQ50)</f>
      </c>
      <c r="L50" s="563">
        <f>IF('[1]Tasa de Falla'!HR50=0,"",'[1]Tasa de Falla'!HR50)</f>
        <v>1</v>
      </c>
      <c r="M50" s="563">
        <f>IF('[1]Tasa de Falla'!HS50=0,"",'[1]Tasa de Falla'!HS50)</f>
      </c>
      <c r="N50" s="563">
        <f>IF('[1]Tasa de Falla'!HT50=0,"",'[1]Tasa de Falla'!HT50)</f>
        <v>1</v>
      </c>
      <c r="O50" s="563">
        <f>IF('[1]Tasa de Falla'!HU50=0,"",'[1]Tasa de Falla'!HU50)</f>
      </c>
      <c r="P50" s="563">
        <f>IF('[1]Tasa de Falla'!HV50=0,"",'[1]Tasa de Falla'!HV50)</f>
      </c>
      <c r="Q50" s="563">
        <f>IF('[1]Tasa de Falla'!HW50=0,"",'[1]Tasa de Falla'!HW50)</f>
      </c>
      <c r="R50" s="563">
        <f>IF('[1]Tasa de Falla'!HX50=0,"",'[1]Tasa de Falla'!HX50)</f>
      </c>
      <c r="S50" s="566"/>
      <c r="T50" s="564"/>
    </row>
    <row r="51" spans="2:20" s="558" customFormat="1" ht="19.5" customHeight="1">
      <c r="B51" s="559"/>
      <c r="C51" s="565">
        <f>'[1]Tasa de Falla'!C51</f>
        <v>35</v>
      </c>
      <c r="D51" s="565" t="str">
        <f>'[1]Tasa de Falla'!D51</f>
        <v>TUCUMAN NORTE - EL BRACHO</v>
      </c>
      <c r="E51" s="565">
        <f>'[1]Tasa de Falla'!E51</f>
        <v>132</v>
      </c>
      <c r="F51" s="565">
        <f>'[1]Tasa de Falla'!F51</f>
        <v>31.5</v>
      </c>
      <c r="G51" s="608">
        <f>IF('[1]Tasa de Falla'!HM51=0,"",'[1]Tasa de Falla'!HM51)</f>
      </c>
      <c r="H51" s="563">
        <f>IF('[1]Tasa de Falla'!HN51=0,"",'[1]Tasa de Falla'!HN51)</f>
      </c>
      <c r="I51" s="563">
        <f>IF('[1]Tasa de Falla'!HO51=0,"",'[1]Tasa de Falla'!HO51)</f>
      </c>
      <c r="J51" s="563">
        <f>IF('[1]Tasa de Falla'!HP51=0,"",'[1]Tasa de Falla'!HP51)</f>
      </c>
      <c r="K51" s="563">
        <f>IF('[1]Tasa de Falla'!HQ51=0,"",'[1]Tasa de Falla'!HQ51)</f>
      </c>
      <c r="L51" s="563">
        <f>IF('[1]Tasa de Falla'!HR51=0,"",'[1]Tasa de Falla'!HR51)</f>
      </c>
      <c r="M51" s="563">
        <f>IF('[1]Tasa de Falla'!HS51=0,"",'[1]Tasa de Falla'!HS51)</f>
      </c>
      <c r="N51" s="563">
        <f>IF('[1]Tasa de Falla'!HT51=0,"",'[1]Tasa de Falla'!HT51)</f>
      </c>
      <c r="O51" s="563">
        <f>IF('[1]Tasa de Falla'!HU51=0,"",'[1]Tasa de Falla'!HU51)</f>
      </c>
      <c r="P51" s="563">
        <f>IF('[1]Tasa de Falla'!HV51=0,"",'[1]Tasa de Falla'!HV51)</f>
      </c>
      <c r="Q51" s="563">
        <f>IF('[1]Tasa de Falla'!HW51=0,"",'[1]Tasa de Falla'!HW51)</f>
      </c>
      <c r="R51" s="563">
        <f>IF('[1]Tasa de Falla'!HX51=0,"",'[1]Tasa de Falla'!HX51)</f>
      </c>
      <c r="S51" s="566"/>
      <c r="T51" s="564"/>
    </row>
    <row r="52" spans="2:20" s="558" customFormat="1" ht="19.5" customHeight="1">
      <c r="B52" s="559"/>
      <c r="C52" s="565">
        <f>'[1]Tasa de Falla'!C52</f>
        <v>36</v>
      </c>
      <c r="D52" s="565" t="str">
        <f>'[1]Tasa de Falla'!D52</f>
        <v>C.H. EL CADILLAL - TUCUMAN NORTE</v>
      </c>
      <c r="E52" s="565">
        <f>'[1]Tasa de Falla'!E52</f>
        <v>132</v>
      </c>
      <c r="F52" s="565">
        <f>'[1]Tasa de Falla'!F52</f>
        <v>21.78</v>
      </c>
      <c r="G52" s="608">
        <f>IF('[1]Tasa de Falla'!HM52=0,"",'[1]Tasa de Falla'!HM52)</f>
      </c>
      <c r="H52" s="563">
        <f>IF('[1]Tasa de Falla'!HN52=0,"",'[1]Tasa de Falla'!HN52)</f>
      </c>
      <c r="I52" s="563">
        <f>IF('[1]Tasa de Falla'!HO52=0,"",'[1]Tasa de Falla'!HO52)</f>
      </c>
      <c r="J52" s="563">
        <f>IF('[1]Tasa de Falla'!HP52=0,"",'[1]Tasa de Falla'!HP52)</f>
      </c>
      <c r="K52" s="563">
        <f>IF('[1]Tasa de Falla'!HQ52=0,"",'[1]Tasa de Falla'!HQ52)</f>
      </c>
      <c r="L52" s="563">
        <f>IF('[1]Tasa de Falla'!HR52=0,"",'[1]Tasa de Falla'!HR52)</f>
      </c>
      <c r="M52" s="563">
        <f>IF('[1]Tasa de Falla'!HS52=0,"",'[1]Tasa de Falla'!HS52)</f>
      </c>
      <c r="N52" s="563">
        <f>IF('[1]Tasa de Falla'!HT52=0,"",'[1]Tasa de Falla'!HT52)</f>
      </c>
      <c r="O52" s="563">
        <f>IF('[1]Tasa de Falla'!HU52=0,"",'[1]Tasa de Falla'!HU52)</f>
      </c>
      <c r="P52" s="563">
        <f>IF('[1]Tasa de Falla'!HV52=0,"",'[1]Tasa de Falla'!HV52)</f>
        <v>1</v>
      </c>
      <c r="Q52" s="563">
        <f>IF('[1]Tasa de Falla'!HW52=0,"",'[1]Tasa de Falla'!HW52)</f>
      </c>
      <c r="R52" s="563">
        <f>IF('[1]Tasa de Falla'!HX52=0,"",'[1]Tasa de Falla'!HX52)</f>
        <v>1</v>
      </c>
      <c r="S52" s="566"/>
      <c r="T52" s="564"/>
    </row>
    <row r="53" spans="2:20" s="558" customFormat="1" ht="19.5" customHeight="1">
      <c r="B53" s="559"/>
      <c r="C53" s="565">
        <f>'[1]Tasa de Falla'!C53</f>
        <v>37</v>
      </c>
      <c r="D53" s="565" t="str">
        <f>'[1]Tasa de Falla'!D53</f>
        <v>TUCUMAN NORTE - CABRA CORRAL</v>
      </c>
      <c r="E53" s="565">
        <f>'[1]Tasa de Falla'!E53</f>
        <v>132</v>
      </c>
      <c r="F53" s="565">
        <f>'[1]Tasa de Falla'!F53</f>
        <v>190</v>
      </c>
      <c r="G53" s="608" t="str">
        <f>IF('[1]Tasa de Falla'!HM53=0,"",'[1]Tasa de Falla'!HM53)</f>
        <v>XXXX</v>
      </c>
      <c r="H53" s="563" t="str">
        <f>IF('[1]Tasa de Falla'!HN53=0,"",'[1]Tasa de Falla'!HN53)</f>
        <v>XXXX</v>
      </c>
      <c r="I53" s="563" t="str">
        <f>IF('[1]Tasa de Falla'!HO53=0,"",'[1]Tasa de Falla'!HO53)</f>
        <v>XXXX</v>
      </c>
      <c r="J53" s="563" t="str">
        <f>IF('[1]Tasa de Falla'!HP53=0,"",'[1]Tasa de Falla'!HP53)</f>
        <v>XXXX</v>
      </c>
      <c r="K53" s="563" t="str">
        <f>IF('[1]Tasa de Falla'!HQ53=0,"",'[1]Tasa de Falla'!HQ53)</f>
        <v>XXXX</v>
      </c>
      <c r="L53" s="563" t="str">
        <f>IF('[1]Tasa de Falla'!HR53=0,"",'[1]Tasa de Falla'!HR53)</f>
        <v>XXXX</v>
      </c>
      <c r="M53" s="563" t="str">
        <f>IF('[1]Tasa de Falla'!HS53=0,"",'[1]Tasa de Falla'!HS53)</f>
        <v>XXXX</v>
      </c>
      <c r="N53" s="563" t="str">
        <f>IF('[1]Tasa de Falla'!HT53=0,"",'[1]Tasa de Falla'!HT53)</f>
        <v>XXXX</v>
      </c>
      <c r="O53" s="563" t="str">
        <f>IF('[1]Tasa de Falla'!HU53=0,"",'[1]Tasa de Falla'!HU53)</f>
        <v>XXXX</v>
      </c>
      <c r="P53" s="563" t="str">
        <f>IF('[1]Tasa de Falla'!HV53=0,"",'[1]Tasa de Falla'!HV53)</f>
        <v>XXXX</v>
      </c>
      <c r="Q53" s="563" t="str">
        <f>IF('[1]Tasa de Falla'!HW53=0,"",'[1]Tasa de Falla'!HW53)</f>
        <v>XXXX</v>
      </c>
      <c r="R53" s="563" t="str">
        <f>IF('[1]Tasa de Falla'!HX53=0,"",'[1]Tasa de Falla'!HX53)</f>
        <v>XXXX</v>
      </c>
      <c r="S53" s="566"/>
      <c r="T53" s="564"/>
    </row>
    <row r="54" spans="2:20" s="558" customFormat="1" ht="19.5" customHeight="1">
      <c r="B54" s="559"/>
      <c r="C54" s="565">
        <f>'[1]Tasa de Falla'!C54</f>
        <v>38</v>
      </c>
      <c r="D54" s="565" t="str">
        <f>'[1]Tasa de Falla'!D54</f>
        <v>METAN - TUCUMAN NORTE</v>
      </c>
      <c r="E54" s="565">
        <f>'[1]Tasa de Falla'!E54</f>
        <v>132</v>
      </c>
      <c r="F54" s="565">
        <f>'[1]Tasa de Falla'!F54</f>
        <v>155.6</v>
      </c>
      <c r="G54" s="608">
        <f>IF('[1]Tasa de Falla'!HM54=0,"",'[1]Tasa de Falla'!HM54)</f>
        <v>1</v>
      </c>
      <c r="H54" s="563">
        <f>IF('[1]Tasa de Falla'!HN54=0,"",'[1]Tasa de Falla'!HN54)</f>
      </c>
      <c r="I54" s="563">
        <f>IF('[1]Tasa de Falla'!HO54=0,"",'[1]Tasa de Falla'!HO54)</f>
        <v>1</v>
      </c>
      <c r="J54" s="563">
        <f>IF('[1]Tasa de Falla'!HP54=0,"",'[1]Tasa de Falla'!HP54)</f>
      </c>
      <c r="K54" s="563">
        <f>IF('[1]Tasa de Falla'!HQ54=0,"",'[1]Tasa de Falla'!HQ54)</f>
      </c>
      <c r="L54" s="563">
        <f>IF('[1]Tasa de Falla'!HR54=0,"",'[1]Tasa de Falla'!HR54)</f>
        <v>1</v>
      </c>
      <c r="M54" s="563">
        <f>IF('[1]Tasa de Falla'!HS54=0,"",'[1]Tasa de Falla'!HS54)</f>
      </c>
      <c r="N54" s="563">
        <f>IF('[1]Tasa de Falla'!HT54=0,"",'[1]Tasa de Falla'!HT54)</f>
      </c>
      <c r="O54" s="563">
        <f>IF('[1]Tasa de Falla'!HU54=0,"",'[1]Tasa de Falla'!HU54)</f>
        <v>1</v>
      </c>
      <c r="P54" s="563">
        <f>IF('[1]Tasa de Falla'!HV54=0,"",'[1]Tasa de Falla'!HV54)</f>
      </c>
      <c r="Q54" s="563">
        <f>IF('[1]Tasa de Falla'!HW54=0,"",'[1]Tasa de Falla'!HW54)</f>
      </c>
      <c r="R54" s="563">
        <f>IF('[1]Tasa de Falla'!HX54=0,"",'[1]Tasa de Falla'!HX54)</f>
        <v>1</v>
      </c>
      <c r="S54" s="566"/>
      <c r="T54" s="564"/>
    </row>
    <row r="55" spans="2:20" s="558" customFormat="1" ht="19.5" customHeight="1">
      <c r="B55" s="559"/>
      <c r="C55" s="565">
        <f>'[1]Tasa de Falla'!C55</f>
        <v>39</v>
      </c>
      <c r="D55" s="565" t="str">
        <f>'[1]Tasa de Falla'!D55</f>
        <v>SARMIENTO - TUCUMAN NORTE (O.F.)</v>
      </c>
      <c r="E55" s="565">
        <f>'[1]Tasa de Falla'!E55</f>
        <v>132</v>
      </c>
      <c r="F55" s="565">
        <f>'[1]Tasa de Falla'!F55</f>
        <v>3.3</v>
      </c>
      <c r="G55" s="608">
        <f>IF('[1]Tasa de Falla'!HM55=0,"",'[1]Tasa de Falla'!HM55)</f>
      </c>
      <c r="H55" s="563">
        <f>IF('[1]Tasa de Falla'!HN55=0,"",'[1]Tasa de Falla'!HN55)</f>
      </c>
      <c r="I55" s="563">
        <f>IF('[1]Tasa de Falla'!HO55=0,"",'[1]Tasa de Falla'!HO55)</f>
      </c>
      <c r="J55" s="563">
        <f>IF('[1]Tasa de Falla'!HP55=0,"",'[1]Tasa de Falla'!HP55)</f>
      </c>
      <c r="K55" s="563">
        <f>IF('[1]Tasa de Falla'!HQ55=0,"",'[1]Tasa de Falla'!HQ55)</f>
      </c>
      <c r="L55" s="563">
        <f>IF('[1]Tasa de Falla'!HR55=0,"",'[1]Tasa de Falla'!HR55)</f>
      </c>
      <c r="M55" s="563">
        <f>IF('[1]Tasa de Falla'!HS55=0,"",'[1]Tasa de Falla'!HS55)</f>
      </c>
      <c r="N55" s="563">
        <f>IF('[1]Tasa de Falla'!HT55=0,"",'[1]Tasa de Falla'!HT55)</f>
      </c>
      <c r="O55" s="563">
        <f>IF('[1]Tasa de Falla'!HU55=0,"",'[1]Tasa de Falla'!HU55)</f>
      </c>
      <c r="P55" s="563">
        <f>IF('[1]Tasa de Falla'!HV55=0,"",'[1]Tasa de Falla'!HV55)</f>
      </c>
      <c r="Q55" s="563">
        <f>IF('[1]Tasa de Falla'!HW55=0,"",'[1]Tasa de Falla'!HW55)</f>
      </c>
      <c r="R55" s="563">
        <f>IF('[1]Tasa de Falla'!HX55=0,"",'[1]Tasa de Falla'!HX55)</f>
      </c>
      <c r="S55" s="566"/>
      <c r="T55" s="564"/>
    </row>
    <row r="56" spans="2:20" s="558" customFormat="1" ht="19.5" customHeight="1">
      <c r="B56" s="559"/>
      <c r="C56" s="565">
        <f>'[1]Tasa de Falla'!C56</f>
        <v>40</v>
      </c>
      <c r="D56" s="565" t="str">
        <f>'[1]Tasa de Falla'!D56</f>
        <v>TUCUMAN OESTE - TUCUMAN NORTE</v>
      </c>
      <c r="E56" s="565">
        <f>'[1]Tasa de Falla'!E56</f>
        <v>132</v>
      </c>
      <c r="F56" s="565">
        <f>'[1]Tasa de Falla'!F56</f>
        <v>7</v>
      </c>
      <c r="G56" s="608">
        <f>IF('[1]Tasa de Falla'!HM56=0,"",'[1]Tasa de Falla'!HM56)</f>
      </c>
      <c r="H56" s="563">
        <f>IF('[1]Tasa de Falla'!HN56=0,"",'[1]Tasa de Falla'!HN56)</f>
      </c>
      <c r="I56" s="563">
        <f>IF('[1]Tasa de Falla'!HO56=0,"",'[1]Tasa de Falla'!HO56)</f>
      </c>
      <c r="J56" s="563">
        <f>IF('[1]Tasa de Falla'!HP56=0,"",'[1]Tasa de Falla'!HP56)</f>
      </c>
      <c r="K56" s="563">
        <f>IF('[1]Tasa de Falla'!HQ56=0,"",'[1]Tasa de Falla'!HQ56)</f>
      </c>
      <c r="L56" s="563">
        <f>IF('[1]Tasa de Falla'!HR56=0,"",'[1]Tasa de Falla'!HR56)</f>
      </c>
      <c r="M56" s="563">
        <f>IF('[1]Tasa de Falla'!HS56=0,"",'[1]Tasa de Falla'!HS56)</f>
      </c>
      <c r="N56" s="563">
        <f>IF('[1]Tasa de Falla'!HT56=0,"",'[1]Tasa de Falla'!HT56)</f>
      </c>
      <c r="O56" s="563">
        <f>IF('[1]Tasa de Falla'!HU56=0,"",'[1]Tasa de Falla'!HU56)</f>
        <v>1</v>
      </c>
      <c r="P56" s="563">
        <f>IF('[1]Tasa de Falla'!HV56=0,"",'[1]Tasa de Falla'!HV56)</f>
      </c>
      <c r="Q56" s="563">
        <f>IF('[1]Tasa de Falla'!HW56=0,"",'[1]Tasa de Falla'!HW56)</f>
      </c>
      <c r="R56" s="563">
        <f>IF('[1]Tasa de Falla'!HX56=0,"",'[1]Tasa de Falla'!HX56)</f>
      </c>
      <c r="S56" s="566"/>
      <c r="T56" s="564"/>
    </row>
    <row r="57" spans="2:20" s="558" customFormat="1" ht="19.5" customHeight="1">
      <c r="B57" s="559"/>
      <c r="C57" s="565">
        <f>'[1]Tasa de Falla'!C57</f>
        <v>41</v>
      </c>
      <c r="D57" s="565" t="str">
        <f>'[1]Tasa de Falla'!D57</f>
        <v>AGUILARES - VILLA QUINTEROS</v>
      </c>
      <c r="E57" s="565">
        <f>'[1]Tasa de Falla'!E57</f>
        <v>132</v>
      </c>
      <c r="F57" s="565">
        <f>'[1]Tasa de Falla'!F57</f>
        <v>21</v>
      </c>
      <c r="G57" s="608">
        <f>IF('[1]Tasa de Falla'!HM57=0,"",'[1]Tasa de Falla'!HM57)</f>
      </c>
      <c r="H57" s="563">
        <f>IF('[1]Tasa de Falla'!HN57=0,"",'[1]Tasa de Falla'!HN57)</f>
      </c>
      <c r="I57" s="563">
        <f>IF('[1]Tasa de Falla'!HO57=0,"",'[1]Tasa de Falla'!HO57)</f>
      </c>
      <c r="J57" s="563">
        <f>IF('[1]Tasa de Falla'!HP57=0,"",'[1]Tasa de Falla'!HP57)</f>
      </c>
      <c r="K57" s="563">
        <f>IF('[1]Tasa de Falla'!HQ57=0,"",'[1]Tasa de Falla'!HQ57)</f>
      </c>
      <c r="L57" s="563">
        <f>IF('[1]Tasa de Falla'!HR57=0,"",'[1]Tasa de Falla'!HR57)</f>
      </c>
      <c r="M57" s="563">
        <f>IF('[1]Tasa de Falla'!HS57=0,"",'[1]Tasa de Falla'!HS57)</f>
      </c>
      <c r="N57" s="563">
        <f>IF('[1]Tasa de Falla'!HT57=0,"",'[1]Tasa de Falla'!HT57)</f>
      </c>
      <c r="O57" s="563">
        <f>IF('[1]Tasa de Falla'!HU57=0,"",'[1]Tasa de Falla'!HU57)</f>
      </c>
      <c r="P57" s="563">
        <f>IF('[1]Tasa de Falla'!HV57=0,"",'[1]Tasa de Falla'!HV57)</f>
      </c>
      <c r="Q57" s="563">
        <f>IF('[1]Tasa de Falla'!HW57=0,"",'[1]Tasa de Falla'!HW57)</f>
      </c>
      <c r="R57" s="563">
        <f>IF('[1]Tasa de Falla'!HX57=0,"",'[1]Tasa de Falla'!HX57)</f>
      </c>
      <c r="S57" s="566"/>
      <c r="T57" s="564"/>
    </row>
    <row r="58" spans="2:20" s="558" customFormat="1" ht="19.5" customHeight="1">
      <c r="B58" s="559"/>
      <c r="C58" s="565">
        <f>'[1]Tasa de Falla'!C58</f>
        <v>42</v>
      </c>
      <c r="D58" s="565" t="str">
        <f>'[1]Tasa de Falla'!D58</f>
        <v>C.H. PUEBLO VIEJO - VILLA QUINTEROS </v>
      </c>
      <c r="E58" s="565">
        <f>'[1]Tasa de Falla'!E58</f>
        <v>132</v>
      </c>
      <c r="F58" s="565">
        <f>'[1]Tasa de Falla'!F58</f>
        <v>24.5</v>
      </c>
      <c r="G58" s="608">
        <f>IF('[1]Tasa de Falla'!HM58=0,"",'[1]Tasa de Falla'!HM58)</f>
      </c>
      <c r="H58" s="563">
        <f>IF('[1]Tasa de Falla'!HN58=0,"",'[1]Tasa de Falla'!HN58)</f>
        <v>1</v>
      </c>
      <c r="I58" s="563">
        <f>IF('[1]Tasa de Falla'!HO58=0,"",'[1]Tasa de Falla'!HO58)</f>
      </c>
      <c r="J58" s="563">
        <f>IF('[1]Tasa de Falla'!HP58=0,"",'[1]Tasa de Falla'!HP58)</f>
      </c>
      <c r="K58" s="563">
        <f>IF('[1]Tasa de Falla'!HQ58=0,"",'[1]Tasa de Falla'!HQ58)</f>
      </c>
      <c r="L58" s="563">
        <f>IF('[1]Tasa de Falla'!HR58=0,"",'[1]Tasa de Falla'!HR58)</f>
      </c>
      <c r="M58" s="563">
        <f>IF('[1]Tasa de Falla'!HS58=0,"",'[1]Tasa de Falla'!HS58)</f>
      </c>
      <c r="N58" s="563">
        <f>IF('[1]Tasa de Falla'!HT58=0,"",'[1]Tasa de Falla'!HT58)</f>
      </c>
      <c r="O58" s="563">
        <f>IF('[1]Tasa de Falla'!HU58=0,"",'[1]Tasa de Falla'!HU58)</f>
      </c>
      <c r="P58" s="563">
        <f>IF('[1]Tasa de Falla'!HV58=0,"",'[1]Tasa de Falla'!HV58)</f>
      </c>
      <c r="Q58" s="563">
        <f>IF('[1]Tasa de Falla'!HW58=0,"",'[1]Tasa de Falla'!HW58)</f>
      </c>
      <c r="R58" s="563">
        <f>IF('[1]Tasa de Falla'!HX58=0,"",'[1]Tasa de Falla'!HX58)</f>
      </c>
      <c r="S58" s="566"/>
      <c r="T58" s="564"/>
    </row>
    <row r="59" spans="2:20" s="558" customFormat="1" ht="19.5" customHeight="1">
      <c r="B59" s="559"/>
      <c r="C59" s="565">
        <f>'[1]Tasa de Falla'!C59</f>
        <v>43</v>
      </c>
      <c r="D59" s="565" t="str">
        <f>'[1]Tasa de Falla'!D59</f>
        <v>C.H. RIO HONDO - VILLA QUINTEROS</v>
      </c>
      <c r="E59" s="565">
        <f>'[1]Tasa de Falla'!E59</f>
        <v>132</v>
      </c>
      <c r="F59" s="565">
        <f>'[1]Tasa de Falla'!F59</f>
        <v>75.4</v>
      </c>
      <c r="G59" s="608">
        <f>IF('[1]Tasa de Falla'!HM59=0,"",'[1]Tasa de Falla'!HM59)</f>
      </c>
      <c r="H59" s="563">
        <f>IF('[1]Tasa de Falla'!HN59=0,"",'[1]Tasa de Falla'!HN59)</f>
      </c>
      <c r="I59" s="563">
        <f>IF('[1]Tasa de Falla'!HO59=0,"",'[1]Tasa de Falla'!HO59)</f>
      </c>
      <c r="J59" s="563">
        <f>IF('[1]Tasa de Falla'!HP59=0,"",'[1]Tasa de Falla'!HP59)</f>
      </c>
      <c r="K59" s="563">
        <f>IF('[1]Tasa de Falla'!HQ59=0,"",'[1]Tasa de Falla'!HQ59)</f>
      </c>
      <c r="L59" s="563">
        <f>IF('[1]Tasa de Falla'!HR59=0,"",'[1]Tasa de Falla'!HR59)</f>
        <v>1</v>
      </c>
      <c r="M59" s="563">
        <f>IF('[1]Tasa de Falla'!HS59=0,"",'[1]Tasa de Falla'!HS59)</f>
      </c>
      <c r="N59" s="563">
        <f>IF('[1]Tasa de Falla'!HT59=0,"",'[1]Tasa de Falla'!HT59)</f>
        <v>1</v>
      </c>
      <c r="O59" s="563">
        <f>IF('[1]Tasa de Falla'!HU59=0,"",'[1]Tasa de Falla'!HU59)</f>
      </c>
      <c r="P59" s="563">
        <f>IF('[1]Tasa de Falla'!HV59=0,"",'[1]Tasa de Falla'!HV59)</f>
      </c>
      <c r="Q59" s="563">
        <f>IF('[1]Tasa de Falla'!HW59=0,"",'[1]Tasa de Falla'!HW59)</f>
        <v>1</v>
      </c>
      <c r="R59" s="563">
        <f>IF('[1]Tasa de Falla'!HX59=0,"",'[1]Tasa de Falla'!HX59)</f>
      </c>
      <c r="S59" s="566"/>
      <c r="T59" s="564"/>
    </row>
    <row r="60" spans="2:20" s="558" customFormat="1" ht="19.5" customHeight="1">
      <c r="B60" s="559"/>
      <c r="C60" s="565">
        <f>'[1]Tasa de Falla'!C60</f>
        <v>44</v>
      </c>
      <c r="D60" s="565" t="str">
        <f>'[1]Tasa de Falla'!D60</f>
        <v>C.H. RIO HONDO - SANTIAGO CENTRO</v>
      </c>
      <c r="E60" s="565">
        <f>'[1]Tasa de Falla'!E60</f>
        <v>132</v>
      </c>
      <c r="F60" s="565">
        <f>'[1]Tasa de Falla'!F60</f>
        <v>79</v>
      </c>
      <c r="G60" s="608" t="str">
        <f>IF('[1]Tasa de Falla'!HM60=0,"",'[1]Tasa de Falla'!HM60)</f>
        <v>XXXX</v>
      </c>
      <c r="H60" s="563" t="str">
        <f>IF('[1]Tasa de Falla'!HN60=0,"",'[1]Tasa de Falla'!HN60)</f>
        <v>XXXX</v>
      </c>
      <c r="I60" s="563" t="str">
        <f>IF('[1]Tasa de Falla'!HO60=0,"",'[1]Tasa de Falla'!HO60)</f>
        <v>XXXX</v>
      </c>
      <c r="J60" s="563" t="str">
        <f>IF('[1]Tasa de Falla'!HP60=0,"",'[1]Tasa de Falla'!HP60)</f>
        <v>XXXX</v>
      </c>
      <c r="K60" s="563" t="str">
        <f>IF('[1]Tasa de Falla'!HQ60=0,"",'[1]Tasa de Falla'!HQ60)</f>
        <v>XXXX</v>
      </c>
      <c r="L60" s="563" t="str">
        <f>IF('[1]Tasa de Falla'!HR60=0,"",'[1]Tasa de Falla'!HR60)</f>
        <v>XXXX</v>
      </c>
      <c r="M60" s="563" t="str">
        <f>IF('[1]Tasa de Falla'!HS60=0,"",'[1]Tasa de Falla'!HS60)</f>
        <v>XXXX</v>
      </c>
      <c r="N60" s="563" t="str">
        <f>IF('[1]Tasa de Falla'!HT60=0,"",'[1]Tasa de Falla'!HT60)</f>
        <v>XXXX</v>
      </c>
      <c r="O60" s="563" t="str">
        <f>IF('[1]Tasa de Falla'!HU60=0,"",'[1]Tasa de Falla'!HU60)</f>
        <v>XXXX</v>
      </c>
      <c r="P60" s="563" t="str">
        <f>IF('[1]Tasa de Falla'!HV60=0,"",'[1]Tasa de Falla'!HV60)</f>
        <v>XXXX</v>
      </c>
      <c r="Q60" s="563" t="str">
        <f>IF('[1]Tasa de Falla'!HW60=0,"",'[1]Tasa de Falla'!HW60)</f>
        <v>XXXX</v>
      </c>
      <c r="R60" s="563" t="str">
        <f>IF('[1]Tasa de Falla'!HX60=0,"",'[1]Tasa de Falla'!HX60)</f>
        <v>XXXX</v>
      </c>
      <c r="S60" s="566"/>
      <c r="T60" s="564"/>
    </row>
    <row r="61" spans="2:20" s="558" customFormat="1" ht="19.5" customHeight="1">
      <c r="B61" s="559"/>
      <c r="C61" s="565">
        <f>'[1]Tasa de Falla'!C61</f>
        <v>45</v>
      </c>
      <c r="D61" s="565" t="str">
        <f>'[1]Tasa de Falla'!D61</f>
        <v>C.H. RIO HONDO - EL BRACHO</v>
      </c>
      <c r="E61" s="565">
        <f>'[1]Tasa de Falla'!E61</f>
        <v>132</v>
      </c>
      <c r="F61" s="565">
        <f>'[1]Tasa de Falla'!F61</f>
        <v>80.66</v>
      </c>
      <c r="G61" s="608">
        <f>IF('[1]Tasa de Falla'!HM61=0,"",'[1]Tasa de Falla'!HM61)</f>
      </c>
      <c r="H61" s="563">
        <f>IF('[1]Tasa de Falla'!HN61=0,"",'[1]Tasa de Falla'!HN61)</f>
      </c>
      <c r="I61" s="563">
        <f>IF('[1]Tasa de Falla'!HO61=0,"",'[1]Tasa de Falla'!HO61)</f>
      </c>
      <c r="J61" s="563">
        <f>IF('[1]Tasa de Falla'!HP61=0,"",'[1]Tasa de Falla'!HP61)</f>
        <v>2</v>
      </c>
      <c r="K61" s="563">
        <f>IF('[1]Tasa de Falla'!HQ61=0,"",'[1]Tasa de Falla'!HQ61)</f>
      </c>
      <c r="L61" s="563">
        <f>IF('[1]Tasa de Falla'!HR61=0,"",'[1]Tasa de Falla'!HR61)</f>
        <v>3</v>
      </c>
      <c r="M61" s="563">
        <f>IF('[1]Tasa de Falla'!HS61=0,"",'[1]Tasa de Falla'!HS61)</f>
        <v>1</v>
      </c>
      <c r="N61" s="563">
        <f>IF('[1]Tasa de Falla'!HT61=0,"",'[1]Tasa de Falla'!HT61)</f>
      </c>
      <c r="O61" s="563">
        <f>IF('[1]Tasa de Falla'!HU61=0,"",'[1]Tasa de Falla'!HU61)</f>
      </c>
      <c r="P61" s="563">
        <f>IF('[1]Tasa de Falla'!HV61=0,"",'[1]Tasa de Falla'!HV61)</f>
        <v>1</v>
      </c>
      <c r="Q61" s="563">
        <f>IF('[1]Tasa de Falla'!HW61=0,"",'[1]Tasa de Falla'!HW61)</f>
      </c>
      <c r="R61" s="563">
        <f>IF('[1]Tasa de Falla'!HX61=0,"",'[1]Tasa de Falla'!HX61)</f>
        <v>1</v>
      </c>
      <c r="S61" s="566"/>
      <c r="T61" s="564"/>
    </row>
    <row r="62" spans="2:20" s="558" customFormat="1" ht="19.5" customHeight="1">
      <c r="B62" s="559"/>
      <c r="C62" s="565">
        <f>'[1]Tasa de Falla'!C62</f>
        <v>46</v>
      </c>
      <c r="D62" s="565" t="str">
        <f>'[1]Tasa de Falla'!D62</f>
        <v>SALTA SUR - SALTA NORTE</v>
      </c>
      <c r="E62" s="565">
        <f>'[1]Tasa de Falla'!E62</f>
        <v>132</v>
      </c>
      <c r="F62" s="565">
        <f>'[1]Tasa de Falla'!F62</f>
        <v>10</v>
      </c>
      <c r="G62" s="608">
        <f>IF('[1]Tasa de Falla'!HM62=0,"",'[1]Tasa de Falla'!HM62)</f>
      </c>
      <c r="H62" s="563">
        <f>IF('[1]Tasa de Falla'!HN62=0,"",'[1]Tasa de Falla'!HN62)</f>
      </c>
      <c r="I62" s="563">
        <f>IF('[1]Tasa de Falla'!HO62=0,"",'[1]Tasa de Falla'!HO62)</f>
      </c>
      <c r="J62" s="563">
        <f>IF('[1]Tasa de Falla'!HP62=0,"",'[1]Tasa de Falla'!HP62)</f>
        <v>1</v>
      </c>
      <c r="K62" s="563">
        <f>IF('[1]Tasa de Falla'!HQ62=0,"",'[1]Tasa de Falla'!HQ62)</f>
      </c>
      <c r="L62" s="563">
        <f>IF('[1]Tasa de Falla'!HR62=0,"",'[1]Tasa de Falla'!HR62)</f>
      </c>
      <c r="M62" s="563">
        <f>IF('[1]Tasa de Falla'!HS62=0,"",'[1]Tasa de Falla'!HS62)</f>
      </c>
      <c r="N62" s="563">
        <f>IF('[1]Tasa de Falla'!HT62=0,"",'[1]Tasa de Falla'!HT62)</f>
      </c>
      <c r="O62" s="563">
        <f>IF('[1]Tasa de Falla'!HU62=0,"",'[1]Tasa de Falla'!HU62)</f>
      </c>
      <c r="P62" s="563">
        <f>IF('[1]Tasa de Falla'!HV62=0,"",'[1]Tasa de Falla'!HV62)</f>
      </c>
      <c r="Q62" s="563">
        <f>IF('[1]Tasa de Falla'!HW62=0,"",'[1]Tasa de Falla'!HW62)</f>
      </c>
      <c r="R62" s="563">
        <f>IF('[1]Tasa de Falla'!HX62=0,"",'[1]Tasa de Falla'!HX62)</f>
      </c>
      <c r="S62" s="566"/>
      <c r="T62" s="564"/>
    </row>
    <row r="63" spans="2:20" s="558" customFormat="1" ht="19.5" customHeight="1">
      <c r="B63" s="559"/>
      <c r="C63" s="565">
        <f>'[1]Tasa de Falla'!C63</f>
        <v>47</v>
      </c>
      <c r="D63" s="565" t="str">
        <f>'[1]Tasa de Falla'!D63</f>
        <v>PALPALA - JUJUY ESTE</v>
      </c>
      <c r="E63" s="565">
        <f>'[1]Tasa de Falla'!E63</f>
        <v>132</v>
      </c>
      <c r="F63" s="565">
        <f>'[1]Tasa de Falla'!F63</f>
        <v>12.25</v>
      </c>
      <c r="G63" s="608">
        <f>IF('[1]Tasa de Falla'!HM63=0,"",'[1]Tasa de Falla'!HM63)</f>
        <v>1</v>
      </c>
      <c r="H63" s="563">
        <f>IF('[1]Tasa de Falla'!HN63=0,"",'[1]Tasa de Falla'!HN63)</f>
      </c>
      <c r="I63" s="563">
        <f>IF('[1]Tasa de Falla'!HO63=0,"",'[1]Tasa de Falla'!HO63)</f>
      </c>
      <c r="J63" s="563">
        <f>IF('[1]Tasa de Falla'!HP63=0,"",'[1]Tasa de Falla'!HP63)</f>
      </c>
      <c r="K63" s="563">
        <f>IF('[1]Tasa de Falla'!HQ63=0,"",'[1]Tasa de Falla'!HQ63)</f>
      </c>
      <c r="L63" s="563">
        <f>IF('[1]Tasa de Falla'!HR63=0,"",'[1]Tasa de Falla'!HR63)</f>
      </c>
      <c r="M63" s="563">
        <f>IF('[1]Tasa de Falla'!HS63=0,"",'[1]Tasa de Falla'!HS63)</f>
      </c>
      <c r="N63" s="563">
        <f>IF('[1]Tasa de Falla'!HT63=0,"",'[1]Tasa de Falla'!HT63)</f>
      </c>
      <c r="O63" s="563">
        <f>IF('[1]Tasa de Falla'!HU63=0,"",'[1]Tasa de Falla'!HU63)</f>
      </c>
      <c r="P63" s="563">
        <f>IF('[1]Tasa de Falla'!HV63=0,"",'[1]Tasa de Falla'!HV63)</f>
      </c>
      <c r="Q63" s="563">
        <f>IF('[1]Tasa de Falla'!HW63=0,"",'[1]Tasa de Falla'!HW63)</f>
      </c>
      <c r="R63" s="563">
        <f>IF('[1]Tasa de Falla'!HX63=0,"",'[1]Tasa de Falla'!HX63)</f>
      </c>
      <c r="S63" s="566"/>
      <c r="T63" s="564"/>
    </row>
    <row r="64" spans="2:20" s="558" customFormat="1" ht="19.5" customHeight="1">
      <c r="B64" s="559"/>
      <c r="C64" s="565">
        <f>'[1]Tasa de Falla'!C64</f>
        <v>48</v>
      </c>
      <c r="D64" s="565" t="str">
        <f>'[1]Tasa de Falla'!D64</f>
        <v>JUJUY ESTE - JUJUY SUR</v>
      </c>
      <c r="E64" s="565">
        <f>'[1]Tasa de Falla'!E64</f>
        <v>132</v>
      </c>
      <c r="F64" s="565">
        <f>'[1]Tasa de Falla'!F64</f>
        <v>4.25</v>
      </c>
      <c r="G64" s="608">
        <f>IF('[1]Tasa de Falla'!HM64=0,"",'[1]Tasa de Falla'!HM64)</f>
      </c>
      <c r="H64" s="563">
        <f>IF('[1]Tasa de Falla'!HN64=0,"",'[1]Tasa de Falla'!HN64)</f>
      </c>
      <c r="I64" s="563">
        <f>IF('[1]Tasa de Falla'!HO64=0,"",'[1]Tasa de Falla'!HO64)</f>
      </c>
      <c r="J64" s="563">
        <f>IF('[1]Tasa de Falla'!HP64=0,"",'[1]Tasa de Falla'!HP64)</f>
      </c>
      <c r="K64" s="563">
        <f>IF('[1]Tasa de Falla'!HQ64=0,"",'[1]Tasa de Falla'!HQ64)</f>
      </c>
      <c r="L64" s="563">
        <f>IF('[1]Tasa de Falla'!HR64=0,"",'[1]Tasa de Falla'!HR64)</f>
      </c>
      <c r="M64" s="563">
        <f>IF('[1]Tasa de Falla'!HS64=0,"",'[1]Tasa de Falla'!HS64)</f>
      </c>
      <c r="N64" s="563">
        <f>IF('[1]Tasa de Falla'!HT64=0,"",'[1]Tasa de Falla'!HT64)</f>
      </c>
      <c r="O64" s="563">
        <f>IF('[1]Tasa de Falla'!HU64=0,"",'[1]Tasa de Falla'!HU64)</f>
      </c>
      <c r="P64" s="563">
        <f>IF('[1]Tasa de Falla'!HV64=0,"",'[1]Tasa de Falla'!HV64)</f>
      </c>
      <c r="Q64" s="563">
        <f>IF('[1]Tasa de Falla'!HW64=0,"",'[1]Tasa de Falla'!HW64)</f>
        <v>1</v>
      </c>
      <c r="R64" s="563">
        <f>IF('[1]Tasa de Falla'!HX64=0,"",'[1]Tasa de Falla'!HX64)</f>
      </c>
      <c r="S64" s="566"/>
      <c r="T64" s="564"/>
    </row>
    <row r="65" spans="2:20" s="558" customFormat="1" ht="18">
      <c r="B65" s="559"/>
      <c r="C65" s="565">
        <f>'[1]Tasa de Falla'!C65</f>
        <v>49</v>
      </c>
      <c r="D65" s="565" t="str">
        <f>'[1]Tasa de Falla'!D65</f>
        <v>CEVIL POZO - GUEMES</v>
      </c>
      <c r="E65" s="565">
        <f>'[1]Tasa de Falla'!E65</f>
        <v>132</v>
      </c>
      <c r="F65" s="565">
        <f>'[1]Tasa de Falla'!F65</f>
        <v>291</v>
      </c>
      <c r="G65" s="608" t="str">
        <f>IF('[1]Tasa de Falla'!HM65=0,"",'[1]Tasa de Falla'!HM65)</f>
        <v>XXXX</v>
      </c>
      <c r="H65" s="563" t="str">
        <f>IF('[1]Tasa de Falla'!HN65=0,"",'[1]Tasa de Falla'!HN65)</f>
        <v>XXXX</v>
      </c>
      <c r="I65" s="563" t="str">
        <f>IF('[1]Tasa de Falla'!HO65=0,"",'[1]Tasa de Falla'!HO65)</f>
        <v>XXXX</v>
      </c>
      <c r="J65" s="563" t="str">
        <f>IF('[1]Tasa de Falla'!HP65=0,"",'[1]Tasa de Falla'!HP65)</f>
        <v>XXXX</v>
      </c>
      <c r="K65" s="563" t="str">
        <f>IF('[1]Tasa de Falla'!HQ65=0,"",'[1]Tasa de Falla'!HQ65)</f>
        <v>XXXX</v>
      </c>
      <c r="L65" s="563" t="str">
        <f>IF('[1]Tasa de Falla'!HR65=0,"",'[1]Tasa de Falla'!HR65)</f>
        <v>XXXX</v>
      </c>
      <c r="M65" s="563" t="str">
        <f>IF('[1]Tasa de Falla'!HS65=0,"",'[1]Tasa de Falla'!HS65)</f>
        <v>XXXX</v>
      </c>
      <c r="N65" s="563" t="str">
        <f>IF('[1]Tasa de Falla'!HT65=0,"",'[1]Tasa de Falla'!HT65)</f>
        <v>XXXX</v>
      </c>
      <c r="O65" s="563" t="str">
        <f>IF('[1]Tasa de Falla'!HU65=0,"",'[1]Tasa de Falla'!HU65)</f>
        <v>XXXX</v>
      </c>
      <c r="P65" s="563" t="str">
        <f>IF('[1]Tasa de Falla'!HV65=0,"",'[1]Tasa de Falla'!HV65)</f>
        <v>XXXX</v>
      </c>
      <c r="Q65" s="563" t="str">
        <f>IF('[1]Tasa de Falla'!HW65=0,"",'[1]Tasa de Falla'!HW65)</f>
        <v>XXXX</v>
      </c>
      <c r="R65" s="563" t="str">
        <f>IF('[1]Tasa de Falla'!HX65=0,"",'[1]Tasa de Falla'!HX65)</f>
        <v>XXXX</v>
      </c>
      <c r="S65" s="566"/>
      <c r="T65" s="564"/>
    </row>
    <row r="66" spans="2:20" s="558" customFormat="1" ht="19.5" customHeight="1">
      <c r="B66" s="559"/>
      <c r="C66" s="565">
        <f>'[1]Tasa de Falla'!C66</f>
        <v>50</v>
      </c>
      <c r="D66" s="565" t="str">
        <f>'[1]Tasa de Falla'!D66</f>
        <v>CEVIL POZO - EL BRACHO</v>
      </c>
      <c r="E66" s="565">
        <f>'[1]Tasa de Falla'!E66</f>
        <v>132</v>
      </c>
      <c r="F66" s="565">
        <f>'[1]Tasa de Falla'!F66</f>
        <v>17</v>
      </c>
      <c r="G66" s="608">
        <f>IF('[1]Tasa de Falla'!HM66=0,"",'[1]Tasa de Falla'!HM66)</f>
      </c>
      <c r="H66" s="563">
        <f>IF('[1]Tasa de Falla'!HN66=0,"",'[1]Tasa de Falla'!HN66)</f>
      </c>
      <c r="I66" s="563">
        <f>IF('[1]Tasa de Falla'!HO66=0,"",'[1]Tasa de Falla'!HO66)</f>
      </c>
      <c r="J66" s="563">
        <f>IF('[1]Tasa de Falla'!HP66=0,"",'[1]Tasa de Falla'!HP66)</f>
        <v>1</v>
      </c>
      <c r="K66" s="563">
        <f>IF('[1]Tasa de Falla'!HQ66=0,"",'[1]Tasa de Falla'!HQ66)</f>
      </c>
      <c r="L66" s="563">
        <f>IF('[1]Tasa de Falla'!HR66=0,"",'[1]Tasa de Falla'!HR66)</f>
      </c>
      <c r="M66" s="563">
        <f>IF('[1]Tasa de Falla'!HS66=0,"",'[1]Tasa de Falla'!HS66)</f>
      </c>
      <c r="N66" s="563">
        <f>IF('[1]Tasa de Falla'!HT66=0,"",'[1]Tasa de Falla'!HT66)</f>
      </c>
      <c r="O66" s="563">
        <f>IF('[1]Tasa de Falla'!HU66=0,"",'[1]Tasa de Falla'!HU66)</f>
      </c>
      <c r="P66" s="563">
        <f>IF('[1]Tasa de Falla'!HV66=0,"",'[1]Tasa de Falla'!HV66)</f>
      </c>
      <c r="Q66" s="563">
        <f>IF('[1]Tasa de Falla'!HW66=0,"",'[1]Tasa de Falla'!HW66)</f>
      </c>
      <c r="R66" s="563">
        <f>IF('[1]Tasa de Falla'!HX66=0,"",'[1]Tasa de Falla'!HX66)</f>
      </c>
      <c r="S66" s="566"/>
      <c r="T66" s="564"/>
    </row>
    <row r="67" spans="2:20" s="558" customFormat="1" ht="19.5" customHeight="1">
      <c r="B67" s="559"/>
      <c r="C67" s="565">
        <f>'[1]Tasa de Falla'!C67</f>
        <v>0</v>
      </c>
      <c r="D67" s="565">
        <f>'[1]Tasa de Falla'!D67</f>
        <v>0</v>
      </c>
      <c r="E67" s="565">
        <f>'[1]Tasa de Falla'!E67</f>
        <v>0</v>
      </c>
      <c r="F67" s="565">
        <f>'[1]Tasa de Falla'!F67</f>
        <v>0</v>
      </c>
      <c r="G67" s="608">
        <f>IF('[1]Tasa de Falla'!HM67=0,"",'[1]Tasa de Falla'!HM67)</f>
      </c>
      <c r="H67" s="563">
        <f>IF('[1]Tasa de Falla'!HN67=0,"",'[1]Tasa de Falla'!HN67)</f>
      </c>
      <c r="I67" s="563">
        <f>IF('[1]Tasa de Falla'!HO67=0,"",'[1]Tasa de Falla'!HO67)</f>
      </c>
      <c r="J67" s="563">
        <f>IF('[1]Tasa de Falla'!HP67=0,"",'[1]Tasa de Falla'!HP67)</f>
      </c>
      <c r="K67" s="563">
        <f>IF('[1]Tasa de Falla'!HQ67=0,"",'[1]Tasa de Falla'!HQ67)</f>
      </c>
      <c r="L67" s="563">
        <f>IF('[1]Tasa de Falla'!HR67=0,"",'[1]Tasa de Falla'!HR67)</f>
      </c>
      <c r="M67" s="563">
        <f>IF('[1]Tasa de Falla'!HS67=0,"",'[1]Tasa de Falla'!HS67)</f>
      </c>
      <c r="N67" s="563">
        <f>IF('[1]Tasa de Falla'!HT67=0,"",'[1]Tasa de Falla'!HT67)</f>
      </c>
      <c r="O67" s="563">
        <f>IF('[1]Tasa de Falla'!HU67=0,"",'[1]Tasa de Falla'!HU67)</f>
      </c>
      <c r="P67" s="563">
        <f>IF('[1]Tasa de Falla'!HV67=0,"",'[1]Tasa de Falla'!HV67)</f>
      </c>
      <c r="Q67" s="563">
        <f>IF('[1]Tasa de Falla'!HW67=0,"",'[1]Tasa de Falla'!HW67)</f>
      </c>
      <c r="R67" s="563">
        <f>IF('[1]Tasa de Falla'!HX67=0,"",'[1]Tasa de Falla'!HX67)</f>
      </c>
      <c r="S67" s="566"/>
      <c r="T67" s="564"/>
    </row>
    <row r="68" spans="2:20" s="558" customFormat="1" ht="19.5" customHeight="1">
      <c r="B68" s="559"/>
      <c r="C68" s="565">
        <f>'[1]Tasa de Falla'!C68</f>
        <v>51</v>
      </c>
      <c r="D68" s="565" t="str">
        <f>'[1]Tasa de Falla'!D68</f>
        <v>METAN - EL TUNAL</v>
      </c>
      <c r="E68" s="565">
        <f>'[1]Tasa de Falla'!E68</f>
        <v>132</v>
      </c>
      <c r="F68" s="565">
        <f>'[1]Tasa de Falla'!F68</f>
        <v>75.6</v>
      </c>
      <c r="G68" s="608">
        <f>IF('[1]Tasa de Falla'!HM68=0,"",'[1]Tasa de Falla'!HM68)</f>
      </c>
      <c r="H68" s="563">
        <f>IF('[1]Tasa de Falla'!HN68=0,"",'[1]Tasa de Falla'!HN68)</f>
      </c>
      <c r="I68" s="563">
        <f>IF('[1]Tasa de Falla'!HO68=0,"",'[1]Tasa de Falla'!HO68)</f>
      </c>
      <c r="J68" s="563">
        <f>IF('[1]Tasa de Falla'!HP68=0,"",'[1]Tasa de Falla'!HP68)</f>
      </c>
      <c r="K68" s="563">
        <f>IF('[1]Tasa de Falla'!HQ68=0,"",'[1]Tasa de Falla'!HQ68)</f>
      </c>
      <c r="L68" s="563">
        <f>IF('[1]Tasa de Falla'!HR68=0,"",'[1]Tasa de Falla'!HR68)</f>
      </c>
      <c r="M68" s="563">
        <f>IF('[1]Tasa de Falla'!HS68=0,"",'[1]Tasa de Falla'!HS68)</f>
      </c>
      <c r="N68" s="563">
        <f>IF('[1]Tasa de Falla'!HT68=0,"",'[1]Tasa de Falla'!HT68)</f>
      </c>
      <c r="O68" s="563">
        <f>IF('[1]Tasa de Falla'!HU68=0,"",'[1]Tasa de Falla'!HU68)</f>
      </c>
      <c r="P68" s="563">
        <f>IF('[1]Tasa de Falla'!HV68=0,"",'[1]Tasa de Falla'!HV68)</f>
      </c>
      <c r="Q68" s="563">
        <f>IF('[1]Tasa de Falla'!HW68=0,"",'[1]Tasa de Falla'!HW68)</f>
      </c>
      <c r="R68" s="563">
        <f>IF('[1]Tasa de Falla'!HX68=0,"",'[1]Tasa de Falla'!HX68)</f>
      </c>
      <c r="S68" s="566"/>
      <c r="T68" s="564"/>
    </row>
    <row r="69" spans="2:20" s="558" customFormat="1" ht="19.5" customHeight="1">
      <c r="B69" s="559"/>
      <c r="C69" s="565">
        <f>'[1]Tasa de Falla'!C69</f>
        <v>52</v>
      </c>
      <c r="D69" s="565" t="str">
        <f>'[1]Tasa de Falla'!D69</f>
        <v>EL TUNAL - J.V. GONZALEZ</v>
      </c>
      <c r="E69" s="565">
        <f>'[1]Tasa de Falla'!E69</f>
        <v>132</v>
      </c>
      <c r="F69" s="565">
        <f>'[1]Tasa de Falla'!F69</f>
        <v>41.4</v>
      </c>
      <c r="G69" s="608">
        <f>IF('[1]Tasa de Falla'!HM69=0,"",'[1]Tasa de Falla'!HM69)</f>
      </c>
      <c r="H69" s="563">
        <f>IF('[1]Tasa de Falla'!HN69=0,"",'[1]Tasa de Falla'!HN69)</f>
      </c>
      <c r="I69" s="563">
        <f>IF('[1]Tasa de Falla'!HO69=0,"",'[1]Tasa de Falla'!HO69)</f>
      </c>
      <c r="J69" s="563">
        <f>IF('[1]Tasa de Falla'!HP69=0,"",'[1]Tasa de Falla'!HP69)</f>
      </c>
      <c r="K69" s="563">
        <f>IF('[1]Tasa de Falla'!HQ69=0,"",'[1]Tasa de Falla'!HQ69)</f>
      </c>
      <c r="L69" s="563">
        <f>IF('[1]Tasa de Falla'!HR69=0,"",'[1]Tasa de Falla'!HR69)</f>
      </c>
      <c r="M69" s="563">
        <f>IF('[1]Tasa de Falla'!HS69=0,"",'[1]Tasa de Falla'!HS69)</f>
      </c>
      <c r="N69" s="563">
        <f>IF('[1]Tasa de Falla'!HT69=0,"",'[1]Tasa de Falla'!HT69)</f>
      </c>
      <c r="O69" s="563">
        <f>IF('[1]Tasa de Falla'!HU69=0,"",'[1]Tasa de Falla'!HU69)</f>
      </c>
      <c r="P69" s="563">
        <f>IF('[1]Tasa de Falla'!HV69=0,"",'[1]Tasa de Falla'!HV69)</f>
      </c>
      <c r="Q69" s="563">
        <f>IF('[1]Tasa de Falla'!HW69=0,"",'[1]Tasa de Falla'!HW69)</f>
      </c>
      <c r="R69" s="563">
        <f>IF('[1]Tasa de Falla'!HX69=0,"",'[1]Tasa de Falla'!HX69)</f>
      </c>
      <c r="S69" s="566"/>
      <c r="T69" s="564"/>
    </row>
    <row r="70" spans="2:20" s="558" customFormat="1" ht="19.5" customHeight="1">
      <c r="B70" s="559"/>
      <c r="C70" s="565">
        <f>'[1]Tasa de Falla'!C70</f>
        <v>0</v>
      </c>
      <c r="D70" s="565">
        <f>'[1]Tasa de Falla'!D70</f>
        <v>0</v>
      </c>
      <c r="E70" s="565">
        <f>'[1]Tasa de Falla'!E70</f>
        <v>0</v>
      </c>
      <c r="F70" s="565">
        <f>'[1]Tasa de Falla'!F70</f>
        <v>0</v>
      </c>
      <c r="G70" s="608">
        <f>IF('[1]Tasa de Falla'!HM70=0,"",'[1]Tasa de Falla'!HM70)</f>
      </c>
      <c r="H70" s="563">
        <f>IF('[1]Tasa de Falla'!HN70=0,"",'[1]Tasa de Falla'!HN70)</f>
      </c>
      <c r="I70" s="563">
        <f>IF('[1]Tasa de Falla'!HO70=0,"",'[1]Tasa de Falla'!HO70)</f>
      </c>
      <c r="J70" s="563">
        <f>IF('[1]Tasa de Falla'!HP70=0,"",'[1]Tasa de Falla'!HP70)</f>
      </c>
      <c r="K70" s="563">
        <f>IF('[1]Tasa de Falla'!HQ70=0,"",'[1]Tasa de Falla'!HQ70)</f>
      </c>
      <c r="L70" s="563">
        <f>IF('[1]Tasa de Falla'!HR70=0,"",'[1]Tasa de Falla'!HR70)</f>
      </c>
      <c r="M70" s="563">
        <f>IF('[1]Tasa de Falla'!HS70=0,"",'[1]Tasa de Falla'!HS70)</f>
      </c>
      <c r="N70" s="563">
        <f>IF('[1]Tasa de Falla'!HT70=0,"",'[1]Tasa de Falla'!HT70)</f>
      </c>
      <c r="O70" s="563">
        <f>IF('[1]Tasa de Falla'!HU70=0,"",'[1]Tasa de Falla'!HU70)</f>
      </c>
      <c r="P70" s="563">
        <f>IF('[1]Tasa de Falla'!HV70=0,"",'[1]Tasa de Falla'!HV70)</f>
      </c>
      <c r="Q70" s="563">
        <f>IF('[1]Tasa de Falla'!HW70=0,"",'[1]Tasa de Falla'!HW70)</f>
      </c>
      <c r="R70" s="563">
        <f>IF('[1]Tasa de Falla'!HX70=0,"",'[1]Tasa de Falla'!HX70)</f>
      </c>
      <c r="S70" s="566"/>
      <c r="T70" s="564"/>
    </row>
    <row r="71" spans="2:20" s="558" customFormat="1" ht="19.5" customHeight="1">
      <c r="B71" s="559"/>
      <c r="C71" s="565">
        <f>'[1]Tasa de Falla'!C71</f>
        <v>53</v>
      </c>
      <c r="D71" s="565" t="str">
        <f>'[1]Tasa de Falla'!D71</f>
        <v>LOS PIZARROS - ESCABA</v>
      </c>
      <c r="E71" s="565">
        <f>'[1]Tasa de Falla'!E71</f>
        <v>132</v>
      </c>
      <c r="F71" s="565">
        <f>'[1]Tasa de Falla'!F71</f>
        <v>21.4</v>
      </c>
      <c r="G71" s="608">
        <f>IF('[1]Tasa de Falla'!HM71=0,"",'[1]Tasa de Falla'!HM71)</f>
      </c>
      <c r="H71" s="563">
        <f>IF('[1]Tasa de Falla'!HN71=0,"",'[1]Tasa de Falla'!HN71)</f>
      </c>
      <c r="I71" s="563">
        <f>IF('[1]Tasa de Falla'!HO71=0,"",'[1]Tasa de Falla'!HO71)</f>
      </c>
      <c r="J71" s="563">
        <f>IF('[1]Tasa de Falla'!HP71=0,"",'[1]Tasa de Falla'!HP71)</f>
      </c>
      <c r="K71" s="563">
        <f>IF('[1]Tasa de Falla'!HQ71=0,"",'[1]Tasa de Falla'!HQ71)</f>
      </c>
      <c r="L71" s="563">
        <f>IF('[1]Tasa de Falla'!HR71=0,"",'[1]Tasa de Falla'!HR71)</f>
      </c>
      <c r="M71" s="563">
        <f>IF('[1]Tasa de Falla'!HS71=0,"",'[1]Tasa de Falla'!HS71)</f>
      </c>
      <c r="N71" s="563">
        <f>IF('[1]Tasa de Falla'!HT71=0,"",'[1]Tasa de Falla'!HT71)</f>
      </c>
      <c r="O71" s="563">
        <f>IF('[1]Tasa de Falla'!HU71=0,"",'[1]Tasa de Falla'!HU71)</f>
      </c>
      <c r="P71" s="563">
        <f>IF('[1]Tasa de Falla'!HV71=0,"",'[1]Tasa de Falla'!HV71)</f>
      </c>
      <c r="Q71" s="563">
        <f>IF('[1]Tasa de Falla'!HW71=0,"",'[1]Tasa de Falla'!HW71)</f>
      </c>
      <c r="R71" s="563">
        <f>IF('[1]Tasa de Falla'!HX71=0,"",'[1]Tasa de Falla'!HX71)</f>
      </c>
      <c r="S71" s="566"/>
      <c r="T71" s="564"/>
    </row>
    <row r="72" spans="2:20" s="558" customFormat="1" ht="19.5" customHeight="1">
      <c r="B72" s="559"/>
      <c r="C72" s="565">
        <f>'[1]Tasa de Falla'!C72</f>
        <v>54</v>
      </c>
      <c r="D72" s="565" t="str">
        <f>'[1]Tasa de Falla'!D72</f>
        <v>LOS PIZARROS - LA COCHA</v>
      </c>
      <c r="E72" s="565">
        <f>'[1]Tasa de Falla'!E72</f>
        <v>132</v>
      </c>
      <c r="F72" s="565">
        <f>'[1]Tasa de Falla'!F72</f>
        <v>6.5</v>
      </c>
      <c r="G72" s="608">
        <f>IF('[1]Tasa de Falla'!HM72=0,"",'[1]Tasa de Falla'!HM72)</f>
      </c>
      <c r="H72" s="563">
        <f>IF('[1]Tasa de Falla'!HN72=0,"",'[1]Tasa de Falla'!HN72)</f>
      </c>
      <c r="I72" s="563">
        <f>IF('[1]Tasa de Falla'!HO72=0,"",'[1]Tasa de Falla'!HO72)</f>
      </c>
      <c r="J72" s="563">
        <f>IF('[1]Tasa de Falla'!HP72=0,"",'[1]Tasa de Falla'!HP72)</f>
      </c>
      <c r="K72" s="563">
        <f>IF('[1]Tasa de Falla'!HQ72=0,"",'[1]Tasa de Falla'!HQ72)</f>
      </c>
      <c r="L72" s="563">
        <f>IF('[1]Tasa de Falla'!HR72=0,"",'[1]Tasa de Falla'!HR72)</f>
      </c>
      <c r="M72" s="563">
        <f>IF('[1]Tasa de Falla'!HS72=0,"",'[1]Tasa de Falla'!HS72)</f>
      </c>
      <c r="N72" s="563">
        <f>IF('[1]Tasa de Falla'!HT72=0,"",'[1]Tasa de Falla'!HT72)</f>
      </c>
      <c r="O72" s="563">
        <f>IF('[1]Tasa de Falla'!HU72=0,"",'[1]Tasa de Falla'!HU72)</f>
      </c>
      <c r="P72" s="563">
        <f>IF('[1]Tasa de Falla'!HV72=0,"",'[1]Tasa de Falla'!HV72)</f>
      </c>
      <c r="Q72" s="563">
        <f>IF('[1]Tasa de Falla'!HW72=0,"",'[1]Tasa de Falla'!HW72)</f>
      </c>
      <c r="R72" s="563">
        <f>IF('[1]Tasa de Falla'!HX72=0,"",'[1]Tasa de Falla'!HX72)</f>
      </c>
      <c r="S72" s="566"/>
      <c r="T72" s="564"/>
    </row>
    <row r="73" spans="2:20" s="558" customFormat="1" ht="19.5" customHeight="1">
      <c r="B73" s="559"/>
      <c r="C73" s="565">
        <f>'[1]Tasa de Falla'!C73</f>
        <v>55</v>
      </c>
      <c r="D73" s="565" t="str">
        <f>'[1]Tasa de Falla'!D73</f>
        <v>HUACRA - LOS PIZARROS</v>
      </c>
      <c r="E73" s="565">
        <f>'[1]Tasa de Falla'!E73</f>
        <v>132</v>
      </c>
      <c r="F73" s="565">
        <f>'[1]Tasa de Falla'!F73</f>
        <v>28.5</v>
      </c>
      <c r="G73" s="608">
        <f>IF('[1]Tasa de Falla'!HM73=0,"",'[1]Tasa de Falla'!HM73)</f>
      </c>
      <c r="H73" s="563">
        <f>IF('[1]Tasa de Falla'!HN73=0,"",'[1]Tasa de Falla'!HN73)</f>
      </c>
      <c r="I73" s="563">
        <f>IF('[1]Tasa de Falla'!HO73=0,"",'[1]Tasa de Falla'!HO73)</f>
      </c>
      <c r="J73" s="563">
        <f>IF('[1]Tasa de Falla'!HP73=0,"",'[1]Tasa de Falla'!HP73)</f>
      </c>
      <c r="K73" s="563">
        <f>IF('[1]Tasa de Falla'!HQ73=0,"",'[1]Tasa de Falla'!HQ73)</f>
      </c>
      <c r="L73" s="563">
        <f>IF('[1]Tasa de Falla'!HR73=0,"",'[1]Tasa de Falla'!HR73)</f>
      </c>
      <c r="M73" s="563">
        <f>IF('[1]Tasa de Falla'!HS73=0,"",'[1]Tasa de Falla'!HS73)</f>
      </c>
      <c r="N73" s="563">
        <f>IF('[1]Tasa de Falla'!HT73=0,"",'[1]Tasa de Falla'!HT73)</f>
      </c>
      <c r="O73" s="563">
        <f>IF('[1]Tasa de Falla'!HU73=0,"",'[1]Tasa de Falla'!HU73)</f>
      </c>
      <c r="P73" s="563">
        <f>IF('[1]Tasa de Falla'!HV73=0,"",'[1]Tasa de Falla'!HV73)</f>
      </c>
      <c r="Q73" s="563">
        <f>IF('[1]Tasa de Falla'!HW73=0,"",'[1]Tasa de Falla'!HW73)</f>
      </c>
      <c r="R73" s="563">
        <f>IF('[1]Tasa de Falla'!HX73=0,"",'[1]Tasa de Falla'!HX73)</f>
      </c>
      <c r="S73" s="566"/>
      <c r="T73" s="564"/>
    </row>
    <row r="74" spans="2:20" s="558" customFormat="1" ht="19.5" customHeight="1">
      <c r="B74" s="559"/>
      <c r="C74" s="565">
        <f>'[1]Tasa de Falla'!C74</f>
        <v>56</v>
      </c>
      <c r="D74" s="565" t="str">
        <f>'[1]Tasa de Falla'!D74</f>
        <v>CEVIL POZO - AVELLANEDA</v>
      </c>
      <c r="E74" s="565">
        <f>'[1]Tasa de Falla'!E74</f>
        <v>132</v>
      </c>
      <c r="F74" s="565">
        <f>'[1]Tasa de Falla'!F74</f>
        <v>8</v>
      </c>
      <c r="G74" s="608">
        <f>IF('[1]Tasa de Falla'!HM74=0,"",'[1]Tasa de Falla'!HM74)</f>
      </c>
      <c r="H74" s="563">
        <f>IF('[1]Tasa de Falla'!HN74=0,"",'[1]Tasa de Falla'!HN74)</f>
      </c>
      <c r="I74" s="563">
        <f>IF('[1]Tasa de Falla'!HO74=0,"",'[1]Tasa de Falla'!HO74)</f>
      </c>
      <c r="J74" s="563">
        <f>IF('[1]Tasa de Falla'!HP74=0,"",'[1]Tasa de Falla'!HP74)</f>
      </c>
      <c r="K74" s="563">
        <f>IF('[1]Tasa de Falla'!HQ74=0,"",'[1]Tasa de Falla'!HQ74)</f>
      </c>
      <c r="L74" s="563">
        <f>IF('[1]Tasa de Falla'!HR74=0,"",'[1]Tasa de Falla'!HR74)</f>
      </c>
      <c r="M74" s="563">
        <f>IF('[1]Tasa de Falla'!HS74=0,"",'[1]Tasa de Falla'!HS74)</f>
      </c>
      <c r="N74" s="563">
        <f>IF('[1]Tasa de Falla'!HT74=0,"",'[1]Tasa de Falla'!HT74)</f>
      </c>
      <c r="O74" s="563">
        <f>IF('[1]Tasa de Falla'!HU74=0,"",'[1]Tasa de Falla'!HU74)</f>
      </c>
      <c r="P74" s="563">
        <f>IF('[1]Tasa de Falla'!HV74=0,"",'[1]Tasa de Falla'!HV74)</f>
      </c>
      <c r="Q74" s="563">
        <f>IF('[1]Tasa de Falla'!HW74=0,"",'[1]Tasa de Falla'!HW74)</f>
      </c>
      <c r="R74" s="563">
        <f>IF('[1]Tasa de Falla'!HX74=0,"",'[1]Tasa de Falla'!HX74)</f>
      </c>
      <c r="S74" s="566"/>
      <c r="T74" s="564"/>
    </row>
    <row r="75" spans="2:20" s="558" customFormat="1" ht="19.5" customHeight="1">
      <c r="B75" s="559"/>
      <c r="C75" s="565">
        <f>'[1]Tasa de Falla'!C75</f>
        <v>57</v>
      </c>
      <c r="D75" s="565" t="str">
        <f>'[1]Tasa de Falla'!D75</f>
        <v>CABRA CORRAL - SALTA ESTE</v>
      </c>
      <c r="E75" s="565">
        <f>'[1]Tasa de Falla'!E75</f>
        <v>132</v>
      </c>
      <c r="F75" s="565">
        <f>'[1]Tasa de Falla'!F75</f>
        <v>55</v>
      </c>
      <c r="G75" s="608">
        <f>IF('[1]Tasa de Falla'!HM75=0,"",'[1]Tasa de Falla'!HM75)</f>
      </c>
      <c r="H75" s="563">
        <f>IF('[1]Tasa de Falla'!HN75=0,"",'[1]Tasa de Falla'!HN75)</f>
      </c>
      <c r="I75" s="563">
        <f>IF('[1]Tasa de Falla'!HO75=0,"",'[1]Tasa de Falla'!HO75)</f>
      </c>
      <c r="J75" s="563">
        <f>IF('[1]Tasa de Falla'!HP75=0,"",'[1]Tasa de Falla'!HP75)</f>
      </c>
      <c r="K75" s="563">
        <f>IF('[1]Tasa de Falla'!HQ75=0,"",'[1]Tasa de Falla'!HQ75)</f>
      </c>
      <c r="L75" s="563">
        <f>IF('[1]Tasa de Falla'!HR75=0,"",'[1]Tasa de Falla'!HR75)</f>
        <v>2</v>
      </c>
      <c r="M75" s="563">
        <f>IF('[1]Tasa de Falla'!HS75=0,"",'[1]Tasa de Falla'!HS75)</f>
      </c>
      <c r="N75" s="563">
        <f>IF('[1]Tasa de Falla'!HT75=0,"",'[1]Tasa de Falla'!HT75)</f>
      </c>
      <c r="O75" s="563">
        <f>IF('[1]Tasa de Falla'!HU75=0,"",'[1]Tasa de Falla'!HU75)</f>
      </c>
      <c r="P75" s="563">
        <f>IF('[1]Tasa de Falla'!HV75=0,"",'[1]Tasa de Falla'!HV75)</f>
      </c>
      <c r="Q75" s="563">
        <f>IF('[1]Tasa de Falla'!HW75=0,"",'[1]Tasa de Falla'!HW75)</f>
      </c>
      <c r="R75" s="563">
        <f>IF('[1]Tasa de Falla'!HX75=0,"",'[1]Tasa de Falla'!HX75)</f>
      </c>
      <c r="S75" s="566"/>
      <c r="T75" s="564"/>
    </row>
    <row r="76" spans="2:20" s="558" customFormat="1" ht="19.5" customHeight="1">
      <c r="B76" s="559"/>
      <c r="C76" s="565">
        <f>'[1]Tasa de Falla'!C76</f>
        <v>58</v>
      </c>
      <c r="D76" s="565" t="str">
        <f>'[1]Tasa de Falla'!D76</f>
        <v>SALTA ESTE - SALTA SUR</v>
      </c>
      <c r="E76" s="565">
        <f>'[1]Tasa de Falla'!E76</f>
        <v>132</v>
      </c>
      <c r="F76" s="565">
        <f>'[1]Tasa de Falla'!F76</f>
        <v>7</v>
      </c>
      <c r="G76" s="608">
        <f>IF('[1]Tasa de Falla'!HM76=0,"",'[1]Tasa de Falla'!HM76)</f>
      </c>
      <c r="H76" s="563">
        <f>IF('[1]Tasa de Falla'!HN76=0,"",'[1]Tasa de Falla'!HN76)</f>
      </c>
      <c r="I76" s="563">
        <f>IF('[1]Tasa de Falla'!HO76=0,"",'[1]Tasa de Falla'!HO76)</f>
      </c>
      <c r="J76" s="563">
        <f>IF('[1]Tasa de Falla'!HP76=0,"",'[1]Tasa de Falla'!HP76)</f>
        <v>1</v>
      </c>
      <c r="K76" s="563">
        <f>IF('[1]Tasa de Falla'!HQ76=0,"",'[1]Tasa de Falla'!HQ76)</f>
      </c>
      <c r="L76" s="563">
        <f>IF('[1]Tasa de Falla'!HR76=0,"",'[1]Tasa de Falla'!HR76)</f>
        <v>1</v>
      </c>
      <c r="M76" s="563">
        <f>IF('[1]Tasa de Falla'!HS76=0,"",'[1]Tasa de Falla'!HS76)</f>
      </c>
      <c r="N76" s="563">
        <f>IF('[1]Tasa de Falla'!HT76=0,"",'[1]Tasa de Falla'!HT76)</f>
      </c>
      <c r="O76" s="563">
        <f>IF('[1]Tasa de Falla'!HU76=0,"",'[1]Tasa de Falla'!HU76)</f>
        <v>1</v>
      </c>
      <c r="P76" s="563">
        <f>IF('[1]Tasa de Falla'!HV76=0,"",'[1]Tasa de Falla'!HV76)</f>
      </c>
      <c r="Q76" s="563">
        <f>IF('[1]Tasa de Falla'!HW76=0,"",'[1]Tasa de Falla'!HW76)</f>
      </c>
      <c r="R76" s="563">
        <f>IF('[1]Tasa de Falla'!HX76=0,"",'[1]Tasa de Falla'!HX76)</f>
      </c>
      <c r="S76" s="566"/>
      <c r="T76" s="564"/>
    </row>
    <row r="77" spans="2:20" s="558" customFormat="1" ht="19.5" customHeight="1">
      <c r="B77" s="559"/>
      <c r="C77" s="565">
        <f>'[1]Tasa de Falla'!C77</f>
        <v>59</v>
      </c>
      <c r="D77" s="565" t="str">
        <f>'[1]Tasa de Falla'!D77</f>
        <v>V. QUINTEROS - ACONQUIJA - ANDALGALA</v>
      </c>
      <c r="E77" s="565">
        <f>'[1]Tasa de Falla'!E77</f>
        <v>132</v>
      </c>
      <c r="F77" s="565">
        <f>'[1]Tasa de Falla'!F77</f>
        <v>102</v>
      </c>
      <c r="G77" s="608">
        <f>IF('[1]Tasa de Falla'!HM77=0,"",'[1]Tasa de Falla'!HM77)</f>
      </c>
      <c r="H77" s="563">
        <f>IF('[1]Tasa de Falla'!HN77=0,"",'[1]Tasa de Falla'!HN77)</f>
      </c>
      <c r="I77" s="563">
        <f>IF('[1]Tasa de Falla'!HO77=0,"",'[1]Tasa de Falla'!HO77)</f>
      </c>
      <c r="J77" s="563">
        <f>IF('[1]Tasa de Falla'!HP77=0,"",'[1]Tasa de Falla'!HP77)</f>
      </c>
      <c r="K77" s="563">
        <f>IF('[1]Tasa de Falla'!HQ77=0,"",'[1]Tasa de Falla'!HQ77)</f>
        <v>1</v>
      </c>
      <c r="L77" s="563">
        <f>IF('[1]Tasa de Falla'!HR77=0,"",'[1]Tasa de Falla'!HR77)</f>
      </c>
      <c r="M77" s="563">
        <f>IF('[1]Tasa de Falla'!HS77=0,"",'[1]Tasa de Falla'!HS77)</f>
      </c>
      <c r="N77" s="563">
        <f>IF('[1]Tasa de Falla'!HT77=0,"",'[1]Tasa de Falla'!HT77)</f>
        <v>1</v>
      </c>
      <c r="O77" s="563">
        <f>IF('[1]Tasa de Falla'!HU77=0,"",'[1]Tasa de Falla'!HU77)</f>
        <v>1</v>
      </c>
      <c r="P77" s="563">
        <f>IF('[1]Tasa de Falla'!HV77=0,"",'[1]Tasa de Falla'!HV77)</f>
      </c>
      <c r="Q77" s="563">
        <f>IF('[1]Tasa de Falla'!HW77=0,"",'[1]Tasa de Falla'!HW77)</f>
      </c>
      <c r="R77" s="563">
        <f>IF('[1]Tasa de Falla'!HX77=0,"",'[1]Tasa de Falla'!HX77)</f>
      </c>
      <c r="S77" s="566"/>
      <c r="T77" s="564"/>
    </row>
    <row r="78" spans="2:20" s="558" customFormat="1" ht="19.5" customHeight="1">
      <c r="B78" s="559"/>
      <c r="C78" s="565">
        <f>'[1]Tasa de Falla'!C78</f>
        <v>60</v>
      </c>
      <c r="D78" s="565" t="str">
        <f>'[1]Tasa de Falla'!D78</f>
        <v>ANDALGALA - BELEN</v>
      </c>
      <c r="E78" s="565">
        <f>'[1]Tasa de Falla'!E78</f>
        <v>132</v>
      </c>
      <c r="F78" s="565">
        <f>'[1]Tasa de Falla'!F78</f>
        <v>80.3</v>
      </c>
      <c r="G78" s="608">
        <f>IF('[1]Tasa de Falla'!HM78=0,"",'[1]Tasa de Falla'!HM78)</f>
      </c>
      <c r="H78" s="563">
        <f>IF('[1]Tasa de Falla'!HN78=0,"",'[1]Tasa de Falla'!HN78)</f>
      </c>
      <c r="I78" s="563">
        <f>IF('[1]Tasa de Falla'!HO78=0,"",'[1]Tasa de Falla'!HO78)</f>
      </c>
      <c r="J78" s="563">
        <f>IF('[1]Tasa de Falla'!HP78=0,"",'[1]Tasa de Falla'!HP78)</f>
      </c>
      <c r="K78" s="563">
        <f>IF('[1]Tasa de Falla'!HQ78=0,"",'[1]Tasa de Falla'!HQ78)</f>
      </c>
      <c r="L78" s="563">
        <f>IF('[1]Tasa de Falla'!HR78=0,"",'[1]Tasa de Falla'!HR78)</f>
      </c>
      <c r="M78" s="563">
        <f>IF('[1]Tasa de Falla'!HS78=0,"",'[1]Tasa de Falla'!HS78)</f>
      </c>
      <c r="N78" s="563">
        <f>IF('[1]Tasa de Falla'!HT78=0,"",'[1]Tasa de Falla'!HT78)</f>
      </c>
      <c r="O78" s="563">
        <f>IF('[1]Tasa de Falla'!HU78=0,"",'[1]Tasa de Falla'!HU78)</f>
      </c>
      <c r="P78" s="563">
        <f>IF('[1]Tasa de Falla'!HV78=0,"",'[1]Tasa de Falla'!HV78)</f>
      </c>
      <c r="Q78" s="563">
        <f>IF('[1]Tasa de Falla'!HW78=0,"",'[1]Tasa de Falla'!HW78)</f>
      </c>
      <c r="R78" s="563">
        <f>IF('[1]Tasa de Falla'!HX78=0,"",'[1]Tasa de Falla'!HX78)</f>
      </c>
      <c r="S78" s="566"/>
      <c r="T78" s="564"/>
    </row>
    <row r="79" spans="2:20" s="558" customFormat="1" ht="19.5" customHeight="1">
      <c r="B79" s="559"/>
      <c r="C79" s="565">
        <f>'[1]Tasa de Falla'!C79</f>
        <v>61</v>
      </c>
      <c r="D79" s="565" t="str">
        <f>'[1]Tasa de Falla'!D79</f>
        <v>TUCUMAN NORTE - TRANCAS</v>
      </c>
      <c r="E79" s="565">
        <f>'[1]Tasa de Falla'!E79</f>
        <v>132</v>
      </c>
      <c r="F79" s="565">
        <f>'[1]Tasa de Falla'!F79</f>
        <v>75</v>
      </c>
      <c r="G79" s="608">
        <f>IF('[1]Tasa de Falla'!HM79=0,"",'[1]Tasa de Falla'!HM79)</f>
      </c>
      <c r="H79" s="563">
        <f>IF('[1]Tasa de Falla'!HN79=0,"",'[1]Tasa de Falla'!HN79)</f>
      </c>
      <c r="I79" s="563">
        <f>IF('[1]Tasa de Falla'!HO79=0,"",'[1]Tasa de Falla'!HO79)</f>
      </c>
      <c r="J79" s="563">
        <f>IF('[1]Tasa de Falla'!HP79=0,"",'[1]Tasa de Falla'!HP79)</f>
      </c>
      <c r="K79" s="563">
        <f>IF('[1]Tasa de Falla'!HQ79=0,"",'[1]Tasa de Falla'!HQ79)</f>
      </c>
      <c r="L79" s="563">
        <f>IF('[1]Tasa de Falla'!HR79=0,"",'[1]Tasa de Falla'!HR79)</f>
        <v>1</v>
      </c>
      <c r="M79" s="563">
        <f>IF('[1]Tasa de Falla'!HS79=0,"",'[1]Tasa de Falla'!HS79)</f>
      </c>
      <c r="N79" s="563">
        <f>IF('[1]Tasa de Falla'!HT79=0,"",'[1]Tasa de Falla'!HT79)</f>
      </c>
      <c r="O79" s="563">
        <f>IF('[1]Tasa de Falla'!HU79=0,"",'[1]Tasa de Falla'!HU79)</f>
      </c>
      <c r="P79" s="563">
        <f>IF('[1]Tasa de Falla'!HV79=0,"",'[1]Tasa de Falla'!HV79)</f>
      </c>
      <c r="Q79" s="563">
        <f>IF('[1]Tasa de Falla'!HW79=0,"",'[1]Tasa de Falla'!HW79)</f>
      </c>
      <c r="R79" s="563">
        <f>IF('[1]Tasa de Falla'!HX79=0,"",'[1]Tasa de Falla'!HX79)</f>
      </c>
      <c r="S79" s="566"/>
      <c r="T79" s="564"/>
    </row>
    <row r="80" spans="2:20" s="558" customFormat="1" ht="19.5" customHeight="1">
      <c r="B80" s="559"/>
      <c r="C80" s="565">
        <f>'[1]Tasa de Falla'!C80</f>
        <v>62</v>
      </c>
      <c r="D80" s="565" t="str">
        <f>'[1]Tasa de Falla'!D80</f>
        <v>CABRA CORRAL - TRANCAS</v>
      </c>
      <c r="E80" s="565">
        <f>'[1]Tasa de Falla'!E80</f>
        <v>132</v>
      </c>
      <c r="F80" s="565">
        <f>'[1]Tasa de Falla'!F80</f>
        <v>115</v>
      </c>
      <c r="G80" s="608" t="str">
        <f>IF('[1]Tasa de Falla'!HM80=0,"",'[1]Tasa de Falla'!HM80)</f>
        <v>XXXX</v>
      </c>
      <c r="H80" s="563" t="str">
        <f>IF('[1]Tasa de Falla'!HN80=0,"",'[1]Tasa de Falla'!HN80)</f>
        <v>XXXX</v>
      </c>
      <c r="I80" s="563" t="str">
        <f>IF('[1]Tasa de Falla'!HO80=0,"",'[1]Tasa de Falla'!HO80)</f>
        <v>XXXX</v>
      </c>
      <c r="J80" s="563" t="str">
        <f>IF('[1]Tasa de Falla'!HP80=0,"",'[1]Tasa de Falla'!HP80)</f>
        <v>XXXX</v>
      </c>
      <c r="K80" s="563" t="str">
        <f>IF('[1]Tasa de Falla'!HQ80=0,"",'[1]Tasa de Falla'!HQ80)</f>
        <v>XXXX</v>
      </c>
      <c r="L80" s="563" t="str">
        <f>IF('[1]Tasa de Falla'!HR80=0,"",'[1]Tasa de Falla'!HR80)</f>
        <v>XXXX</v>
      </c>
      <c r="M80" s="563" t="str">
        <f>IF('[1]Tasa de Falla'!HS80=0,"",'[1]Tasa de Falla'!HS80)</f>
        <v>XXXX</v>
      </c>
      <c r="N80" s="563" t="str">
        <f>IF('[1]Tasa de Falla'!HT80=0,"",'[1]Tasa de Falla'!HT80)</f>
        <v>XXXX</v>
      </c>
      <c r="O80" s="563" t="str">
        <f>IF('[1]Tasa de Falla'!HU80=0,"",'[1]Tasa de Falla'!HU80)</f>
        <v>XXXX</v>
      </c>
      <c r="P80" s="563" t="str">
        <f>IF('[1]Tasa de Falla'!HV80=0,"",'[1]Tasa de Falla'!HV80)</f>
        <v>XXXX</v>
      </c>
      <c r="Q80" s="563" t="str">
        <f>IF('[1]Tasa de Falla'!HW80=0,"",'[1]Tasa de Falla'!HW80)</f>
        <v>XXXX</v>
      </c>
      <c r="R80" s="563" t="str">
        <f>IF('[1]Tasa de Falla'!HX80=0,"",'[1]Tasa de Falla'!HX80)</f>
        <v>XXXX</v>
      </c>
      <c r="S80" s="566"/>
      <c r="T80" s="564"/>
    </row>
    <row r="81" spans="2:20" s="558" customFormat="1" ht="19.5" customHeight="1">
      <c r="B81" s="559"/>
      <c r="C81" s="565">
        <f>'[1]Tasa de Falla'!C81</f>
        <v>63</v>
      </c>
      <c r="D81" s="565" t="str">
        <f>'[1]Tasa de Falla'!D81</f>
        <v>LAS MADERAS - JUJUY SUR</v>
      </c>
      <c r="E81" s="565">
        <f>'[1]Tasa de Falla'!E81</f>
        <v>132</v>
      </c>
      <c r="F81" s="565">
        <f>'[1]Tasa de Falla'!F81</f>
        <v>29</v>
      </c>
      <c r="G81" s="608">
        <f>IF('[1]Tasa de Falla'!HM81=0,"",'[1]Tasa de Falla'!HM81)</f>
        <v>1</v>
      </c>
      <c r="H81" s="563">
        <f>IF('[1]Tasa de Falla'!HN81=0,"",'[1]Tasa de Falla'!HN81)</f>
      </c>
      <c r="I81" s="563">
        <f>IF('[1]Tasa de Falla'!HO81=0,"",'[1]Tasa de Falla'!HO81)</f>
      </c>
      <c r="J81" s="563">
        <f>IF('[1]Tasa de Falla'!HP81=0,"",'[1]Tasa de Falla'!HP81)</f>
      </c>
      <c r="K81" s="563">
        <f>IF('[1]Tasa de Falla'!HQ81=0,"",'[1]Tasa de Falla'!HQ81)</f>
      </c>
      <c r="L81" s="563">
        <f>IF('[1]Tasa de Falla'!HR81=0,"",'[1]Tasa de Falla'!HR81)</f>
      </c>
      <c r="M81" s="563">
        <f>IF('[1]Tasa de Falla'!HS81=0,"",'[1]Tasa de Falla'!HS81)</f>
      </c>
      <c r="N81" s="563">
        <f>IF('[1]Tasa de Falla'!HT81=0,"",'[1]Tasa de Falla'!HT81)</f>
      </c>
      <c r="O81" s="563">
        <f>IF('[1]Tasa de Falla'!HU81=0,"",'[1]Tasa de Falla'!HU81)</f>
      </c>
      <c r="P81" s="563">
        <f>IF('[1]Tasa de Falla'!HV81=0,"",'[1]Tasa de Falla'!HV81)</f>
        <v>1</v>
      </c>
      <c r="Q81" s="563">
        <f>IF('[1]Tasa de Falla'!HW81=0,"",'[1]Tasa de Falla'!HW81)</f>
      </c>
      <c r="R81" s="563">
        <f>IF('[1]Tasa de Falla'!HX81=0,"",'[1]Tasa de Falla'!HX81)</f>
      </c>
      <c r="S81" s="566"/>
      <c r="T81" s="564"/>
    </row>
    <row r="82" spans="2:20" s="558" customFormat="1" ht="19.5" customHeight="1">
      <c r="B82" s="559"/>
      <c r="C82" s="565">
        <f>'[1]Tasa de Falla'!C82</f>
        <v>64</v>
      </c>
      <c r="D82" s="565" t="str">
        <f>'[1]Tasa de Falla'!D82</f>
        <v>BELEN - TINOGASTA</v>
      </c>
      <c r="E82" s="565">
        <f>'[1]Tasa de Falla'!E82</f>
        <v>132</v>
      </c>
      <c r="F82" s="565">
        <f>'[1]Tasa de Falla'!F82</f>
        <v>72</v>
      </c>
      <c r="G82" s="608">
        <f>IF('[1]Tasa de Falla'!HM82=0,"",'[1]Tasa de Falla'!HM82)</f>
      </c>
      <c r="H82" s="563">
        <f>IF('[1]Tasa de Falla'!HN82=0,"",'[1]Tasa de Falla'!HN82)</f>
      </c>
      <c r="I82" s="563">
        <f>IF('[1]Tasa de Falla'!HO82=0,"",'[1]Tasa de Falla'!HO82)</f>
      </c>
      <c r="J82" s="563">
        <f>IF('[1]Tasa de Falla'!HP82=0,"",'[1]Tasa de Falla'!HP82)</f>
      </c>
      <c r="K82" s="563">
        <f>IF('[1]Tasa de Falla'!HQ82=0,"",'[1]Tasa de Falla'!HQ82)</f>
      </c>
      <c r="L82" s="563">
        <f>IF('[1]Tasa de Falla'!HR82=0,"",'[1]Tasa de Falla'!HR82)</f>
      </c>
      <c r="M82" s="563">
        <f>IF('[1]Tasa de Falla'!HS82=0,"",'[1]Tasa de Falla'!HS82)</f>
      </c>
      <c r="N82" s="563">
        <f>IF('[1]Tasa de Falla'!HT82=0,"",'[1]Tasa de Falla'!HT82)</f>
      </c>
      <c r="O82" s="563">
        <f>IF('[1]Tasa de Falla'!HU82=0,"",'[1]Tasa de Falla'!HU82)</f>
        <v>1</v>
      </c>
      <c r="P82" s="563">
        <f>IF('[1]Tasa de Falla'!HV82=0,"",'[1]Tasa de Falla'!HV82)</f>
        <v>1</v>
      </c>
      <c r="Q82" s="563">
        <f>IF('[1]Tasa de Falla'!HW82=0,"",'[1]Tasa de Falla'!HW82)</f>
      </c>
      <c r="R82" s="563">
        <f>IF('[1]Tasa de Falla'!HX82=0,"",'[1]Tasa de Falla'!HX82)</f>
      </c>
      <c r="S82" s="566"/>
      <c r="T82" s="564"/>
    </row>
    <row r="83" spans="2:20" s="558" customFormat="1" ht="19.5" customHeight="1">
      <c r="B83" s="559"/>
      <c r="C83" s="565">
        <f>'[1]Tasa de Falla'!C83</f>
        <v>65</v>
      </c>
      <c r="D83" s="565" t="str">
        <f>'[1]Tasa de Falla'!D83</f>
        <v>BURRUYACU - CEVIL POZO</v>
      </c>
      <c r="E83" s="565">
        <f>'[1]Tasa de Falla'!E83</f>
        <v>132</v>
      </c>
      <c r="F83" s="565">
        <f>'[1]Tasa de Falla'!F83</f>
        <v>56</v>
      </c>
      <c r="G83" s="608">
        <f>IF('[1]Tasa de Falla'!HM83=0,"",'[1]Tasa de Falla'!HM83)</f>
      </c>
      <c r="H83" s="563">
        <f>IF('[1]Tasa de Falla'!HN83=0,"",'[1]Tasa de Falla'!HN83)</f>
      </c>
      <c r="I83" s="563">
        <f>IF('[1]Tasa de Falla'!HO83=0,"",'[1]Tasa de Falla'!HO83)</f>
      </c>
      <c r="J83" s="563">
        <f>IF('[1]Tasa de Falla'!HP83=0,"",'[1]Tasa de Falla'!HP83)</f>
        <v>1</v>
      </c>
      <c r="K83" s="563">
        <f>IF('[1]Tasa de Falla'!HQ83=0,"",'[1]Tasa de Falla'!HQ83)</f>
      </c>
      <c r="L83" s="563">
        <f>IF('[1]Tasa de Falla'!HR83=0,"",'[1]Tasa de Falla'!HR83)</f>
      </c>
      <c r="M83" s="563">
        <f>IF('[1]Tasa de Falla'!HS83=0,"",'[1]Tasa de Falla'!HS83)</f>
      </c>
      <c r="N83" s="563">
        <f>IF('[1]Tasa de Falla'!HT83=0,"",'[1]Tasa de Falla'!HT83)</f>
      </c>
      <c r="O83" s="563">
        <f>IF('[1]Tasa de Falla'!HU83=0,"",'[1]Tasa de Falla'!HU83)</f>
      </c>
      <c r="P83" s="563">
        <f>IF('[1]Tasa de Falla'!HV83=0,"",'[1]Tasa de Falla'!HV83)</f>
      </c>
      <c r="Q83" s="563">
        <f>IF('[1]Tasa de Falla'!HW83=0,"",'[1]Tasa de Falla'!HW83)</f>
      </c>
      <c r="R83" s="563">
        <f>IF('[1]Tasa de Falla'!HX83=0,"",'[1]Tasa de Falla'!HX83)</f>
      </c>
      <c r="S83" s="566"/>
      <c r="T83" s="564"/>
    </row>
    <row r="84" spans="2:20" s="558" customFormat="1" ht="19.5" customHeight="1">
      <c r="B84" s="559"/>
      <c r="C84" s="565">
        <f>'[1]Tasa de Falla'!C84</f>
        <v>66</v>
      </c>
      <c r="D84" s="565" t="str">
        <f>'[1]Tasa de Falla'!D84</f>
        <v>GÜEMES - BURRUYACU</v>
      </c>
      <c r="E84" s="565">
        <f>'[1]Tasa de Falla'!E84</f>
        <v>132</v>
      </c>
      <c r="F84" s="565">
        <f>'[1]Tasa de Falla'!F84</f>
        <v>235.1</v>
      </c>
      <c r="G84" s="608" t="str">
        <f>IF('[1]Tasa de Falla'!HM84=0,"",'[1]Tasa de Falla'!HM84)</f>
        <v>XXXX</v>
      </c>
      <c r="H84" s="563" t="str">
        <f>IF('[1]Tasa de Falla'!HN84=0,"",'[1]Tasa de Falla'!HN84)</f>
        <v>XXXX</v>
      </c>
      <c r="I84" s="563" t="str">
        <f>IF('[1]Tasa de Falla'!HO84=0,"",'[1]Tasa de Falla'!HO84)</f>
        <v>XXXX</v>
      </c>
      <c r="J84" s="563" t="str">
        <f>IF('[1]Tasa de Falla'!HP84=0,"",'[1]Tasa de Falla'!HP84)</f>
        <v>XXXX</v>
      </c>
      <c r="K84" s="563" t="str">
        <f>IF('[1]Tasa de Falla'!HQ84=0,"",'[1]Tasa de Falla'!HQ84)</f>
        <v>XXXX</v>
      </c>
      <c r="L84" s="563" t="str">
        <f>IF('[1]Tasa de Falla'!HR84=0,"",'[1]Tasa de Falla'!HR84)</f>
        <v>XXXX</v>
      </c>
      <c r="M84" s="563" t="str">
        <f>IF('[1]Tasa de Falla'!HS84=0,"",'[1]Tasa de Falla'!HS84)</f>
        <v>XXXX</v>
      </c>
      <c r="N84" s="563" t="str">
        <f>IF('[1]Tasa de Falla'!HT84=0,"",'[1]Tasa de Falla'!HT84)</f>
        <v>XXXX</v>
      </c>
      <c r="O84" s="563" t="str">
        <f>IF('[1]Tasa de Falla'!HU84=0,"",'[1]Tasa de Falla'!HU84)</f>
        <v>XXXX</v>
      </c>
      <c r="P84" s="563" t="str">
        <f>IF('[1]Tasa de Falla'!HV84=0,"",'[1]Tasa de Falla'!HV84)</f>
        <v>XXXX</v>
      </c>
      <c r="Q84" s="563" t="str">
        <f>IF('[1]Tasa de Falla'!HW84=0,"",'[1]Tasa de Falla'!HW84)</f>
        <v>XXXX</v>
      </c>
      <c r="R84" s="563" t="str">
        <f>IF('[1]Tasa de Falla'!HX84=0,"",'[1]Tasa de Falla'!HX84)</f>
        <v>XXXX</v>
      </c>
      <c r="S84" s="566"/>
      <c r="T84" s="564"/>
    </row>
    <row r="85" spans="2:20" s="558" customFormat="1" ht="19.5" customHeight="1">
      <c r="B85" s="559"/>
      <c r="C85" s="565">
        <f>'[1]Tasa de Falla'!C85</f>
        <v>67</v>
      </c>
      <c r="D85" s="565" t="str">
        <f>'[1]Tasa de Falla'!D85</f>
        <v>FRIAS - RECREO</v>
      </c>
      <c r="E85" s="565">
        <f>'[1]Tasa de Falla'!E85</f>
        <v>132</v>
      </c>
      <c r="F85" s="565">
        <f>'[1]Tasa de Falla'!F85</f>
        <v>74.54</v>
      </c>
      <c r="G85" s="608">
        <f>IF('[1]Tasa de Falla'!HM85=0,"",'[1]Tasa de Falla'!HM85)</f>
      </c>
      <c r="H85" s="563">
        <f>IF('[1]Tasa de Falla'!HN85=0,"",'[1]Tasa de Falla'!HN85)</f>
      </c>
      <c r="I85" s="563">
        <f>IF('[1]Tasa de Falla'!HO85=0,"",'[1]Tasa de Falla'!HO85)</f>
      </c>
      <c r="J85" s="563">
        <f>IF('[1]Tasa de Falla'!HP85=0,"",'[1]Tasa de Falla'!HP85)</f>
      </c>
      <c r="K85" s="563">
        <f>IF('[1]Tasa de Falla'!HQ85=0,"",'[1]Tasa de Falla'!HQ85)</f>
      </c>
      <c r="L85" s="563">
        <f>IF('[1]Tasa de Falla'!HR85=0,"",'[1]Tasa de Falla'!HR85)</f>
      </c>
      <c r="M85" s="563">
        <f>IF('[1]Tasa de Falla'!HS85=0,"",'[1]Tasa de Falla'!HS85)</f>
      </c>
      <c r="N85" s="563">
        <f>IF('[1]Tasa de Falla'!HT85=0,"",'[1]Tasa de Falla'!HT85)</f>
      </c>
      <c r="O85" s="563">
        <f>IF('[1]Tasa de Falla'!HU85=0,"",'[1]Tasa de Falla'!HU85)</f>
      </c>
      <c r="P85" s="563">
        <f>IF('[1]Tasa de Falla'!HV85=0,"",'[1]Tasa de Falla'!HV85)</f>
      </c>
      <c r="Q85" s="563">
        <f>IF('[1]Tasa de Falla'!HW85=0,"",'[1]Tasa de Falla'!HW85)</f>
      </c>
      <c r="R85" s="563">
        <f>IF('[1]Tasa de Falla'!HX85=0,"",'[1]Tasa de Falla'!HX85)</f>
      </c>
      <c r="S85" s="566"/>
      <c r="T85" s="564"/>
    </row>
    <row r="86" spans="2:20" s="558" customFormat="1" ht="19.5" customHeight="1">
      <c r="B86" s="559"/>
      <c r="C86" s="565">
        <f>'[1]Tasa de Falla'!C86</f>
        <v>68</v>
      </c>
      <c r="D86" s="565" t="str">
        <f>'[1]Tasa de Falla'!D86</f>
        <v>RECREO - LA RIOJA 1</v>
      </c>
      <c r="E86" s="565">
        <f>'[1]Tasa de Falla'!E86</f>
        <v>132</v>
      </c>
      <c r="F86" s="565">
        <f>'[1]Tasa de Falla'!F86</f>
        <v>221</v>
      </c>
      <c r="G86" s="608">
        <f>IF('[1]Tasa de Falla'!HM86=0,"",'[1]Tasa de Falla'!HM86)</f>
      </c>
      <c r="H86" s="563">
        <f>IF('[1]Tasa de Falla'!HN86=0,"",'[1]Tasa de Falla'!HN86)</f>
      </c>
      <c r="I86" s="563">
        <f>IF('[1]Tasa de Falla'!HO86=0,"",'[1]Tasa de Falla'!HO86)</f>
      </c>
      <c r="J86" s="563">
        <f>IF('[1]Tasa de Falla'!HP86=0,"",'[1]Tasa de Falla'!HP86)</f>
      </c>
      <c r="K86" s="563">
        <f>IF('[1]Tasa de Falla'!HQ86=0,"",'[1]Tasa de Falla'!HQ86)</f>
      </c>
      <c r="L86" s="563">
        <f>IF('[1]Tasa de Falla'!HR86=0,"",'[1]Tasa de Falla'!HR86)</f>
      </c>
      <c r="M86" s="563">
        <f>IF('[1]Tasa de Falla'!HS86=0,"",'[1]Tasa de Falla'!HS86)</f>
      </c>
      <c r="N86" s="563">
        <f>IF('[1]Tasa de Falla'!HT86=0,"",'[1]Tasa de Falla'!HT86)</f>
      </c>
      <c r="O86" s="563">
        <f>IF('[1]Tasa de Falla'!HU86=0,"",'[1]Tasa de Falla'!HU86)</f>
      </c>
      <c r="P86" s="563">
        <f>IF('[1]Tasa de Falla'!HV86=0,"",'[1]Tasa de Falla'!HV86)</f>
      </c>
      <c r="Q86" s="563">
        <f>IF('[1]Tasa de Falla'!HW86=0,"",'[1]Tasa de Falla'!HW86)</f>
      </c>
      <c r="R86" s="563">
        <f>IF('[1]Tasa de Falla'!HX86=0,"",'[1]Tasa de Falla'!HX86)</f>
      </c>
      <c r="S86" s="566"/>
      <c r="T86" s="564"/>
    </row>
    <row r="87" spans="2:20" s="558" customFormat="1" ht="19.5" customHeight="1">
      <c r="B87" s="559"/>
      <c r="C87" s="565">
        <f>'[1]Tasa de Falla'!C87</f>
        <v>69</v>
      </c>
      <c r="D87" s="565" t="str">
        <f>'[1]Tasa de Falla'!D87</f>
        <v>RECREO - LA RIOJA 2</v>
      </c>
      <c r="E87" s="565">
        <f>'[1]Tasa de Falla'!E87</f>
        <v>132</v>
      </c>
      <c r="F87" s="565">
        <f>'[1]Tasa de Falla'!F87</f>
        <v>220</v>
      </c>
      <c r="G87" s="608">
        <f>IF('[1]Tasa de Falla'!HM87=0,"",'[1]Tasa de Falla'!HM87)</f>
      </c>
      <c r="H87" s="563">
        <f>IF('[1]Tasa de Falla'!HN87=0,"",'[1]Tasa de Falla'!HN87)</f>
      </c>
      <c r="I87" s="563">
        <f>IF('[1]Tasa de Falla'!HO87=0,"",'[1]Tasa de Falla'!HO87)</f>
      </c>
      <c r="J87" s="563">
        <f>IF('[1]Tasa de Falla'!HP87=0,"",'[1]Tasa de Falla'!HP87)</f>
      </c>
      <c r="K87" s="563">
        <f>IF('[1]Tasa de Falla'!HQ87=0,"",'[1]Tasa de Falla'!HQ87)</f>
      </c>
      <c r="L87" s="563">
        <f>IF('[1]Tasa de Falla'!HR87=0,"",'[1]Tasa de Falla'!HR87)</f>
      </c>
      <c r="M87" s="563">
        <f>IF('[1]Tasa de Falla'!HS87=0,"",'[1]Tasa de Falla'!HS87)</f>
      </c>
      <c r="N87" s="563">
        <f>IF('[1]Tasa de Falla'!HT87=0,"",'[1]Tasa de Falla'!HT87)</f>
      </c>
      <c r="O87" s="563">
        <f>IF('[1]Tasa de Falla'!HU87=0,"",'[1]Tasa de Falla'!HU87)</f>
      </c>
      <c r="P87" s="563">
        <f>IF('[1]Tasa de Falla'!HV87=0,"",'[1]Tasa de Falla'!HV87)</f>
      </c>
      <c r="Q87" s="563">
        <f>IF('[1]Tasa de Falla'!HW87=0,"",'[1]Tasa de Falla'!HW87)</f>
      </c>
      <c r="R87" s="563">
        <f>IF('[1]Tasa de Falla'!HX87=0,"",'[1]Tasa de Falla'!HX87)</f>
      </c>
      <c r="S87" s="566"/>
      <c r="T87" s="564"/>
    </row>
    <row r="88" spans="2:20" s="558" customFormat="1" ht="19.5" customHeight="1">
      <c r="B88" s="559"/>
      <c r="C88" s="565">
        <f>'[1]Tasa de Falla'!C88</f>
        <v>70</v>
      </c>
      <c r="D88" s="565" t="str">
        <f>'[1]Tasa de Falla'!D88</f>
        <v>RECREO - CATAMARCA</v>
      </c>
      <c r="E88" s="565">
        <f>'[1]Tasa de Falla'!E88</f>
        <v>132</v>
      </c>
      <c r="F88" s="565">
        <f>'[1]Tasa de Falla'!F88</f>
        <v>203</v>
      </c>
      <c r="G88" s="608">
        <f>IF('[1]Tasa de Falla'!HM88=0,"",'[1]Tasa de Falla'!HM88)</f>
      </c>
      <c r="H88" s="563">
        <f>IF('[1]Tasa de Falla'!HN88=0,"",'[1]Tasa de Falla'!HN88)</f>
      </c>
      <c r="I88" s="563">
        <f>IF('[1]Tasa de Falla'!HO88=0,"",'[1]Tasa de Falla'!HO88)</f>
      </c>
      <c r="J88" s="563">
        <f>IF('[1]Tasa de Falla'!HP88=0,"",'[1]Tasa de Falla'!HP88)</f>
      </c>
      <c r="K88" s="563">
        <f>IF('[1]Tasa de Falla'!HQ88=0,"",'[1]Tasa de Falla'!HQ88)</f>
      </c>
      <c r="L88" s="563">
        <f>IF('[1]Tasa de Falla'!HR88=0,"",'[1]Tasa de Falla'!HR88)</f>
      </c>
      <c r="M88" s="563">
        <f>IF('[1]Tasa de Falla'!HS88=0,"",'[1]Tasa de Falla'!HS88)</f>
      </c>
      <c r="N88" s="563">
        <f>IF('[1]Tasa de Falla'!HT88=0,"",'[1]Tasa de Falla'!HT88)</f>
      </c>
      <c r="O88" s="563">
        <f>IF('[1]Tasa de Falla'!HU88=0,"",'[1]Tasa de Falla'!HU88)</f>
      </c>
      <c r="P88" s="563">
        <f>IF('[1]Tasa de Falla'!HV88=0,"",'[1]Tasa de Falla'!HV88)</f>
      </c>
      <c r="Q88" s="563">
        <f>IF('[1]Tasa de Falla'!HW88=0,"",'[1]Tasa de Falla'!HW88)</f>
      </c>
      <c r="R88" s="563">
        <f>IF('[1]Tasa de Falla'!HX88=0,"",'[1]Tasa de Falla'!HX88)</f>
      </c>
      <c r="S88" s="566"/>
      <c r="T88" s="564"/>
    </row>
    <row r="89" spans="2:20" s="558" customFormat="1" ht="19.5" customHeight="1">
      <c r="B89" s="559"/>
      <c r="C89" s="565">
        <f>'[1]Tasa de Falla'!C89</f>
        <v>71</v>
      </c>
      <c r="D89" s="565" t="str">
        <f>'[1]Tasa de Falla'!D89</f>
        <v>CABRA CORRAL - EL CARRIL</v>
      </c>
      <c r="E89" s="565">
        <f>'[1]Tasa de Falla'!E89</f>
        <v>132</v>
      </c>
      <c r="F89" s="565">
        <f>'[1]Tasa de Falla'!F89</f>
        <v>33.55</v>
      </c>
      <c r="G89" s="608">
        <f>IF('[1]Tasa de Falla'!HM89=0,"",'[1]Tasa de Falla'!HM89)</f>
      </c>
      <c r="H89" s="563">
        <f>IF('[1]Tasa de Falla'!HN89=0,"",'[1]Tasa de Falla'!HN89)</f>
      </c>
      <c r="I89" s="563">
        <f>IF('[1]Tasa de Falla'!HO89=0,"",'[1]Tasa de Falla'!HO89)</f>
      </c>
      <c r="J89" s="563">
        <f>IF('[1]Tasa de Falla'!HP89=0,"",'[1]Tasa de Falla'!HP89)</f>
      </c>
      <c r="K89" s="563">
        <f>IF('[1]Tasa de Falla'!HQ89=0,"",'[1]Tasa de Falla'!HQ89)</f>
      </c>
      <c r="L89" s="563">
        <f>IF('[1]Tasa de Falla'!HR89=0,"",'[1]Tasa de Falla'!HR89)</f>
      </c>
      <c r="M89" s="563">
        <f>IF('[1]Tasa de Falla'!HS89=0,"",'[1]Tasa de Falla'!HS89)</f>
      </c>
      <c r="N89" s="563">
        <f>IF('[1]Tasa de Falla'!HT89=0,"",'[1]Tasa de Falla'!HT89)</f>
      </c>
      <c r="O89" s="563">
        <f>IF('[1]Tasa de Falla'!HU89=0,"",'[1]Tasa de Falla'!HU89)</f>
      </c>
      <c r="P89" s="563">
        <f>IF('[1]Tasa de Falla'!HV89=0,"",'[1]Tasa de Falla'!HV89)</f>
      </c>
      <c r="Q89" s="563">
        <f>IF('[1]Tasa de Falla'!HW89=0,"",'[1]Tasa de Falla'!HW89)</f>
        <v>2</v>
      </c>
      <c r="R89" s="563">
        <f>IF('[1]Tasa de Falla'!HX89=0,"",'[1]Tasa de Falla'!HX89)</f>
      </c>
      <c r="S89" s="566"/>
      <c r="T89" s="564"/>
    </row>
    <row r="90" spans="2:20" s="558" customFormat="1" ht="19.5" customHeight="1">
      <c r="B90" s="559"/>
      <c r="C90" s="565">
        <f>'[1]Tasa de Falla'!C90</f>
        <v>72</v>
      </c>
      <c r="D90" s="565" t="str">
        <f>'[1]Tasa de Falla'!D90</f>
        <v>PAMPA GRANDE - CABRA CORRAL</v>
      </c>
      <c r="E90" s="565">
        <f>'[1]Tasa de Falla'!E90</f>
        <v>132</v>
      </c>
      <c r="F90" s="565">
        <f>'[1]Tasa de Falla'!F90</f>
        <v>60</v>
      </c>
      <c r="G90" s="608">
        <f>IF('[1]Tasa de Falla'!HM90=0,"",'[1]Tasa de Falla'!HM90)</f>
      </c>
      <c r="H90" s="563">
        <f>IF('[1]Tasa de Falla'!HN90=0,"",'[1]Tasa de Falla'!HN90)</f>
      </c>
      <c r="I90" s="563">
        <f>IF('[1]Tasa de Falla'!HO90=0,"",'[1]Tasa de Falla'!HO90)</f>
      </c>
      <c r="J90" s="563">
        <f>IF('[1]Tasa de Falla'!HP90=0,"",'[1]Tasa de Falla'!HP90)</f>
      </c>
      <c r="K90" s="563">
        <f>IF('[1]Tasa de Falla'!HQ90=0,"",'[1]Tasa de Falla'!HQ90)</f>
      </c>
      <c r="L90" s="563">
        <f>IF('[1]Tasa de Falla'!HR90=0,"",'[1]Tasa de Falla'!HR90)</f>
      </c>
      <c r="M90" s="563">
        <f>IF('[1]Tasa de Falla'!HS90=0,"",'[1]Tasa de Falla'!HS90)</f>
      </c>
      <c r="N90" s="563">
        <f>IF('[1]Tasa de Falla'!HT90=0,"",'[1]Tasa de Falla'!HT90)</f>
      </c>
      <c r="O90" s="563">
        <f>IF('[1]Tasa de Falla'!HU90=0,"",'[1]Tasa de Falla'!HU90)</f>
        <v>1</v>
      </c>
      <c r="P90" s="563">
        <f>IF('[1]Tasa de Falla'!HV90=0,"",'[1]Tasa de Falla'!HV90)</f>
      </c>
      <c r="Q90" s="563">
        <f>IF('[1]Tasa de Falla'!HW90=0,"",'[1]Tasa de Falla'!HW90)</f>
      </c>
      <c r="R90" s="563">
        <f>IF('[1]Tasa de Falla'!HX90=0,"",'[1]Tasa de Falla'!HX90)</f>
        <v>1</v>
      </c>
      <c r="S90" s="566"/>
      <c r="T90" s="564"/>
    </row>
    <row r="91" spans="2:20" s="558" customFormat="1" ht="19.5" customHeight="1">
      <c r="B91" s="559"/>
      <c r="C91" s="565">
        <f>'[1]Tasa de Falla'!C91</f>
        <v>73</v>
      </c>
      <c r="D91" s="565" t="str">
        <f>'[1]Tasa de Falla'!D91</f>
        <v>PAMPA GRANDE - CAFAYATE</v>
      </c>
      <c r="E91" s="565">
        <f>'[1]Tasa de Falla'!E91</f>
        <v>132</v>
      </c>
      <c r="F91" s="565">
        <f>'[1]Tasa de Falla'!F91</f>
        <v>63</v>
      </c>
      <c r="G91" s="608">
        <f>IF('[1]Tasa de Falla'!HM91=0,"",'[1]Tasa de Falla'!HM91)</f>
      </c>
      <c r="H91" s="563">
        <f>IF('[1]Tasa de Falla'!HN91=0,"",'[1]Tasa de Falla'!HN91)</f>
      </c>
      <c r="I91" s="563">
        <f>IF('[1]Tasa de Falla'!HO91=0,"",'[1]Tasa de Falla'!HO91)</f>
      </c>
      <c r="J91" s="563">
        <f>IF('[1]Tasa de Falla'!HP91=0,"",'[1]Tasa de Falla'!HP91)</f>
      </c>
      <c r="K91" s="563">
        <f>IF('[1]Tasa de Falla'!HQ91=0,"",'[1]Tasa de Falla'!HQ91)</f>
      </c>
      <c r="L91" s="563">
        <f>IF('[1]Tasa de Falla'!HR91=0,"",'[1]Tasa de Falla'!HR91)</f>
        <v>1</v>
      </c>
      <c r="M91" s="563">
        <f>IF('[1]Tasa de Falla'!HS91=0,"",'[1]Tasa de Falla'!HS91)</f>
      </c>
      <c r="N91" s="563">
        <f>IF('[1]Tasa de Falla'!HT91=0,"",'[1]Tasa de Falla'!HT91)</f>
      </c>
      <c r="O91" s="563">
        <f>IF('[1]Tasa de Falla'!HU91=0,"",'[1]Tasa de Falla'!HU91)</f>
      </c>
      <c r="P91" s="563">
        <f>IF('[1]Tasa de Falla'!HV91=0,"",'[1]Tasa de Falla'!HV91)</f>
      </c>
      <c r="Q91" s="563">
        <f>IF('[1]Tasa de Falla'!HW91=0,"",'[1]Tasa de Falla'!HW91)</f>
      </c>
      <c r="R91" s="563">
        <f>IF('[1]Tasa de Falla'!HX91=0,"",'[1]Tasa de Falla'!HX91)</f>
      </c>
      <c r="S91" s="566"/>
      <c r="T91" s="564"/>
    </row>
    <row r="92" spans="2:20" s="558" customFormat="1" ht="19.5" customHeight="1">
      <c r="B92" s="559"/>
      <c r="C92" s="565">
        <f>'[1]Tasa de Falla'!C92</f>
        <v>74</v>
      </c>
      <c r="D92" s="565" t="str">
        <f>'[1]Tasa de Falla'!D92</f>
        <v>PAMPA GRANDE - TRANCAS</v>
      </c>
      <c r="E92" s="565">
        <f>'[1]Tasa de Falla'!E92</f>
        <v>132</v>
      </c>
      <c r="F92" s="565">
        <f>'[1]Tasa de Falla'!F92</f>
        <v>55</v>
      </c>
      <c r="G92" s="608">
        <f>IF('[1]Tasa de Falla'!HM92=0,"",'[1]Tasa de Falla'!HM92)</f>
      </c>
      <c r="H92" s="563">
        <f>IF('[1]Tasa de Falla'!HN92=0,"",'[1]Tasa de Falla'!HN92)</f>
      </c>
      <c r="I92" s="563">
        <f>IF('[1]Tasa de Falla'!HO92=0,"",'[1]Tasa de Falla'!HO92)</f>
      </c>
      <c r="J92" s="563">
        <f>IF('[1]Tasa de Falla'!HP92=0,"",'[1]Tasa de Falla'!HP92)</f>
      </c>
      <c r="K92" s="563">
        <f>IF('[1]Tasa de Falla'!HQ92=0,"",'[1]Tasa de Falla'!HQ92)</f>
      </c>
      <c r="L92" s="563">
        <f>IF('[1]Tasa de Falla'!HR92=0,"",'[1]Tasa de Falla'!HR92)</f>
      </c>
      <c r="M92" s="563">
        <f>IF('[1]Tasa de Falla'!HS92=0,"",'[1]Tasa de Falla'!HS92)</f>
      </c>
      <c r="N92" s="563">
        <f>IF('[1]Tasa de Falla'!HT92=0,"",'[1]Tasa de Falla'!HT92)</f>
        <v>1</v>
      </c>
      <c r="O92" s="563">
        <f>IF('[1]Tasa de Falla'!HU92=0,"",'[1]Tasa de Falla'!HU92)</f>
      </c>
      <c r="P92" s="563">
        <f>IF('[1]Tasa de Falla'!HV92=0,"",'[1]Tasa de Falla'!HV92)</f>
      </c>
      <c r="Q92" s="563">
        <f>IF('[1]Tasa de Falla'!HW92=0,"",'[1]Tasa de Falla'!HW92)</f>
      </c>
      <c r="R92" s="563">
        <f>IF('[1]Tasa de Falla'!HX92=0,"",'[1]Tasa de Falla'!HX92)</f>
      </c>
      <c r="S92" s="566"/>
      <c r="T92" s="564"/>
    </row>
    <row r="93" spans="2:20" s="558" customFormat="1" ht="19.5" customHeight="1">
      <c r="B93" s="559"/>
      <c r="C93" s="565">
        <f>'[1]Tasa de Falla'!C93</f>
        <v>75</v>
      </c>
      <c r="D93" s="565" t="str">
        <f>'[1]Tasa de Falla'!D93</f>
        <v>SANTIAGO CENTRO - SUNCHO CORRAL </v>
      </c>
      <c r="E93" s="565">
        <f>'[1]Tasa de Falla'!E93</f>
        <v>132</v>
      </c>
      <c r="F93" s="565">
        <f>'[1]Tasa de Falla'!F93</f>
        <v>103</v>
      </c>
      <c r="G93" s="608">
        <f>IF('[1]Tasa de Falla'!HM93=0,"",'[1]Tasa de Falla'!HM93)</f>
        <v>1</v>
      </c>
      <c r="H93" s="563">
        <f>IF('[1]Tasa de Falla'!HN93=0,"",'[1]Tasa de Falla'!HN93)</f>
      </c>
      <c r="I93" s="563">
        <f>IF('[1]Tasa de Falla'!HO93=0,"",'[1]Tasa de Falla'!HO93)</f>
      </c>
      <c r="J93" s="563">
        <f>IF('[1]Tasa de Falla'!HP93=0,"",'[1]Tasa de Falla'!HP93)</f>
      </c>
      <c r="K93" s="563">
        <f>IF('[1]Tasa de Falla'!HQ93=0,"",'[1]Tasa de Falla'!HQ93)</f>
      </c>
      <c r="L93" s="563">
        <f>IF('[1]Tasa de Falla'!HR93=0,"",'[1]Tasa de Falla'!HR93)</f>
      </c>
      <c r="M93" s="563">
        <f>IF('[1]Tasa de Falla'!HS93=0,"",'[1]Tasa de Falla'!HS93)</f>
      </c>
      <c r="N93" s="563">
        <f>IF('[1]Tasa de Falla'!HT93=0,"",'[1]Tasa de Falla'!HT93)</f>
      </c>
      <c r="O93" s="563">
        <f>IF('[1]Tasa de Falla'!HU93=0,"",'[1]Tasa de Falla'!HU93)</f>
      </c>
      <c r="P93" s="563">
        <f>IF('[1]Tasa de Falla'!HV93=0,"",'[1]Tasa de Falla'!HV93)</f>
      </c>
      <c r="Q93" s="563">
        <f>IF('[1]Tasa de Falla'!HW93=0,"",'[1]Tasa de Falla'!HW93)</f>
      </c>
      <c r="R93" s="563">
        <f>IF('[1]Tasa de Falla'!HX93=0,"",'[1]Tasa de Falla'!HX93)</f>
        <v>1</v>
      </c>
      <c r="S93" s="566"/>
      <c r="T93" s="564"/>
    </row>
    <row r="94" spans="2:20" s="558" customFormat="1" ht="19.5" customHeight="1">
      <c r="B94" s="559"/>
      <c r="C94" s="565">
        <f>'[1]Tasa de Falla'!C94</f>
        <v>76</v>
      </c>
      <c r="D94" s="565" t="str">
        <f>'[1]Tasa de Falla'!D94</f>
        <v>SUNCHO CORRAL - ANATUYA</v>
      </c>
      <c r="E94" s="565">
        <f>'[1]Tasa de Falla'!E94</f>
        <v>132</v>
      </c>
      <c r="F94" s="565">
        <f>'[1]Tasa de Falla'!F94</f>
        <v>81</v>
      </c>
      <c r="G94" s="608">
        <f>IF('[1]Tasa de Falla'!HM94=0,"",'[1]Tasa de Falla'!HM94)</f>
      </c>
      <c r="H94" s="563">
        <f>IF('[1]Tasa de Falla'!HN94=0,"",'[1]Tasa de Falla'!HN94)</f>
      </c>
      <c r="I94" s="563">
        <f>IF('[1]Tasa de Falla'!HO94=0,"",'[1]Tasa de Falla'!HO94)</f>
      </c>
      <c r="J94" s="563">
        <f>IF('[1]Tasa de Falla'!HP94=0,"",'[1]Tasa de Falla'!HP94)</f>
      </c>
      <c r="K94" s="563">
        <f>IF('[1]Tasa de Falla'!HQ94=0,"",'[1]Tasa de Falla'!HQ94)</f>
      </c>
      <c r="L94" s="563">
        <f>IF('[1]Tasa de Falla'!HR94=0,"",'[1]Tasa de Falla'!HR94)</f>
      </c>
      <c r="M94" s="563">
        <f>IF('[1]Tasa de Falla'!HS94=0,"",'[1]Tasa de Falla'!HS94)</f>
      </c>
      <c r="N94" s="563">
        <f>IF('[1]Tasa de Falla'!HT94=0,"",'[1]Tasa de Falla'!HT94)</f>
      </c>
      <c r="O94" s="563">
        <f>IF('[1]Tasa de Falla'!HU94=0,"",'[1]Tasa de Falla'!HU94)</f>
      </c>
      <c r="P94" s="563">
        <f>IF('[1]Tasa de Falla'!HV94=0,"",'[1]Tasa de Falla'!HV94)</f>
      </c>
      <c r="Q94" s="563">
        <f>IF('[1]Tasa de Falla'!HW94=0,"",'[1]Tasa de Falla'!HW94)</f>
      </c>
      <c r="R94" s="563">
        <f>IF('[1]Tasa de Falla'!HX94=0,"",'[1]Tasa de Falla'!HX94)</f>
      </c>
      <c r="S94" s="566"/>
      <c r="T94" s="564"/>
    </row>
    <row r="95" spans="2:20" s="558" customFormat="1" ht="19.5" customHeight="1">
      <c r="B95" s="559"/>
      <c r="C95" s="565">
        <f>'[1]Tasa de Falla'!C95</f>
        <v>77</v>
      </c>
      <c r="D95" s="565" t="str">
        <f>'[1]Tasa de Falla'!D95</f>
        <v>LAS MADERAS - GÜEMES SALTA</v>
      </c>
      <c r="E95" s="565">
        <f>'[1]Tasa de Falla'!E95</f>
        <v>132</v>
      </c>
      <c r="F95" s="565">
        <f>'[1]Tasa de Falla'!F95</f>
        <v>42</v>
      </c>
      <c r="G95" s="608">
        <f>IF('[1]Tasa de Falla'!HM95=0,"",'[1]Tasa de Falla'!HM95)</f>
      </c>
      <c r="H95" s="563">
        <f>IF('[1]Tasa de Falla'!HN95=0,"",'[1]Tasa de Falla'!HN95)</f>
      </c>
      <c r="I95" s="563">
        <f>IF('[1]Tasa de Falla'!HO95=0,"",'[1]Tasa de Falla'!HO95)</f>
      </c>
      <c r="J95" s="563">
        <f>IF('[1]Tasa de Falla'!HP95=0,"",'[1]Tasa de Falla'!HP95)</f>
        <v>1</v>
      </c>
      <c r="K95" s="563">
        <f>IF('[1]Tasa de Falla'!HQ95=0,"",'[1]Tasa de Falla'!HQ95)</f>
      </c>
      <c r="L95" s="563">
        <f>IF('[1]Tasa de Falla'!HR95=0,"",'[1]Tasa de Falla'!HR95)</f>
      </c>
      <c r="M95" s="563">
        <f>IF('[1]Tasa de Falla'!HS95=0,"",'[1]Tasa de Falla'!HS95)</f>
      </c>
      <c r="N95" s="563">
        <f>IF('[1]Tasa de Falla'!HT95=0,"",'[1]Tasa de Falla'!HT95)</f>
      </c>
      <c r="O95" s="563">
        <f>IF('[1]Tasa de Falla'!HU95=0,"",'[1]Tasa de Falla'!HU95)</f>
      </c>
      <c r="P95" s="563">
        <f>IF('[1]Tasa de Falla'!HV95=0,"",'[1]Tasa de Falla'!HV95)</f>
        <v>1</v>
      </c>
      <c r="Q95" s="563">
        <f>IF('[1]Tasa de Falla'!HW95=0,"",'[1]Tasa de Falla'!HW95)</f>
        <v>1</v>
      </c>
      <c r="R95" s="563">
        <f>IF('[1]Tasa de Falla'!HX95=0,"",'[1]Tasa de Falla'!HX95)</f>
        <v>1</v>
      </c>
      <c r="S95" s="566"/>
      <c r="T95" s="564"/>
    </row>
    <row r="96" spans="2:20" s="558" customFormat="1" ht="19.5" customHeight="1">
      <c r="B96" s="559"/>
      <c r="C96" s="565">
        <f>'[1]Tasa de Falla'!C96</f>
        <v>78</v>
      </c>
      <c r="D96" s="565" t="str">
        <f>'[1]Tasa de Falla'!D96</f>
        <v>INDEPENDENCIA - EL BRACHO 2</v>
      </c>
      <c r="E96" s="565">
        <f>'[1]Tasa de Falla'!E96</f>
        <v>132</v>
      </c>
      <c r="F96" s="565">
        <f>'[1]Tasa de Falla'!F96</f>
        <v>17.1</v>
      </c>
      <c r="G96" s="608">
        <f>IF('[1]Tasa de Falla'!HM96=0,"",'[1]Tasa de Falla'!HM96)</f>
      </c>
      <c r="H96" s="563">
        <f>IF('[1]Tasa de Falla'!HN96=0,"",'[1]Tasa de Falla'!HN96)</f>
      </c>
      <c r="I96" s="563">
        <f>IF('[1]Tasa de Falla'!HO96=0,"",'[1]Tasa de Falla'!HO96)</f>
      </c>
      <c r="J96" s="563">
        <f>IF('[1]Tasa de Falla'!HP96=0,"",'[1]Tasa de Falla'!HP96)</f>
      </c>
      <c r="K96" s="563">
        <f>IF('[1]Tasa de Falla'!HQ96=0,"",'[1]Tasa de Falla'!HQ96)</f>
      </c>
      <c r="L96" s="563">
        <f>IF('[1]Tasa de Falla'!HR96=0,"",'[1]Tasa de Falla'!HR96)</f>
      </c>
      <c r="M96" s="563">
        <f>IF('[1]Tasa de Falla'!HS96=0,"",'[1]Tasa de Falla'!HS96)</f>
      </c>
      <c r="N96" s="563">
        <f>IF('[1]Tasa de Falla'!HT96=0,"",'[1]Tasa de Falla'!HT96)</f>
      </c>
      <c r="O96" s="563">
        <f>IF('[1]Tasa de Falla'!HU96=0,"",'[1]Tasa de Falla'!HU96)</f>
      </c>
      <c r="P96" s="563">
        <f>IF('[1]Tasa de Falla'!HV96=0,"",'[1]Tasa de Falla'!HV96)</f>
      </c>
      <c r="Q96" s="563">
        <f>IF('[1]Tasa de Falla'!HW96=0,"",'[1]Tasa de Falla'!HW96)</f>
      </c>
      <c r="R96" s="563">
        <f>IF('[1]Tasa de Falla'!HX96=0,"",'[1]Tasa de Falla'!HX96)</f>
      </c>
      <c r="S96" s="566"/>
      <c r="T96" s="564"/>
    </row>
    <row r="97" spans="2:20" s="558" customFormat="1" ht="19.5" customHeight="1">
      <c r="B97" s="559"/>
      <c r="C97" s="565">
        <f>'[1]Tasa de Falla'!C97</f>
        <v>79</v>
      </c>
      <c r="D97" s="565" t="str">
        <f>'[1]Tasa de Falla'!D97</f>
        <v>GÜEMES - SALTA SUR</v>
      </c>
      <c r="E97" s="565">
        <f>'[1]Tasa de Falla'!E97</f>
        <v>132</v>
      </c>
      <c r="F97" s="565">
        <f>'[1]Tasa de Falla'!F97</f>
        <v>47.6</v>
      </c>
      <c r="G97" s="608">
        <f>IF('[1]Tasa de Falla'!HM97=0,"",'[1]Tasa de Falla'!HM97)</f>
      </c>
      <c r="H97" s="563">
        <f>IF('[1]Tasa de Falla'!HN97=0,"",'[1]Tasa de Falla'!HN97)</f>
      </c>
      <c r="I97" s="563">
        <f>IF('[1]Tasa de Falla'!HO97=0,"",'[1]Tasa de Falla'!HO97)</f>
      </c>
      <c r="J97" s="563">
        <f>IF('[1]Tasa de Falla'!HP97=0,"",'[1]Tasa de Falla'!HP97)</f>
        <v>1</v>
      </c>
      <c r="K97" s="563">
        <f>IF('[1]Tasa de Falla'!HQ97=0,"",'[1]Tasa de Falla'!HQ97)</f>
      </c>
      <c r="L97" s="563">
        <f>IF('[1]Tasa de Falla'!HR97=0,"",'[1]Tasa de Falla'!HR97)</f>
      </c>
      <c r="M97" s="563">
        <f>IF('[1]Tasa de Falla'!HS97=0,"",'[1]Tasa de Falla'!HS97)</f>
      </c>
      <c r="N97" s="563">
        <f>IF('[1]Tasa de Falla'!HT97=0,"",'[1]Tasa de Falla'!HT97)</f>
      </c>
      <c r="O97" s="563">
        <f>IF('[1]Tasa de Falla'!HU97=0,"",'[1]Tasa de Falla'!HU97)</f>
      </c>
      <c r="P97" s="563">
        <f>IF('[1]Tasa de Falla'!HV97=0,"",'[1]Tasa de Falla'!HV97)</f>
      </c>
      <c r="Q97" s="563">
        <f>IF('[1]Tasa de Falla'!HW97=0,"",'[1]Tasa de Falla'!HW97)</f>
      </c>
      <c r="R97" s="563">
        <f>IF('[1]Tasa de Falla'!HX97=0,"",'[1]Tasa de Falla'!HX97)</f>
      </c>
      <c r="S97" s="566"/>
      <c r="T97" s="564"/>
    </row>
    <row r="98" spans="2:20" s="558" customFormat="1" ht="19.5" customHeight="1">
      <c r="B98" s="559"/>
      <c r="C98" s="565">
        <f>'[1]Tasa de Falla'!C98</f>
        <v>80</v>
      </c>
      <c r="D98" s="565" t="str">
        <f>'[1]Tasa de Falla'!D98</f>
        <v>BURRUYACU - COBOS</v>
      </c>
      <c r="E98" s="565">
        <f>'[1]Tasa de Falla'!E98</f>
        <v>132</v>
      </c>
      <c r="F98" s="565">
        <f>'[1]Tasa de Falla'!F98</f>
        <v>229.5</v>
      </c>
      <c r="G98" s="608" t="str">
        <f>IF('[1]Tasa de Falla'!HM98=0,"",'[1]Tasa de Falla'!HM98)</f>
        <v>XXXX</v>
      </c>
      <c r="H98" s="563" t="str">
        <f>IF('[1]Tasa de Falla'!HN98=0,"",'[1]Tasa de Falla'!HN98)</f>
        <v>XXXX</v>
      </c>
      <c r="I98" s="563" t="str">
        <f>IF('[1]Tasa de Falla'!HO98=0,"",'[1]Tasa de Falla'!HO98)</f>
        <v>XXXX</v>
      </c>
      <c r="J98" s="563" t="str">
        <f>IF('[1]Tasa de Falla'!HP98=0,"",'[1]Tasa de Falla'!HP98)</f>
        <v>XXXX</v>
      </c>
      <c r="K98" s="563" t="str">
        <f>IF('[1]Tasa de Falla'!HQ98=0,"",'[1]Tasa de Falla'!HQ98)</f>
        <v>XXXX</v>
      </c>
      <c r="L98" s="563" t="str">
        <f>IF('[1]Tasa de Falla'!HR98=0,"",'[1]Tasa de Falla'!HR98)</f>
        <v>XXXX</v>
      </c>
      <c r="M98" s="563" t="str">
        <f>IF('[1]Tasa de Falla'!HS98=0,"",'[1]Tasa de Falla'!HS98)</f>
        <v>XXXX</v>
      </c>
      <c r="N98" s="563" t="str">
        <f>IF('[1]Tasa de Falla'!HT98=0,"",'[1]Tasa de Falla'!HT98)</f>
        <v>XXXX</v>
      </c>
      <c r="O98" s="563" t="str">
        <f>IF('[1]Tasa de Falla'!HU98=0,"",'[1]Tasa de Falla'!HU98)</f>
        <v>XXXX</v>
      </c>
      <c r="P98" s="563" t="str">
        <f>IF('[1]Tasa de Falla'!HV98=0,"",'[1]Tasa de Falla'!HV98)</f>
        <v>XXXX</v>
      </c>
      <c r="Q98" s="563" t="str">
        <f>IF('[1]Tasa de Falla'!HW98=0,"",'[1]Tasa de Falla'!HW98)</f>
        <v>XXXX</v>
      </c>
      <c r="R98" s="563" t="str">
        <f>IF('[1]Tasa de Falla'!HX98=0,"",'[1]Tasa de Falla'!HX98)</f>
        <v>XXXX</v>
      </c>
      <c r="S98" s="566"/>
      <c r="T98" s="564"/>
    </row>
    <row r="99" spans="2:20" s="558" customFormat="1" ht="19.5" customHeight="1">
      <c r="B99" s="559"/>
      <c r="C99" s="565">
        <f>'[1]Tasa de Falla'!C99</f>
        <v>81</v>
      </c>
      <c r="D99" s="565" t="str">
        <f>'[1]Tasa de Falla'!D99</f>
        <v>METAN - COBOS</v>
      </c>
      <c r="E99" s="565">
        <f>'[1]Tasa de Falla'!E99</f>
        <v>132</v>
      </c>
      <c r="F99" s="565">
        <f>'[1]Tasa de Falla'!F99</f>
        <v>89.2</v>
      </c>
      <c r="G99" s="608">
        <f>IF('[1]Tasa de Falla'!HM99=0,"",'[1]Tasa de Falla'!HM99)</f>
      </c>
      <c r="H99" s="563">
        <f>IF('[1]Tasa de Falla'!HN99=0,"",'[1]Tasa de Falla'!HN99)</f>
      </c>
      <c r="I99" s="563">
        <f>IF('[1]Tasa de Falla'!HO99=0,"",'[1]Tasa de Falla'!HO99)</f>
      </c>
      <c r="J99" s="563">
        <f>IF('[1]Tasa de Falla'!HP99=0,"",'[1]Tasa de Falla'!HP99)</f>
      </c>
      <c r="K99" s="563">
        <f>IF('[1]Tasa de Falla'!HQ99=0,"",'[1]Tasa de Falla'!HQ99)</f>
      </c>
      <c r="L99" s="563">
        <f>IF('[1]Tasa de Falla'!HR99=0,"",'[1]Tasa de Falla'!HR99)</f>
      </c>
      <c r="M99" s="563">
        <f>IF('[1]Tasa de Falla'!HS99=0,"",'[1]Tasa de Falla'!HS99)</f>
      </c>
      <c r="N99" s="563">
        <f>IF('[1]Tasa de Falla'!HT99=0,"",'[1]Tasa de Falla'!HT99)</f>
      </c>
      <c r="O99" s="563">
        <f>IF('[1]Tasa de Falla'!HU99=0,"",'[1]Tasa de Falla'!HU99)</f>
      </c>
      <c r="P99" s="563">
        <f>IF('[1]Tasa de Falla'!HV99=0,"",'[1]Tasa de Falla'!HV99)</f>
      </c>
      <c r="Q99" s="563">
        <f>IF('[1]Tasa de Falla'!HW99=0,"",'[1]Tasa de Falla'!HW99)</f>
        <v>1</v>
      </c>
      <c r="R99" s="563">
        <f>IF('[1]Tasa de Falla'!HX99=0,"",'[1]Tasa de Falla'!HX99)</f>
      </c>
      <c r="S99" s="566"/>
      <c r="T99" s="564"/>
    </row>
    <row r="100" spans="2:20" s="558" customFormat="1" ht="19.5" customHeight="1">
      <c r="B100" s="559"/>
      <c r="C100" s="565">
        <f>'[1]Tasa de Falla'!C100</f>
        <v>82</v>
      </c>
      <c r="D100" s="565" t="str">
        <f>'[1]Tasa de Falla'!D100</f>
        <v>AÑATUYA - BANDERA</v>
      </c>
      <c r="E100" s="565">
        <f>'[1]Tasa de Falla'!E100</f>
        <v>132</v>
      </c>
      <c r="F100" s="565">
        <f>'[1]Tasa de Falla'!F100</f>
        <v>76</v>
      </c>
      <c r="G100" s="608">
        <f>IF('[1]Tasa de Falla'!HM100=0,"",'[1]Tasa de Falla'!HM100)</f>
      </c>
      <c r="H100" s="563">
        <f>IF('[1]Tasa de Falla'!HN100=0,"",'[1]Tasa de Falla'!HN100)</f>
      </c>
      <c r="I100" s="563">
        <f>IF('[1]Tasa de Falla'!HO100=0,"",'[1]Tasa de Falla'!HO100)</f>
      </c>
      <c r="J100" s="563">
        <f>IF('[1]Tasa de Falla'!HP100=0,"",'[1]Tasa de Falla'!HP100)</f>
      </c>
      <c r="K100" s="563">
        <f>IF('[1]Tasa de Falla'!HQ100=0,"",'[1]Tasa de Falla'!HQ100)</f>
        <v>2</v>
      </c>
      <c r="L100" s="563">
        <f>IF('[1]Tasa de Falla'!HR100=0,"",'[1]Tasa de Falla'!HR100)</f>
      </c>
      <c r="M100" s="563">
        <f>IF('[1]Tasa de Falla'!HS100=0,"",'[1]Tasa de Falla'!HS100)</f>
      </c>
      <c r="N100" s="563">
        <f>IF('[1]Tasa de Falla'!HT100=0,"",'[1]Tasa de Falla'!HT100)</f>
        <v>1</v>
      </c>
      <c r="O100" s="563">
        <f>IF('[1]Tasa de Falla'!HU100=0,"",'[1]Tasa de Falla'!HU100)</f>
        <v>1</v>
      </c>
      <c r="P100" s="563">
        <f>IF('[1]Tasa de Falla'!HV100=0,"",'[1]Tasa de Falla'!HV100)</f>
      </c>
      <c r="Q100" s="563">
        <f>IF('[1]Tasa de Falla'!HW100=0,"",'[1]Tasa de Falla'!HW100)</f>
      </c>
      <c r="R100" s="563">
        <f>IF('[1]Tasa de Falla'!HX100=0,"",'[1]Tasa de Falla'!HX100)</f>
      </c>
      <c r="S100" s="566"/>
      <c r="T100" s="564"/>
    </row>
    <row r="101" spans="2:20" s="558" customFormat="1" ht="19.5" customHeight="1">
      <c r="B101" s="559"/>
      <c r="C101" s="565">
        <f>'[1]Tasa de Falla'!C101</f>
        <v>84</v>
      </c>
      <c r="D101" s="565" t="str">
        <f>'[1]Tasa de Falla'!D101</f>
        <v>GÜEMES SALTA - COBOS 1</v>
      </c>
      <c r="E101" s="565">
        <f>'[1]Tasa de Falla'!E101</f>
        <v>132</v>
      </c>
      <c r="F101" s="565">
        <f>'[1]Tasa de Falla'!F101</f>
        <v>12.1</v>
      </c>
      <c r="G101" s="608">
        <f>IF('[1]Tasa de Falla'!HM101=0,"",'[1]Tasa de Falla'!HM101)</f>
      </c>
      <c r="H101" s="563">
        <f>IF('[1]Tasa de Falla'!HN101=0,"",'[1]Tasa de Falla'!HN101)</f>
      </c>
      <c r="I101" s="563">
        <f>IF('[1]Tasa de Falla'!HO101=0,"",'[1]Tasa de Falla'!HO101)</f>
      </c>
      <c r="J101" s="563">
        <f>IF('[1]Tasa de Falla'!HP101=0,"",'[1]Tasa de Falla'!HP101)</f>
      </c>
      <c r="K101" s="563">
        <f>IF('[1]Tasa de Falla'!HQ101=0,"",'[1]Tasa de Falla'!HQ101)</f>
      </c>
      <c r="L101" s="563">
        <f>IF('[1]Tasa de Falla'!HR101=0,"",'[1]Tasa de Falla'!HR101)</f>
      </c>
      <c r="M101" s="563">
        <f>IF('[1]Tasa de Falla'!HS101=0,"",'[1]Tasa de Falla'!HS101)</f>
      </c>
      <c r="N101" s="563">
        <f>IF('[1]Tasa de Falla'!HT101=0,"",'[1]Tasa de Falla'!HT101)</f>
      </c>
      <c r="O101" s="563">
        <f>IF('[1]Tasa de Falla'!HU101=0,"",'[1]Tasa de Falla'!HU101)</f>
      </c>
      <c r="P101" s="563">
        <f>IF('[1]Tasa de Falla'!HV101=0,"",'[1]Tasa de Falla'!HV101)</f>
      </c>
      <c r="Q101" s="563">
        <f>IF('[1]Tasa de Falla'!HW101=0,"",'[1]Tasa de Falla'!HW101)</f>
      </c>
      <c r="R101" s="563">
        <f>IF('[1]Tasa de Falla'!HX101=0,"",'[1]Tasa de Falla'!HX101)</f>
      </c>
      <c r="S101" s="566"/>
      <c r="T101" s="564"/>
    </row>
    <row r="102" spans="2:20" s="558" customFormat="1" ht="19.5" customHeight="1">
      <c r="B102" s="559"/>
      <c r="C102" s="565">
        <f>'[1]Tasa de Falla'!C102</f>
        <v>85</v>
      </c>
      <c r="D102" s="565" t="str">
        <f>'[1]Tasa de Falla'!D102</f>
        <v>GÜEMES SALTA - COBOS 2</v>
      </c>
      <c r="E102" s="565">
        <f>'[1]Tasa de Falla'!E102</f>
        <v>132</v>
      </c>
      <c r="F102" s="565">
        <f>'[1]Tasa de Falla'!F102</f>
        <v>12.1</v>
      </c>
      <c r="G102" s="608">
        <f>IF('[1]Tasa de Falla'!HM102=0,"",'[1]Tasa de Falla'!HM102)</f>
      </c>
      <c r="H102" s="563">
        <f>IF('[1]Tasa de Falla'!HN102=0,"",'[1]Tasa de Falla'!HN102)</f>
      </c>
      <c r="I102" s="563">
        <f>IF('[1]Tasa de Falla'!HO102=0,"",'[1]Tasa de Falla'!HO102)</f>
      </c>
      <c r="J102" s="563">
        <f>IF('[1]Tasa de Falla'!HP102=0,"",'[1]Tasa de Falla'!HP102)</f>
      </c>
      <c r="K102" s="563">
        <f>IF('[1]Tasa de Falla'!HQ102=0,"",'[1]Tasa de Falla'!HQ102)</f>
      </c>
      <c r="L102" s="563">
        <f>IF('[1]Tasa de Falla'!HR102=0,"",'[1]Tasa de Falla'!HR102)</f>
      </c>
      <c r="M102" s="563">
        <f>IF('[1]Tasa de Falla'!HS102=0,"",'[1]Tasa de Falla'!HS102)</f>
      </c>
      <c r="N102" s="563">
        <f>IF('[1]Tasa de Falla'!HT102=0,"",'[1]Tasa de Falla'!HT102)</f>
      </c>
      <c r="O102" s="563">
        <f>IF('[1]Tasa de Falla'!HU102=0,"",'[1]Tasa de Falla'!HU102)</f>
      </c>
      <c r="P102" s="563">
        <f>IF('[1]Tasa de Falla'!HV102=0,"",'[1]Tasa de Falla'!HV102)</f>
      </c>
      <c r="Q102" s="563">
        <f>IF('[1]Tasa de Falla'!HW102=0,"",'[1]Tasa de Falla'!HW102)</f>
      </c>
      <c r="R102" s="563">
        <f>IF('[1]Tasa de Falla'!HX102=0,"",'[1]Tasa de Falla'!HX102)</f>
      </c>
      <c r="S102" s="566"/>
      <c r="T102" s="564"/>
    </row>
    <row r="103" spans="2:20" s="558" customFormat="1" ht="19.5" customHeight="1">
      <c r="B103" s="559"/>
      <c r="C103" s="565">
        <f>'[1]Tasa de Falla'!C103</f>
        <v>86</v>
      </c>
      <c r="D103" s="565" t="str">
        <f>'[1]Tasa de Falla'!D103</f>
        <v>EL BRACHO - LA BANDA</v>
      </c>
      <c r="E103" s="565">
        <f>'[1]Tasa de Falla'!E103</f>
        <v>132</v>
      </c>
      <c r="F103" s="565">
        <f>'[1]Tasa de Falla'!F103</f>
        <v>133.5</v>
      </c>
      <c r="G103" s="608">
        <f>IF('[1]Tasa de Falla'!HM103=0,"",'[1]Tasa de Falla'!HM103)</f>
      </c>
      <c r="H103" s="563">
        <f>IF('[1]Tasa de Falla'!HN103=0,"",'[1]Tasa de Falla'!HN103)</f>
      </c>
      <c r="I103" s="563">
        <f>IF('[1]Tasa de Falla'!HO103=0,"",'[1]Tasa de Falla'!HO103)</f>
      </c>
      <c r="J103" s="563">
        <f>IF('[1]Tasa de Falla'!HP103=0,"",'[1]Tasa de Falla'!HP103)</f>
      </c>
      <c r="K103" s="563">
        <f>IF('[1]Tasa de Falla'!HQ103=0,"",'[1]Tasa de Falla'!HQ103)</f>
      </c>
      <c r="L103" s="563">
        <f>IF('[1]Tasa de Falla'!HR103=0,"",'[1]Tasa de Falla'!HR103)</f>
        <v>1</v>
      </c>
      <c r="M103" s="563">
        <f>IF('[1]Tasa de Falla'!HS103=0,"",'[1]Tasa de Falla'!HS103)</f>
      </c>
      <c r="N103" s="563">
        <f>IF('[1]Tasa de Falla'!HT103=0,"",'[1]Tasa de Falla'!HT103)</f>
      </c>
      <c r="O103" s="563">
        <f>IF('[1]Tasa de Falla'!HU103=0,"",'[1]Tasa de Falla'!HU103)</f>
      </c>
      <c r="P103" s="563" t="str">
        <f>IF('[1]Tasa de Falla'!HV103=0,"",'[1]Tasa de Falla'!HV103)</f>
        <v>XXXX</v>
      </c>
      <c r="Q103" s="563" t="str">
        <f>IF('[1]Tasa de Falla'!HW103=0,"",'[1]Tasa de Falla'!HW103)</f>
        <v>XXXX</v>
      </c>
      <c r="R103" s="563" t="str">
        <f>IF('[1]Tasa de Falla'!HX103=0,"",'[1]Tasa de Falla'!HX103)</f>
        <v>XXXX</v>
      </c>
      <c r="S103" s="566"/>
      <c r="T103" s="564"/>
    </row>
    <row r="104" spans="2:20" s="558" customFormat="1" ht="19.5" customHeight="1">
      <c r="B104" s="559"/>
      <c r="C104" s="565">
        <f>'[1]Tasa de Falla'!C104</f>
        <v>87</v>
      </c>
      <c r="D104" s="565" t="str">
        <f>'[1]Tasa de Falla'!D104</f>
        <v>SANTIAGO OESTE - SANTIAGO SUR </v>
      </c>
      <c r="E104" s="565">
        <f>'[1]Tasa de Falla'!E104</f>
        <v>132</v>
      </c>
      <c r="F104" s="565">
        <f>'[1]Tasa de Falla'!F104</f>
        <v>10.6</v>
      </c>
      <c r="G104" s="608">
        <f>IF('[1]Tasa de Falla'!HM104=0,"",'[1]Tasa de Falla'!HM104)</f>
      </c>
      <c r="H104" s="563">
        <f>IF('[1]Tasa de Falla'!HN104=0,"",'[1]Tasa de Falla'!HN104)</f>
      </c>
      <c r="I104" s="563">
        <f>IF('[1]Tasa de Falla'!HO104=0,"",'[1]Tasa de Falla'!HO104)</f>
      </c>
      <c r="J104" s="563">
        <f>IF('[1]Tasa de Falla'!HP104=0,"",'[1]Tasa de Falla'!HP104)</f>
      </c>
      <c r="K104" s="563">
        <f>IF('[1]Tasa de Falla'!HQ104=0,"",'[1]Tasa de Falla'!HQ104)</f>
      </c>
      <c r="L104" s="563">
        <f>IF('[1]Tasa de Falla'!HR104=0,"",'[1]Tasa de Falla'!HR104)</f>
      </c>
      <c r="M104" s="563">
        <f>IF('[1]Tasa de Falla'!HS104=0,"",'[1]Tasa de Falla'!HS104)</f>
      </c>
      <c r="N104" s="563">
        <f>IF('[1]Tasa de Falla'!HT104=0,"",'[1]Tasa de Falla'!HT104)</f>
      </c>
      <c r="O104" s="563">
        <f>IF('[1]Tasa de Falla'!HU104=0,"",'[1]Tasa de Falla'!HU104)</f>
      </c>
      <c r="P104" s="563">
        <f>IF('[1]Tasa de Falla'!HV104=0,"",'[1]Tasa de Falla'!HV104)</f>
      </c>
      <c r="Q104" s="563">
        <f>IF('[1]Tasa de Falla'!HW104=0,"",'[1]Tasa de Falla'!HW104)</f>
      </c>
      <c r="R104" s="563">
        <f>IF('[1]Tasa de Falla'!HX104=0,"",'[1]Tasa de Falla'!HX104)</f>
      </c>
      <c r="S104" s="566"/>
      <c r="T104" s="564"/>
    </row>
    <row r="105" spans="2:20" s="558" customFormat="1" ht="19.5" customHeight="1">
      <c r="B105" s="559"/>
      <c r="C105" s="565">
        <f>'[1]Tasa de Falla'!C105</f>
        <v>88</v>
      </c>
      <c r="D105" s="565" t="str">
        <f>'[1]Tasa de Falla'!D105</f>
        <v>SANTIAGO SUR - SANTIAGO CENTRO</v>
      </c>
      <c r="E105" s="565">
        <f>'[1]Tasa de Falla'!E105</f>
        <v>132</v>
      </c>
      <c r="F105" s="565">
        <f>'[1]Tasa de Falla'!F105</f>
        <v>4</v>
      </c>
      <c r="G105" s="608">
        <f>IF('[1]Tasa de Falla'!HM105=0,"",'[1]Tasa de Falla'!HM105)</f>
      </c>
      <c r="H105" s="563">
        <f>IF('[1]Tasa de Falla'!HN105=0,"",'[1]Tasa de Falla'!HN105)</f>
      </c>
      <c r="I105" s="563">
        <f>IF('[1]Tasa de Falla'!HO105=0,"",'[1]Tasa de Falla'!HO105)</f>
      </c>
      <c r="J105" s="563">
        <f>IF('[1]Tasa de Falla'!HP105=0,"",'[1]Tasa de Falla'!HP105)</f>
      </c>
      <c r="K105" s="563">
        <f>IF('[1]Tasa de Falla'!HQ105=0,"",'[1]Tasa de Falla'!HQ105)</f>
      </c>
      <c r="L105" s="563">
        <f>IF('[1]Tasa de Falla'!HR105=0,"",'[1]Tasa de Falla'!HR105)</f>
      </c>
      <c r="M105" s="563">
        <f>IF('[1]Tasa de Falla'!HS105=0,"",'[1]Tasa de Falla'!HS105)</f>
      </c>
      <c r="N105" s="563">
        <f>IF('[1]Tasa de Falla'!HT105=0,"",'[1]Tasa de Falla'!HT105)</f>
      </c>
      <c r="O105" s="563">
        <f>IF('[1]Tasa de Falla'!HU105=0,"",'[1]Tasa de Falla'!HU105)</f>
      </c>
      <c r="P105" s="563">
        <f>IF('[1]Tasa de Falla'!HV105=0,"",'[1]Tasa de Falla'!HV105)</f>
      </c>
      <c r="Q105" s="563">
        <f>IF('[1]Tasa de Falla'!HW105=0,"",'[1]Tasa de Falla'!HW105)</f>
      </c>
      <c r="R105" s="563">
        <f>IF('[1]Tasa de Falla'!HX105=0,"",'[1]Tasa de Falla'!HX105)</f>
      </c>
      <c r="S105" s="566"/>
      <c r="T105" s="564"/>
    </row>
    <row r="106" spans="2:20" s="558" customFormat="1" ht="19.5" customHeight="1">
      <c r="B106" s="559"/>
      <c r="C106" s="565">
        <f>'[1]Tasa de Falla'!C106</f>
        <v>89</v>
      </c>
      <c r="D106" s="565" t="str">
        <f>'[1]Tasa de Falla'!D106</f>
        <v>C.H. RIO HONDO - SANTIAGO OESTE</v>
      </c>
      <c r="E106" s="565">
        <f>'[1]Tasa de Falla'!E106</f>
        <v>132</v>
      </c>
      <c r="F106" s="565">
        <f>'[1]Tasa de Falla'!F106</f>
        <v>69.8</v>
      </c>
      <c r="G106" s="608">
        <f>IF('[1]Tasa de Falla'!HM106=0,"",'[1]Tasa de Falla'!HM106)</f>
      </c>
      <c r="H106" s="563">
        <f>IF('[1]Tasa de Falla'!HN106=0,"",'[1]Tasa de Falla'!HN106)</f>
      </c>
      <c r="I106" s="563">
        <f>IF('[1]Tasa de Falla'!HO106=0,"",'[1]Tasa de Falla'!HO106)</f>
      </c>
      <c r="J106" s="563">
        <f>IF('[1]Tasa de Falla'!HP106=0,"",'[1]Tasa de Falla'!HP106)</f>
      </c>
      <c r="K106" s="563">
        <f>IF('[1]Tasa de Falla'!HQ106=0,"",'[1]Tasa de Falla'!HQ106)</f>
      </c>
      <c r="L106" s="563">
        <f>IF('[1]Tasa de Falla'!HR106=0,"",'[1]Tasa de Falla'!HR106)</f>
      </c>
      <c r="M106" s="563">
        <f>IF('[1]Tasa de Falla'!HS106=0,"",'[1]Tasa de Falla'!HS106)</f>
      </c>
      <c r="N106" s="563">
        <f>IF('[1]Tasa de Falla'!HT106=0,"",'[1]Tasa de Falla'!HT106)</f>
      </c>
      <c r="O106" s="563">
        <f>IF('[1]Tasa de Falla'!HU106=0,"",'[1]Tasa de Falla'!HU106)</f>
      </c>
      <c r="P106" s="563">
        <f>IF('[1]Tasa de Falla'!HV106=0,"",'[1]Tasa de Falla'!HV106)</f>
      </c>
      <c r="Q106" s="563">
        <f>IF('[1]Tasa de Falla'!HW106=0,"",'[1]Tasa de Falla'!HW106)</f>
      </c>
      <c r="R106" s="563">
        <f>IF('[1]Tasa de Falla'!HX106=0,"",'[1]Tasa de Falla'!HX106)</f>
      </c>
      <c r="S106" s="566"/>
      <c r="T106" s="564"/>
    </row>
    <row r="107" spans="2:20" s="558" customFormat="1" ht="19.5" customHeight="1">
      <c r="B107" s="559"/>
      <c r="C107" s="565">
        <f>'[1]Tasa de Falla'!C107</f>
        <v>90</v>
      </c>
      <c r="D107" s="565" t="str">
        <f>'[1]Tasa de Falla'!D107</f>
        <v>GÜEMES - MINETTI</v>
      </c>
      <c r="E107" s="565">
        <f>'[1]Tasa de Falla'!E107</f>
        <v>132</v>
      </c>
      <c r="F107" s="565">
        <f>'[1]Tasa de Falla'!F107</f>
        <v>41.4</v>
      </c>
      <c r="G107" s="608">
        <f>IF('[1]Tasa de Falla'!HM107=0,"",'[1]Tasa de Falla'!HM107)</f>
      </c>
      <c r="H107" s="563">
        <f>IF('[1]Tasa de Falla'!HN107=0,"",'[1]Tasa de Falla'!HN107)</f>
      </c>
      <c r="I107" s="563">
        <f>IF('[1]Tasa de Falla'!HO107=0,"",'[1]Tasa de Falla'!HO107)</f>
      </c>
      <c r="J107" s="563">
        <f>IF('[1]Tasa de Falla'!HP107=0,"",'[1]Tasa de Falla'!HP107)</f>
      </c>
      <c r="K107" s="563">
        <f>IF('[1]Tasa de Falla'!HQ107=0,"",'[1]Tasa de Falla'!HQ107)</f>
      </c>
      <c r="L107" s="563">
        <f>IF('[1]Tasa de Falla'!HR107=0,"",'[1]Tasa de Falla'!HR107)</f>
        <v>1</v>
      </c>
      <c r="M107" s="563">
        <f>IF('[1]Tasa de Falla'!HS107=0,"",'[1]Tasa de Falla'!HS107)</f>
        <v>1</v>
      </c>
      <c r="N107" s="563">
        <f>IF('[1]Tasa de Falla'!HT107=0,"",'[1]Tasa de Falla'!HT107)</f>
        <v>1</v>
      </c>
      <c r="O107" s="563">
        <f>IF('[1]Tasa de Falla'!HU107=0,"",'[1]Tasa de Falla'!HU107)</f>
      </c>
      <c r="P107" s="563">
        <f>IF('[1]Tasa de Falla'!HV107=0,"",'[1]Tasa de Falla'!HV107)</f>
      </c>
      <c r="Q107" s="563">
        <f>IF('[1]Tasa de Falla'!HW107=0,"",'[1]Tasa de Falla'!HW107)</f>
        <v>1</v>
      </c>
      <c r="R107" s="563">
        <f>IF('[1]Tasa de Falla'!HX107=0,"",'[1]Tasa de Falla'!HX107)</f>
      </c>
      <c r="S107" s="566"/>
      <c r="T107" s="564"/>
    </row>
    <row r="108" spans="2:20" s="558" customFormat="1" ht="19.5" customHeight="1">
      <c r="B108" s="559"/>
      <c r="C108" s="565">
        <f>'[1]Tasa de Falla'!C108</f>
        <v>91</v>
      </c>
      <c r="D108" s="565" t="str">
        <f>'[1]Tasa de Falla'!D108</f>
        <v>GÜEMES - SALTA NORTE</v>
      </c>
      <c r="E108" s="565">
        <f>'[1]Tasa de Falla'!E108</f>
        <v>132</v>
      </c>
      <c r="F108" s="565">
        <f>'[1]Tasa de Falla'!F108</f>
        <v>38.97</v>
      </c>
      <c r="G108" s="608">
        <f>IF('[1]Tasa de Falla'!HM108=0,"",'[1]Tasa de Falla'!HM108)</f>
      </c>
      <c r="H108" s="563">
        <f>IF('[1]Tasa de Falla'!HN108=0,"",'[1]Tasa de Falla'!HN108)</f>
      </c>
      <c r="I108" s="563">
        <f>IF('[1]Tasa de Falla'!HO108=0,"",'[1]Tasa de Falla'!HO108)</f>
      </c>
      <c r="J108" s="563">
        <f>IF('[1]Tasa de Falla'!HP108=0,"",'[1]Tasa de Falla'!HP108)</f>
      </c>
      <c r="K108" s="563">
        <f>IF('[1]Tasa de Falla'!HQ108=0,"",'[1]Tasa de Falla'!HQ108)</f>
      </c>
      <c r="L108" s="563">
        <f>IF('[1]Tasa de Falla'!HR108=0,"",'[1]Tasa de Falla'!HR108)</f>
      </c>
      <c r="M108" s="563">
        <f>IF('[1]Tasa de Falla'!HS108=0,"",'[1]Tasa de Falla'!HS108)</f>
      </c>
      <c r="N108" s="563">
        <f>IF('[1]Tasa de Falla'!HT108=0,"",'[1]Tasa de Falla'!HT108)</f>
      </c>
      <c r="O108" s="563">
        <f>IF('[1]Tasa de Falla'!HU108=0,"",'[1]Tasa de Falla'!HU108)</f>
      </c>
      <c r="P108" s="563">
        <f>IF('[1]Tasa de Falla'!HV108=0,"",'[1]Tasa de Falla'!HV108)</f>
      </c>
      <c r="Q108" s="563">
        <f>IF('[1]Tasa de Falla'!HW108=0,"",'[1]Tasa de Falla'!HW108)</f>
      </c>
      <c r="R108" s="563">
        <f>IF('[1]Tasa de Falla'!HX108=0,"",'[1]Tasa de Falla'!HX108)</f>
      </c>
      <c r="S108" s="566"/>
      <c r="T108" s="564"/>
    </row>
    <row r="109" spans="2:20" s="558" customFormat="1" ht="19.5" customHeight="1">
      <c r="B109" s="559"/>
      <c r="C109" s="565">
        <f>'[1]Tasa de Falla'!C109</f>
        <v>92</v>
      </c>
      <c r="D109" s="565" t="str">
        <f>'[1]Tasa de Falla'!D109</f>
        <v>BURRUYACU - R. DE LA FRONTERA</v>
      </c>
      <c r="E109" s="565">
        <f>'[1]Tasa de Falla'!E109</f>
        <v>132</v>
      </c>
      <c r="F109" s="565">
        <f>'[1]Tasa de Falla'!F109</f>
        <v>99.1</v>
      </c>
      <c r="G109" s="608">
        <f>IF('[1]Tasa de Falla'!HM109=0,"",'[1]Tasa de Falla'!HM109)</f>
      </c>
      <c r="H109" s="563">
        <f>IF('[1]Tasa de Falla'!HN109=0,"",'[1]Tasa de Falla'!HN109)</f>
      </c>
      <c r="I109" s="563">
        <f>IF('[1]Tasa de Falla'!HO109=0,"",'[1]Tasa de Falla'!HO109)</f>
        <v>1</v>
      </c>
      <c r="J109" s="563">
        <f>IF('[1]Tasa de Falla'!HP109=0,"",'[1]Tasa de Falla'!HP109)</f>
      </c>
      <c r="K109" s="563">
        <f>IF('[1]Tasa de Falla'!HQ109=0,"",'[1]Tasa de Falla'!HQ109)</f>
      </c>
      <c r="L109" s="563">
        <f>IF('[1]Tasa de Falla'!HR109=0,"",'[1]Tasa de Falla'!HR109)</f>
      </c>
      <c r="M109" s="563">
        <f>IF('[1]Tasa de Falla'!HS109=0,"",'[1]Tasa de Falla'!HS109)</f>
      </c>
      <c r="N109" s="563">
        <f>IF('[1]Tasa de Falla'!HT109=0,"",'[1]Tasa de Falla'!HT109)</f>
      </c>
      <c r="O109" s="563">
        <f>IF('[1]Tasa de Falla'!HU109=0,"",'[1]Tasa de Falla'!HU109)</f>
      </c>
      <c r="P109" s="563">
        <f>IF('[1]Tasa de Falla'!HV109=0,"",'[1]Tasa de Falla'!HV109)</f>
      </c>
      <c r="Q109" s="563">
        <f>IF('[1]Tasa de Falla'!HW109=0,"",'[1]Tasa de Falla'!HW109)</f>
      </c>
      <c r="R109" s="563">
        <f>IF('[1]Tasa de Falla'!HX109=0,"",'[1]Tasa de Falla'!HX109)</f>
      </c>
      <c r="S109" s="566"/>
      <c r="T109" s="564"/>
    </row>
    <row r="110" spans="2:20" s="558" customFormat="1" ht="19.5" customHeight="1">
      <c r="B110" s="559"/>
      <c r="C110" s="565">
        <f>'[1]Tasa de Falla'!C110</f>
        <v>93</v>
      </c>
      <c r="D110" s="565" t="str">
        <f>'[1]Tasa de Falla'!D110</f>
        <v>R. DE LA FRONTERA - COBOS</v>
      </c>
      <c r="E110" s="565">
        <f>'[1]Tasa de Falla'!E110</f>
        <v>132</v>
      </c>
      <c r="F110" s="565">
        <f>'[1]Tasa de Falla'!F110</f>
        <v>130.4</v>
      </c>
      <c r="G110" s="608">
        <f>IF('[1]Tasa de Falla'!HM110=0,"",'[1]Tasa de Falla'!HM110)</f>
      </c>
      <c r="H110" s="563">
        <f>IF('[1]Tasa de Falla'!HN110=0,"",'[1]Tasa de Falla'!HN110)</f>
      </c>
      <c r="I110" s="563">
        <f>IF('[1]Tasa de Falla'!HO110=0,"",'[1]Tasa de Falla'!HO110)</f>
      </c>
      <c r="J110" s="563">
        <f>IF('[1]Tasa de Falla'!HP110=0,"",'[1]Tasa de Falla'!HP110)</f>
      </c>
      <c r="K110" s="563">
        <f>IF('[1]Tasa de Falla'!HQ110=0,"",'[1]Tasa de Falla'!HQ110)</f>
      </c>
      <c r="L110" s="563">
        <f>IF('[1]Tasa de Falla'!HR110=0,"",'[1]Tasa de Falla'!HR110)</f>
        <v>1</v>
      </c>
      <c r="M110" s="563">
        <f>IF('[1]Tasa de Falla'!HS110=0,"",'[1]Tasa de Falla'!HS110)</f>
        <v>1</v>
      </c>
      <c r="N110" s="563">
        <f>IF('[1]Tasa de Falla'!HT110=0,"",'[1]Tasa de Falla'!HT110)</f>
      </c>
      <c r="O110" s="563">
        <f>IF('[1]Tasa de Falla'!HU110=0,"",'[1]Tasa de Falla'!HU110)</f>
        <v>2</v>
      </c>
      <c r="P110" s="563">
        <f>IF('[1]Tasa de Falla'!HV110=0,"",'[1]Tasa de Falla'!HV110)</f>
      </c>
      <c r="Q110" s="563">
        <f>IF('[1]Tasa de Falla'!HW110=0,"",'[1]Tasa de Falla'!HW110)</f>
      </c>
      <c r="R110" s="563">
        <f>IF('[1]Tasa de Falla'!HX110=0,"",'[1]Tasa de Falla'!HX110)</f>
      </c>
      <c r="S110" s="566"/>
      <c r="T110" s="564"/>
    </row>
    <row r="111" spans="2:20" s="558" customFormat="1" ht="19.5" customHeight="1">
      <c r="B111" s="559"/>
      <c r="C111" s="565">
        <f>'[1]Tasa de Falla'!C111</f>
        <v>94</v>
      </c>
      <c r="D111" s="565" t="str">
        <f>'[1]Tasa de Falla'!D111</f>
        <v>J.V. GONZALEZ - APOLINARIO SARAVIA</v>
      </c>
      <c r="E111" s="565">
        <f>'[1]Tasa de Falla'!E111</f>
        <v>132</v>
      </c>
      <c r="F111" s="565">
        <f>'[1]Tasa de Falla'!F111</f>
        <v>94</v>
      </c>
      <c r="G111" s="608">
        <f>IF('[1]Tasa de Falla'!HM111=0,"",'[1]Tasa de Falla'!HM111)</f>
      </c>
      <c r="H111" s="563">
        <f>IF('[1]Tasa de Falla'!HN111=0,"",'[1]Tasa de Falla'!HN111)</f>
      </c>
      <c r="I111" s="563">
        <f>IF('[1]Tasa de Falla'!HO111=0,"",'[1]Tasa de Falla'!HO111)</f>
      </c>
      <c r="J111" s="563">
        <f>IF('[1]Tasa de Falla'!HP111=0,"",'[1]Tasa de Falla'!HP111)</f>
      </c>
      <c r="K111" s="563">
        <f>IF('[1]Tasa de Falla'!HQ111=0,"",'[1]Tasa de Falla'!HQ111)</f>
      </c>
      <c r="L111" s="563">
        <f>IF('[1]Tasa de Falla'!HR111=0,"",'[1]Tasa de Falla'!HR111)</f>
      </c>
      <c r="M111" s="563">
        <f>IF('[1]Tasa de Falla'!HS111=0,"",'[1]Tasa de Falla'!HS111)</f>
      </c>
      <c r="N111" s="563">
        <f>IF('[1]Tasa de Falla'!HT111=0,"",'[1]Tasa de Falla'!HT111)</f>
      </c>
      <c r="O111" s="563">
        <f>IF('[1]Tasa de Falla'!HU111=0,"",'[1]Tasa de Falla'!HU111)</f>
        <v>1</v>
      </c>
      <c r="P111" s="563">
        <f>IF('[1]Tasa de Falla'!HV111=0,"",'[1]Tasa de Falla'!HV111)</f>
      </c>
      <c r="Q111" s="563">
        <f>IF('[1]Tasa de Falla'!HW111=0,"",'[1]Tasa de Falla'!HW111)</f>
      </c>
      <c r="R111" s="563">
        <f>IF('[1]Tasa de Falla'!HX111=0,"",'[1]Tasa de Falla'!HX111)</f>
        <v>1</v>
      </c>
      <c r="S111" s="566"/>
      <c r="T111" s="564"/>
    </row>
    <row r="112" spans="2:20" s="558" customFormat="1" ht="19.5" customHeight="1">
      <c r="B112" s="559"/>
      <c r="C112" s="565">
        <f>'[1]Tasa de Falla'!C112</f>
        <v>95</v>
      </c>
      <c r="D112" s="565" t="str">
        <f>'[1]Tasa de Falla'!D112</f>
        <v>ANDALGALA - SAULIL</v>
      </c>
      <c r="E112" s="565">
        <f>'[1]Tasa de Falla'!E112</f>
        <v>132</v>
      </c>
      <c r="F112" s="565">
        <f>'[1]Tasa de Falla'!F112</f>
        <v>76</v>
      </c>
      <c r="G112" s="608">
        <f>IF('[1]Tasa de Falla'!HM112=0,"",'[1]Tasa de Falla'!HM112)</f>
      </c>
      <c r="H112" s="563">
        <f>IF('[1]Tasa de Falla'!HN112=0,"",'[1]Tasa de Falla'!HN112)</f>
      </c>
      <c r="I112" s="563">
        <f>IF('[1]Tasa de Falla'!HO112=0,"",'[1]Tasa de Falla'!HO112)</f>
      </c>
      <c r="J112" s="563">
        <f>IF('[1]Tasa de Falla'!HP112=0,"",'[1]Tasa de Falla'!HP112)</f>
      </c>
      <c r="K112" s="563">
        <f>IF('[1]Tasa de Falla'!HQ112=0,"",'[1]Tasa de Falla'!HQ112)</f>
      </c>
      <c r="L112" s="563">
        <f>IF('[1]Tasa de Falla'!HR112=0,"",'[1]Tasa de Falla'!HR112)</f>
      </c>
      <c r="M112" s="563">
        <f>IF('[1]Tasa de Falla'!HS112=0,"",'[1]Tasa de Falla'!HS112)</f>
      </c>
      <c r="N112" s="563">
        <f>IF('[1]Tasa de Falla'!HT112=0,"",'[1]Tasa de Falla'!HT112)</f>
      </c>
      <c r="O112" s="563">
        <f>IF('[1]Tasa de Falla'!HU112=0,"",'[1]Tasa de Falla'!HU112)</f>
      </c>
      <c r="P112" s="563">
        <f>IF('[1]Tasa de Falla'!HV112=0,"",'[1]Tasa de Falla'!HV112)</f>
      </c>
      <c r="Q112" s="563">
        <f>IF('[1]Tasa de Falla'!HW112=0,"",'[1]Tasa de Falla'!HW112)</f>
      </c>
      <c r="R112" s="563">
        <f>IF('[1]Tasa de Falla'!HX112=0,"",'[1]Tasa de Falla'!HX112)</f>
      </c>
      <c r="S112" s="566"/>
      <c r="T112" s="564"/>
    </row>
    <row r="113" spans="2:20" s="558" customFormat="1" ht="19.5" customHeight="1">
      <c r="B113" s="559"/>
      <c r="C113" s="565">
        <f>'[1]Tasa de Falla'!C113</f>
        <v>96</v>
      </c>
      <c r="D113" s="565" t="str">
        <f>'[1]Tasa de Falla'!D113</f>
        <v>SANTIAGO OESTE - SANT. SUR  - SANT. CENTRO</v>
      </c>
      <c r="E113" s="565">
        <f>'[1]Tasa de Falla'!E113</f>
        <v>132</v>
      </c>
      <c r="F113" s="565">
        <f>'[1]Tasa de Falla'!F113</f>
        <v>14.6</v>
      </c>
      <c r="G113" s="608" t="str">
        <f>IF('[1]Tasa de Falla'!HM113=0,"",'[1]Tasa de Falla'!HM113)</f>
        <v>XXXX</v>
      </c>
      <c r="H113" s="563" t="str">
        <f>IF('[1]Tasa de Falla'!HN113=0,"",'[1]Tasa de Falla'!HN113)</f>
        <v>XXXX</v>
      </c>
      <c r="I113" s="563" t="str">
        <f>IF('[1]Tasa de Falla'!HO113=0,"",'[1]Tasa de Falla'!HO113)</f>
        <v>XXXX</v>
      </c>
      <c r="J113" s="563" t="str">
        <f>IF('[1]Tasa de Falla'!HP113=0,"",'[1]Tasa de Falla'!HP113)</f>
        <v>XXXX</v>
      </c>
      <c r="K113" s="563" t="str">
        <f>IF('[1]Tasa de Falla'!HQ113=0,"",'[1]Tasa de Falla'!HQ113)</f>
        <v>XXXX</v>
      </c>
      <c r="L113" s="563" t="str">
        <f>IF('[1]Tasa de Falla'!HR113=0,"",'[1]Tasa de Falla'!HR113)</f>
        <v>XXXX</v>
      </c>
      <c r="M113" s="563" t="str">
        <f>IF('[1]Tasa de Falla'!HS113=0,"",'[1]Tasa de Falla'!HS113)</f>
        <v>XXXX</v>
      </c>
      <c r="N113" s="563" t="str">
        <f>IF('[1]Tasa de Falla'!HT113=0,"",'[1]Tasa de Falla'!HT113)</f>
        <v>XXXX</v>
      </c>
      <c r="O113" s="563" t="str">
        <f>IF('[1]Tasa de Falla'!HU113=0,"",'[1]Tasa de Falla'!HU113)</f>
        <v>XXXX</v>
      </c>
      <c r="P113" s="563" t="str">
        <f>IF('[1]Tasa de Falla'!HV113=0,"",'[1]Tasa de Falla'!HV113)</f>
        <v>XXXX</v>
      </c>
      <c r="Q113" s="563" t="str">
        <f>IF('[1]Tasa de Falla'!HW113=0,"",'[1]Tasa de Falla'!HW113)</f>
        <v>XXXX</v>
      </c>
      <c r="R113" s="563" t="str">
        <f>IF('[1]Tasa de Falla'!HX113=0,"",'[1]Tasa de Falla'!HX113)</f>
        <v>XXXX</v>
      </c>
      <c r="S113" s="566"/>
      <c r="T113" s="564"/>
    </row>
    <row r="114" spans="2:20" s="558" customFormat="1" ht="19.5" customHeight="1">
      <c r="B114" s="559"/>
      <c r="C114" s="565">
        <f>'[1]Tasa de Falla'!C114</f>
        <v>97</v>
      </c>
      <c r="D114" s="565" t="str">
        <f>'[1]Tasa de Falla'!D114</f>
        <v>LA RIOJA SUR - PI LA RIOJA  </v>
      </c>
      <c r="E114" s="565">
        <f>'[1]Tasa de Falla'!E114</f>
        <v>132</v>
      </c>
      <c r="F114" s="565">
        <f>'[1]Tasa de Falla'!F114</f>
        <v>40</v>
      </c>
      <c r="G114" s="608">
        <f>IF('[1]Tasa de Falla'!HM114=0,"",'[1]Tasa de Falla'!HM114)</f>
      </c>
      <c r="H114" s="563">
        <f>IF('[1]Tasa de Falla'!HN114=0,"",'[1]Tasa de Falla'!HN114)</f>
      </c>
      <c r="I114" s="563">
        <f>IF('[1]Tasa de Falla'!HO114=0,"",'[1]Tasa de Falla'!HO114)</f>
      </c>
      <c r="J114" s="563">
        <f>IF('[1]Tasa de Falla'!HP114=0,"",'[1]Tasa de Falla'!HP114)</f>
      </c>
      <c r="K114" s="563">
        <f>IF('[1]Tasa de Falla'!HQ114=0,"",'[1]Tasa de Falla'!HQ114)</f>
      </c>
      <c r="L114" s="563">
        <f>IF('[1]Tasa de Falla'!HR114=0,"",'[1]Tasa de Falla'!HR114)</f>
      </c>
      <c r="M114" s="563">
        <f>IF('[1]Tasa de Falla'!HS114=0,"",'[1]Tasa de Falla'!HS114)</f>
      </c>
      <c r="N114" s="563">
        <f>IF('[1]Tasa de Falla'!HT114=0,"",'[1]Tasa de Falla'!HT114)</f>
      </c>
      <c r="O114" s="563">
        <f>IF('[1]Tasa de Falla'!HU114=0,"",'[1]Tasa de Falla'!HU114)</f>
      </c>
      <c r="P114" s="563">
        <f>IF('[1]Tasa de Falla'!HV114=0,"",'[1]Tasa de Falla'!HV114)</f>
      </c>
      <c r="Q114" s="563">
        <f>IF('[1]Tasa de Falla'!HW114=0,"",'[1]Tasa de Falla'!HW114)</f>
      </c>
      <c r="R114" s="563">
        <f>IF('[1]Tasa de Falla'!HX114=0,"",'[1]Tasa de Falla'!HX114)</f>
      </c>
      <c r="S114" s="566"/>
      <c r="T114" s="564"/>
    </row>
    <row r="115" spans="2:20" s="558" customFormat="1" ht="19.5" customHeight="1">
      <c r="B115" s="559"/>
      <c r="C115" s="565">
        <f>'[1]Tasa de Falla'!C115</f>
        <v>98</v>
      </c>
      <c r="D115" s="565" t="str">
        <f>'[1]Tasa de Falla'!D115</f>
        <v>LA RIOJA SUR - PI. PATQUIA</v>
      </c>
      <c r="E115" s="565">
        <f>'[1]Tasa de Falla'!E115</f>
        <v>132</v>
      </c>
      <c r="F115" s="565">
        <f>'[1]Tasa de Falla'!F115</f>
        <v>40</v>
      </c>
      <c r="G115" s="608">
        <f>IF('[1]Tasa de Falla'!HM115=0,"",'[1]Tasa de Falla'!HM115)</f>
      </c>
      <c r="H115" s="563">
        <f>IF('[1]Tasa de Falla'!HN115=0,"",'[1]Tasa de Falla'!HN115)</f>
      </c>
      <c r="I115" s="563">
        <f>IF('[1]Tasa de Falla'!HO115=0,"",'[1]Tasa de Falla'!HO115)</f>
      </c>
      <c r="J115" s="563">
        <f>IF('[1]Tasa de Falla'!HP115=0,"",'[1]Tasa de Falla'!HP115)</f>
      </c>
      <c r="K115" s="563">
        <f>IF('[1]Tasa de Falla'!HQ115=0,"",'[1]Tasa de Falla'!HQ115)</f>
      </c>
      <c r="L115" s="563">
        <f>IF('[1]Tasa de Falla'!HR115=0,"",'[1]Tasa de Falla'!HR115)</f>
      </c>
      <c r="M115" s="563">
        <f>IF('[1]Tasa de Falla'!HS115=0,"",'[1]Tasa de Falla'!HS115)</f>
      </c>
      <c r="N115" s="563">
        <f>IF('[1]Tasa de Falla'!HT115=0,"",'[1]Tasa de Falla'!HT115)</f>
      </c>
      <c r="O115" s="563">
        <f>IF('[1]Tasa de Falla'!HU115=0,"",'[1]Tasa de Falla'!HU115)</f>
      </c>
      <c r="P115" s="563">
        <f>IF('[1]Tasa de Falla'!HV115=0,"",'[1]Tasa de Falla'!HV115)</f>
      </c>
      <c r="Q115" s="563">
        <f>IF('[1]Tasa de Falla'!HW115=0,"",'[1]Tasa de Falla'!HW115)</f>
      </c>
      <c r="R115" s="563">
        <f>IF('[1]Tasa de Falla'!HX115=0,"",'[1]Tasa de Falla'!HX115)</f>
      </c>
      <c r="S115" s="566"/>
      <c r="T115" s="564"/>
    </row>
    <row r="116" spans="2:20" s="558" customFormat="1" ht="19.5" customHeight="1">
      <c r="B116" s="559"/>
      <c r="C116" s="565">
        <f>'[1]Tasa de Falla'!C116</f>
        <v>99</v>
      </c>
      <c r="D116" s="565" t="str">
        <f>'[1]Tasa de Falla'!D116</f>
        <v>SUNCHO CORRAL - QUIMILI</v>
      </c>
      <c r="E116" s="565">
        <f>'[1]Tasa de Falla'!E116</f>
        <v>132</v>
      </c>
      <c r="F116" s="565">
        <f>'[1]Tasa de Falla'!F116</f>
        <v>108</v>
      </c>
      <c r="G116" s="608">
        <f>IF('[1]Tasa de Falla'!HM116=0,"",'[1]Tasa de Falla'!HM116)</f>
      </c>
      <c r="H116" s="563">
        <f>IF('[1]Tasa de Falla'!HN116=0,"",'[1]Tasa de Falla'!HN116)</f>
      </c>
      <c r="I116" s="563">
        <f>IF('[1]Tasa de Falla'!HO116=0,"",'[1]Tasa de Falla'!HO116)</f>
        <v>1</v>
      </c>
      <c r="J116" s="563">
        <f>IF('[1]Tasa de Falla'!HP116=0,"",'[1]Tasa de Falla'!HP116)</f>
      </c>
      <c r="K116" s="563">
        <f>IF('[1]Tasa de Falla'!HQ116=0,"",'[1]Tasa de Falla'!HQ116)</f>
      </c>
      <c r="L116" s="563">
        <f>IF('[1]Tasa de Falla'!HR116=0,"",'[1]Tasa de Falla'!HR116)</f>
      </c>
      <c r="M116" s="563">
        <f>IF('[1]Tasa de Falla'!HS116=0,"",'[1]Tasa de Falla'!HS116)</f>
      </c>
      <c r="N116" s="563">
        <f>IF('[1]Tasa de Falla'!HT116=0,"",'[1]Tasa de Falla'!HT116)</f>
      </c>
      <c r="O116" s="563">
        <f>IF('[1]Tasa de Falla'!HU116=0,"",'[1]Tasa de Falla'!HU116)</f>
      </c>
      <c r="P116" s="563">
        <f>IF('[1]Tasa de Falla'!HV116=0,"",'[1]Tasa de Falla'!HV116)</f>
      </c>
      <c r="Q116" s="563">
        <f>IF('[1]Tasa de Falla'!HW116=0,"",'[1]Tasa de Falla'!HW116)</f>
      </c>
      <c r="R116" s="563">
        <f>IF('[1]Tasa de Falla'!HX116=0,"",'[1]Tasa de Falla'!HX116)</f>
      </c>
      <c r="S116" s="566"/>
      <c r="T116" s="564"/>
    </row>
    <row r="117" spans="2:20" s="558" customFormat="1" ht="19.5" customHeight="1">
      <c r="B117" s="559"/>
      <c r="C117" s="565">
        <f>'[1]Tasa de Falla'!C117</f>
        <v>100</v>
      </c>
      <c r="D117" s="565" t="str">
        <f>'[1]Tasa de Falla'!D117</f>
        <v>EL BRACHO - LA BANDA ESTE</v>
      </c>
      <c r="E117" s="565">
        <f>'[1]Tasa de Falla'!E117</f>
        <v>132</v>
      </c>
      <c r="F117" s="565">
        <f>'[1]Tasa de Falla'!F117</f>
        <v>140.9</v>
      </c>
      <c r="G117" s="608" t="str">
        <f>IF('[1]Tasa de Falla'!HM117=0,"",'[1]Tasa de Falla'!HM117)</f>
        <v>XXXX</v>
      </c>
      <c r="H117" s="563" t="str">
        <f>IF('[1]Tasa de Falla'!HN117=0,"",'[1]Tasa de Falla'!HN117)</f>
        <v>XXXX</v>
      </c>
      <c r="I117" s="563" t="str">
        <f>IF('[1]Tasa de Falla'!HO117=0,"",'[1]Tasa de Falla'!HO117)</f>
        <v>XXXX</v>
      </c>
      <c r="J117" s="563" t="str">
        <f>IF('[1]Tasa de Falla'!HP117=0,"",'[1]Tasa de Falla'!HP117)</f>
        <v>XXXX</v>
      </c>
      <c r="K117" s="563" t="str">
        <f>IF('[1]Tasa de Falla'!HQ117=0,"",'[1]Tasa de Falla'!HQ117)</f>
        <v>XXXX</v>
      </c>
      <c r="L117" s="563" t="str">
        <f>IF('[1]Tasa de Falla'!HR117=0,"",'[1]Tasa de Falla'!HR117)</f>
        <v>XXXX</v>
      </c>
      <c r="M117" s="563" t="str">
        <f>IF('[1]Tasa de Falla'!HS117=0,"",'[1]Tasa de Falla'!HS117)</f>
        <v>XXXX</v>
      </c>
      <c r="N117" s="563" t="str">
        <f>IF('[1]Tasa de Falla'!HT117=0,"",'[1]Tasa de Falla'!HT117)</f>
        <v>XXXX</v>
      </c>
      <c r="O117" s="563" t="str">
        <f>IF('[1]Tasa de Falla'!HU117=0,"",'[1]Tasa de Falla'!HU117)</f>
        <v>XXXX</v>
      </c>
      <c r="P117" s="563">
        <f>IF('[1]Tasa de Falla'!HV117=0,"",'[1]Tasa de Falla'!HV117)</f>
      </c>
      <c r="Q117" s="563">
        <f>IF('[1]Tasa de Falla'!HW117=0,"",'[1]Tasa de Falla'!HW117)</f>
      </c>
      <c r="R117" s="563">
        <f>IF('[1]Tasa de Falla'!HX117=0,"",'[1]Tasa de Falla'!HX117)</f>
      </c>
      <c r="S117" s="566"/>
      <c r="T117" s="564"/>
    </row>
    <row r="118" spans="2:20" s="558" customFormat="1" ht="19.5" customHeight="1">
      <c r="B118" s="559"/>
      <c r="C118" s="565">
        <f>'[1]Tasa de Falla'!C118</f>
        <v>101</v>
      </c>
      <c r="D118" s="565" t="str">
        <f>'[1]Tasa de Falla'!D118</f>
        <v>LA BANDA ESTE - LA BANDA</v>
      </c>
      <c r="E118" s="565">
        <f>'[1]Tasa de Falla'!E118</f>
        <v>132</v>
      </c>
      <c r="F118" s="565">
        <f>'[1]Tasa de Falla'!F118</f>
        <v>16.2</v>
      </c>
      <c r="G118" s="608" t="str">
        <f>IF('[1]Tasa de Falla'!HM118=0,"",'[1]Tasa de Falla'!HM118)</f>
        <v>XXXX</v>
      </c>
      <c r="H118" s="563" t="str">
        <f>IF('[1]Tasa de Falla'!HN118=0,"",'[1]Tasa de Falla'!HN118)</f>
        <v>XXXX</v>
      </c>
      <c r="I118" s="563" t="str">
        <f>IF('[1]Tasa de Falla'!HO118=0,"",'[1]Tasa de Falla'!HO118)</f>
        <v>XXXX</v>
      </c>
      <c r="J118" s="563" t="str">
        <f>IF('[1]Tasa de Falla'!HP118=0,"",'[1]Tasa de Falla'!HP118)</f>
        <v>XXXX</v>
      </c>
      <c r="K118" s="563" t="str">
        <f>IF('[1]Tasa de Falla'!HQ118=0,"",'[1]Tasa de Falla'!HQ118)</f>
        <v>XXXX</v>
      </c>
      <c r="L118" s="563" t="str">
        <f>IF('[1]Tasa de Falla'!HR118=0,"",'[1]Tasa de Falla'!HR118)</f>
        <v>XXXX</v>
      </c>
      <c r="M118" s="563" t="str">
        <f>IF('[1]Tasa de Falla'!HS118=0,"",'[1]Tasa de Falla'!HS118)</f>
        <v>XXXX</v>
      </c>
      <c r="N118" s="563" t="str">
        <f>IF('[1]Tasa de Falla'!HT118=0,"",'[1]Tasa de Falla'!HT118)</f>
        <v>XXXX</v>
      </c>
      <c r="O118" s="563" t="str">
        <f>IF('[1]Tasa de Falla'!HU118=0,"",'[1]Tasa de Falla'!HU118)</f>
        <v>XXXX</v>
      </c>
      <c r="P118" s="563">
        <f>IF('[1]Tasa de Falla'!HV118=0,"",'[1]Tasa de Falla'!HV118)</f>
      </c>
      <c r="Q118" s="563">
        <f>IF('[1]Tasa de Falla'!HW118=0,"",'[1]Tasa de Falla'!HW118)</f>
      </c>
      <c r="R118" s="563">
        <f>IF('[1]Tasa de Falla'!HX118=0,"",'[1]Tasa de Falla'!HX118)</f>
      </c>
      <c r="S118" s="566"/>
      <c r="T118" s="564"/>
    </row>
    <row r="119" spans="2:20" s="558" customFormat="1" ht="19.5" customHeight="1">
      <c r="B119" s="559"/>
      <c r="C119" s="565">
        <f>'[1]Tasa de Falla'!C119</f>
        <v>102</v>
      </c>
      <c r="D119" s="565" t="str">
        <f>'[1]Tasa de Falla'!D119</f>
        <v>TABACAL - PICHANAL</v>
      </c>
      <c r="E119" s="565">
        <f>'[1]Tasa de Falla'!E119</f>
        <v>132</v>
      </c>
      <c r="F119" s="565">
        <f>'[1]Tasa de Falla'!F119</f>
        <v>7</v>
      </c>
      <c r="G119" s="608">
        <f>IF('[1]Tasa de Falla'!HM119=0,"",'[1]Tasa de Falla'!HM119)</f>
      </c>
      <c r="H119" s="563">
        <f>IF('[1]Tasa de Falla'!HN119=0,"",'[1]Tasa de Falla'!HN119)</f>
      </c>
      <c r="I119" s="563">
        <f>IF('[1]Tasa de Falla'!HO119=0,"",'[1]Tasa de Falla'!HO119)</f>
      </c>
      <c r="J119" s="563">
        <f>IF('[1]Tasa de Falla'!HP119=0,"",'[1]Tasa de Falla'!HP119)</f>
      </c>
      <c r="K119" s="563">
        <f>IF('[1]Tasa de Falla'!HQ119=0,"",'[1]Tasa de Falla'!HQ119)</f>
      </c>
      <c r="L119" s="563">
        <f>IF('[1]Tasa de Falla'!HR119=0,"",'[1]Tasa de Falla'!HR119)</f>
      </c>
      <c r="M119" s="563">
        <f>IF('[1]Tasa de Falla'!HS119=0,"",'[1]Tasa de Falla'!HS119)</f>
      </c>
      <c r="N119" s="563">
        <f>IF('[1]Tasa de Falla'!HT119=0,"",'[1]Tasa de Falla'!HT119)</f>
      </c>
      <c r="O119" s="563">
        <f>IF('[1]Tasa de Falla'!HU119=0,"",'[1]Tasa de Falla'!HU119)</f>
      </c>
      <c r="P119" s="563">
        <f>IF('[1]Tasa de Falla'!HV119=0,"",'[1]Tasa de Falla'!HV119)</f>
      </c>
      <c r="Q119" s="563">
        <f>IF('[1]Tasa de Falla'!HW119=0,"",'[1]Tasa de Falla'!HW119)</f>
      </c>
      <c r="R119" s="563">
        <f>IF('[1]Tasa de Falla'!HX119=0,"",'[1]Tasa de Falla'!HX119)</f>
      </c>
      <c r="S119" s="566"/>
      <c r="T119" s="564"/>
    </row>
    <row r="120" spans="2:20" s="558" customFormat="1" ht="19.5" customHeight="1">
      <c r="B120" s="559"/>
      <c r="C120" s="565">
        <f>'[1]Tasa de Falla'!C120</f>
        <v>103</v>
      </c>
      <c r="D120" s="565" t="str">
        <f>'[1]Tasa de Falla'!D120</f>
        <v>ORAN - TABACAL</v>
      </c>
      <c r="E120" s="565">
        <f>'[1]Tasa de Falla'!E120</f>
        <v>132</v>
      </c>
      <c r="F120" s="565">
        <f>'[1]Tasa de Falla'!F120</f>
        <v>10</v>
      </c>
      <c r="G120" s="608">
        <f>IF('[1]Tasa de Falla'!HM120=0,"",'[1]Tasa de Falla'!HM120)</f>
      </c>
      <c r="H120" s="563">
        <f>IF('[1]Tasa de Falla'!HN120=0,"",'[1]Tasa de Falla'!HN120)</f>
      </c>
      <c r="I120" s="563">
        <f>IF('[1]Tasa de Falla'!HO120=0,"",'[1]Tasa de Falla'!HO120)</f>
      </c>
      <c r="J120" s="563">
        <f>IF('[1]Tasa de Falla'!HP120=0,"",'[1]Tasa de Falla'!HP120)</f>
      </c>
      <c r="K120" s="563">
        <f>IF('[1]Tasa de Falla'!HQ120=0,"",'[1]Tasa de Falla'!HQ120)</f>
      </c>
      <c r="L120" s="563">
        <f>IF('[1]Tasa de Falla'!HR120=0,"",'[1]Tasa de Falla'!HR120)</f>
      </c>
      <c r="M120" s="563">
        <f>IF('[1]Tasa de Falla'!HS120=0,"",'[1]Tasa de Falla'!HS120)</f>
      </c>
      <c r="N120" s="563">
        <f>IF('[1]Tasa de Falla'!HT120=0,"",'[1]Tasa de Falla'!HT120)</f>
      </c>
      <c r="O120" s="563">
        <f>IF('[1]Tasa de Falla'!HU120=0,"",'[1]Tasa de Falla'!HU120)</f>
      </c>
      <c r="P120" s="563">
        <f>IF('[1]Tasa de Falla'!HV120=0,"",'[1]Tasa de Falla'!HV120)</f>
      </c>
      <c r="Q120" s="563">
        <f>IF('[1]Tasa de Falla'!HW120=0,"",'[1]Tasa de Falla'!HW120)</f>
      </c>
      <c r="R120" s="563">
        <f>IF('[1]Tasa de Falla'!HX120=0,"",'[1]Tasa de Falla'!HX120)</f>
      </c>
      <c r="S120" s="566"/>
      <c r="T120" s="564"/>
    </row>
    <row r="121" spans="2:20" s="558" customFormat="1" ht="19.5" customHeight="1">
      <c r="B121" s="559"/>
      <c r="C121" s="565">
        <f>'[1]Tasa de Falla'!C121</f>
        <v>104</v>
      </c>
      <c r="D121" s="565" t="str">
        <f>'[1]Tasa de Falla'!D121</f>
        <v>MONTE QUEMADO -COPO - QUIMILI</v>
      </c>
      <c r="E121" s="565">
        <f>'[1]Tasa de Falla'!E121</f>
        <v>132</v>
      </c>
      <c r="F121" s="565">
        <f>'[1]Tasa de Falla'!F121</f>
        <v>218</v>
      </c>
      <c r="G121" s="608" t="str">
        <f>IF('[1]Tasa de Falla'!HM121=0,"",'[1]Tasa de Falla'!HM121)</f>
        <v>XXXX</v>
      </c>
      <c r="H121" s="563" t="str">
        <f>IF('[1]Tasa de Falla'!HN121=0,"",'[1]Tasa de Falla'!HN121)</f>
        <v>XXXX</v>
      </c>
      <c r="I121" s="563" t="str">
        <f>IF('[1]Tasa de Falla'!HO121=0,"",'[1]Tasa de Falla'!HO121)</f>
        <v>XXXX</v>
      </c>
      <c r="J121" s="563" t="str">
        <f>IF('[1]Tasa de Falla'!HP121=0,"",'[1]Tasa de Falla'!HP121)</f>
        <v>XXXX</v>
      </c>
      <c r="K121" s="563" t="str">
        <f>IF('[1]Tasa de Falla'!HQ121=0,"",'[1]Tasa de Falla'!HQ121)</f>
        <v>XXXX</v>
      </c>
      <c r="L121" s="563" t="str">
        <f>IF('[1]Tasa de Falla'!HR121=0,"",'[1]Tasa de Falla'!HR121)</f>
        <v>XXXX</v>
      </c>
      <c r="M121" s="563" t="str">
        <f>IF('[1]Tasa de Falla'!HS121=0,"",'[1]Tasa de Falla'!HS121)</f>
        <v>XXXX</v>
      </c>
      <c r="N121" s="563" t="str">
        <f>IF('[1]Tasa de Falla'!HT121=0,"",'[1]Tasa de Falla'!HT121)</f>
        <v>XXXX</v>
      </c>
      <c r="O121" s="563" t="str">
        <f>IF('[1]Tasa de Falla'!HU121=0,"",'[1]Tasa de Falla'!HU121)</f>
        <v>XXXX</v>
      </c>
      <c r="P121" s="563">
        <f>IF('[1]Tasa de Falla'!HV121=0,"",'[1]Tasa de Falla'!HV121)</f>
      </c>
      <c r="Q121" s="563">
        <f>IF('[1]Tasa de Falla'!HW121=0,"",'[1]Tasa de Falla'!HW121)</f>
      </c>
      <c r="R121" s="563">
        <f>IF('[1]Tasa de Falla'!HX121=0,"",'[1]Tasa de Falla'!HX121)</f>
      </c>
      <c r="S121" s="566"/>
      <c r="T121" s="564"/>
    </row>
    <row r="122" spans="2:20" s="558" customFormat="1" ht="19.5" customHeight="1">
      <c r="B122" s="559"/>
      <c r="C122" s="565"/>
      <c r="D122" s="565"/>
      <c r="E122" s="565"/>
      <c r="F122" s="565"/>
      <c r="G122" s="608"/>
      <c r="H122" s="563"/>
      <c r="I122" s="563"/>
      <c r="J122" s="563"/>
      <c r="K122" s="563"/>
      <c r="L122" s="563"/>
      <c r="M122" s="563"/>
      <c r="N122" s="563"/>
      <c r="O122" s="563"/>
      <c r="P122" s="563"/>
      <c r="Q122" s="563"/>
      <c r="R122" s="563"/>
      <c r="S122" s="566"/>
      <c r="T122" s="564"/>
    </row>
    <row r="123" spans="2:20" s="558" customFormat="1" ht="19.5" customHeight="1">
      <c r="B123" s="559"/>
      <c r="C123" s="565"/>
      <c r="D123" s="565"/>
      <c r="E123" s="565"/>
      <c r="F123" s="567"/>
      <c r="G123" s="563"/>
      <c r="H123" s="563"/>
      <c r="I123" s="563"/>
      <c r="J123" s="563"/>
      <c r="K123" s="563"/>
      <c r="L123" s="563"/>
      <c r="M123" s="563"/>
      <c r="N123" s="563"/>
      <c r="O123" s="563"/>
      <c r="P123" s="563"/>
      <c r="Q123" s="563"/>
      <c r="R123" s="563"/>
      <c r="S123" s="566"/>
      <c r="T123" s="564"/>
    </row>
    <row r="124" spans="2:20" s="558" customFormat="1" ht="19.5" customHeight="1" thickBot="1">
      <c r="B124" s="559"/>
      <c r="C124" s="568"/>
      <c r="D124" s="569"/>
      <c r="E124" s="570"/>
      <c r="F124" s="571"/>
      <c r="G124" s="563"/>
      <c r="H124" s="563"/>
      <c r="I124" s="563"/>
      <c r="J124" s="563"/>
      <c r="K124" s="563"/>
      <c r="L124" s="563"/>
      <c r="M124" s="563"/>
      <c r="N124" s="563"/>
      <c r="O124" s="563"/>
      <c r="P124" s="563"/>
      <c r="Q124" s="563"/>
      <c r="R124" s="563"/>
      <c r="S124" s="566"/>
      <c r="T124" s="564"/>
    </row>
    <row r="125" spans="2:20" ht="15" customHeight="1" thickBot="1" thickTop="1">
      <c r="B125" s="546"/>
      <c r="C125" s="87"/>
      <c r="D125" s="572"/>
      <c r="E125" s="573" t="s">
        <v>239</v>
      </c>
      <c r="F125" s="574">
        <f>SUM(F16:F124)-F19-F21-F22-F26-F27-F37-F39-F40-F43-F44-F47-F48-F49-F53-F60-F65-F80-F84-F98-F103-F113</f>
        <v>4455.890000000002</v>
      </c>
      <c r="G125" s="575"/>
      <c r="H125" s="575"/>
      <c r="I125" s="575"/>
      <c r="J125" s="575"/>
      <c r="K125" s="575"/>
      <c r="L125" s="575"/>
      <c r="M125" s="575"/>
      <c r="N125" s="575"/>
      <c r="O125" s="575"/>
      <c r="P125" s="575"/>
      <c r="Q125" s="575"/>
      <c r="R125" s="575"/>
      <c r="S125" s="576"/>
      <c r="T125" s="540"/>
    </row>
    <row r="126" spans="2:20" ht="15" customHeight="1" thickBot="1" thickTop="1">
      <c r="B126" s="546"/>
      <c r="C126" s="7"/>
      <c r="D126" s="577"/>
      <c r="F126" s="578" t="s">
        <v>240</v>
      </c>
      <c r="G126" s="579">
        <f aca="true" t="shared" si="0" ref="G126:R126">SUM(G17:G124)</f>
        <v>7</v>
      </c>
      <c r="H126" s="579">
        <f t="shared" si="0"/>
        <v>3</v>
      </c>
      <c r="I126" s="579">
        <f t="shared" si="0"/>
        <v>3</v>
      </c>
      <c r="J126" s="579">
        <f t="shared" si="0"/>
        <v>11</v>
      </c>
      <c r="K126" s="579">
        <f t="shared" si="0"/>
        <v>6</v>
      </c>
      <c r="L126" s="579">
        <f t="shared" si="0"/>
        <v>17</v>
      </c>
      <c r="M126" s="579">
        <f t="shared" si="0"/>
        <v>6</v>
      </c>
      <c r="N126" s="579">
        <f t="shared" si="0"/>
        <v>8</v>
      </c>
      <c r="O126" s="579">
        <f t="shared" si="0"/>
        <v>14</v>
      </c>
      <c r="P126" s="579">
        <f t="shared" si="0"/>
        <v>9</v>
      </c>
      <c r="Q126" s="579">
        <f t="shared" si="0"/>
        <v>13</v>
      </c>
      <c r="R126" s="579">
        <f t="shared" si="0"/>
        <v>11</v>
      </c>
      <c r="S126" s="580"/>
      <c r="T126" s="540"/>
    </row>
    <row r="127" spans="2:20" ht="19.5" thickBot="1" thickTop="1">
      <c r="B127" s="546"/>
      <c r="C127" s="7"/>
      <c r="D127" s="7"/>
      <c r="E127" s="7"/>
      <c r="F127" s="581" t="s">
        <v>241</v>
      </c>
      <c r="G127" s="582">
        <f>+'[1]Tasa de Falla'!HM129</f>
        <v>2.35</v>
      </c>
      <c r="H127" s="582">
        <f>+'[1]Tasa de Falla'!HN129</f>
        <v>2.37</v>
      </c>
      <c r="I127" s="582">
        <f>+'[1]Tasa de Falla'!HO129</f>
        <v>2.44</v>
      </c>
      <c r="J127" s="582">
        <f>+'[1]Tasa de Falla'!HP129</f>
        <v>2.4</v>
      </c>
      <c r="K127" s="582">
        <f>+'[1]Tasa de Falla'!HQ129</f>
        <v>2.52</v>
      </c>
      <c r="L127" s="582">
        <f>+'[1]Tasa de Falla'!HR129</f>
        <v>2.4</v>
      </c>
      <c r="M127" s="582">
        <f>+'[1]Tasa de Falla'!HS129</f>
        <v>2.49</v>
      </c>
      <c r="N127" s="582">
        <f>+'[1]Tasa de Falla'!HT129</f>
        <v>2.47</v>
      </c>
      <c r="O127" s="582">
        <f>+'[1]Tasa de Falla'!HU129</f>
        <v>2.52</v>
      </c>
      <c r="P127" s="582">
        <f>+'[1]Tasa de Falla'!HV129</f>
        <v>2.6</v>
      </c>
      <c r="Q127" s="582">
        <f>+'[1]Tasa de Falla'!HW129</f>
        <v>2.49</v>
      </c>
      <c r="R127" s="582">
        <f>+'[1]Tasa de Falla'!HX129</f>
        <v>2.51</v>
      </c>
      <c r="S127" s="582">
        <f>+'[1]Tasa de Falla'!HY129</f>
        <v>2.42</v>
      </c>
      <c r="T127" s="540"/>
    </row>
    <row r="128" spans="2:21" ht="18.75" customHeight="1" thickBot="1" thickTop="1">
      <c r="B128" s="546"/>
      <c r="C128" s="50"/>
      <c r="D128" s="50"/>
      <c r="E128" s="583"/>
      <c r="F128" s="584"/>
      <c r="G128" s="585"/>
      <c r="H128" s="585"/>
      <c r="I128" s="585"/>
      <c r="J128" s="585"/>
      <c r="K128" s="585"/>
      <c r="L128" s="585"/>
      <c r="M128" s="585"/>
      <c r="N128" s="585"/>
      <c r="O128" s="585"/>
      <c r="P128" s="585"/>
      <c r="Q128" s="585"/>
      <c r="R128" s="585"/>
      <c r="S128" s="585"/>
      <c r="T128" s="586"/>
      <c r="U128" s="587"/>
    </row>
    <row r="129" spans="2:20" ht="19.5" thickBot="1" thickTop="1">
      <c r="B129" s="588"/>
      <c r="C129" s="589" t="s">
        <v>242</v>
      </c>
      <c r="D129" s="50" t="s">
        <v>243</v>
      </c>
      <c r="J129" s="590" t="s">
        <v>244</v>
      </c>
      <c r="K129" s="591"/>
      <c r="L129" s="591"/>
      <c r="M129" s="592">
        <f>S127</f>
        <v>2.42</v>
      </c>
      <c r="N129" s="593" t="s">
        <v>245</v>
      </c>
      <c r="O129" s="593"/>
      <c r="P129" s="593"/>
      <c r="Q129" s="594"/>
      <c r="R129" s="1"/>
      <c r="S129" s="1"/>
      <c r="T129" s="540"/>
    </row>
    <row r="130" spans="2:20" ht="18.75" customHeight="1" thickBot="1">
      <c r="B130" s="595"/>
      <c r="C130" s="596"/>
      <c r="D130" s="97"/>
      <c r="E130" s="97"/>
      <c r="F130" s="597"/>
      <c r="G130" s="598"/>
      <c r="H130" s="598"/>
      <c r="I130" s="598"/>
      <c r="J130" s="598"/>
      <c r="K130" s="598"/>
      <c r="L130" s="598"/>
      <c r="M130" s="598"/>
      <c r="N130" s="598"/>
      <c r="O130" s="598"/>
      <c r="P130" s="598"/>
      <c r="Q130" s="598"/>
      <c r="R130" s="598"/>
      <c r="S130" s="598"/>
      <c r="T130" s="599"/>
    </row>
    <row r="131" spans="2:21" ht="15" customHeight="1" thickTop="1">
      <c r="B131" s="600"/>
      <c r="C131" s="1"/>
      <c r="D131" s="1"/>
      <c r="E131" s="1"/>
      <c r="F131" s="60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2.75">
      <c r="B132" s="602"/>
      <c r="C132" s="603"/>
      <c r="D132" s="603"/>
      <c r="E132" s="603"/>
      <c r="F132" s="603"/>
      <c r="G132" s="603"/>
      <c r="H132" s="603"/>
      <c r="I132" s="603"/>
      <c r="J132" s="603"/>
      <c r="K132" s="603"/>
      <c r="L132" s="603"/>
      <c r="M132" s="603"/>
      <c r="N132" s="603"/>
      <c r="O132" s="603"/>
      <c r="P132" s="603"/>
      <c r="Q132" s="603"/>
      <c r="R132" s="603"/>
      <c r="S132" s="603"/>
      <c r="T132" s="603"/>
      <c r="U132" s="603"/>
    </row>
    <row r="133" ht="12.75">
      <c r="B133" s="604"/>
    </row>
    <row r="134" spans="2:21" ht="22.5" customHeight="1">
      <c r="B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22.5" customHeight="1">
      <c r="B135" s="1"/>
      <c r="C135" s="1"/>
      <c r="D135" s="605"/>
      <c r="E135" s="605"/>
      <c r="F135" s="548"/>
      <c r="G135" s="606"/>
      <c r="H135" s="606"/>
      <c r="I135" s="606"/>
      <c r="J135" s="606"/>
      <c r="K135" s="606"/>
      <c r="L135" s="606"/>
      <c r="M135" s="606"/>
      <c r="N135" s="606"/>
      <c r="O135" s="606"/>
      <c r="P135" s="606"/>
      <c r="Q135" s="606"/>
      <c r="R135" s="606"/>
      <c r="S135" s="606"/>
      <c r="T135" s="606"/>
      <c r="U135" s="606"/>
    </row>
    <row r="136" spans="2:21" ht="22.5" customHeight="1">
      <c r="B136" s="1"/>
      <c r="C136" s="1"/>
      <c r="D136" s="605"/>
      <c r="E136" s="605"/>
      <c r="F136" s="60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22.5" customHeight="1">
      <c r="B137" s="1"/>
      <c r="C137" s="1"/>
      <c r="D137" s="549"/>
      <c r="E137" s="549"/>
      <c r="F137" s="54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22.5" customHeight="1">
      <c r="B138" s="1"/>
      <c r="C138" s="1"/>
      <c r="D138" s="605"/>
      <c r="E138" s="605"/>
      <c r="F138" s="54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</sheetData>
  <sheetProtection/>
  <mergeCells count="2">
    <mergeCell ref="A3:C3"/>
    <mergeCell ref="A4:C4"/>
  </mergeCells>
  <printOptions/>
  <pageMargins left="0.2755905511811024" right="0.2755905511811024" top="0.1968503937007874" bottom="0.1968503937007874" header="0" footer="0"/>
  <pageSetup fitToHeight="1" fitToWidth="1" horizontalDpi="600" verticalDpi="600" orientation="portrait" paperSize="9" scale="3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AC25"/>
  <sheetViews>
    <sheetView zoomScale="85" zoomScaleNormal="85"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E12" sqref="E12"/>
    </sheetView>
  </sheetViews>
  <sheetFormatPr defaultColWidth="11.421875" defaultRowHeight="12.75"/>
  <cols>
    <col min="1" max="1" width="21.7109375" style="90" customWidth="1"/>
    <col min="2" max="2" width="9.28125" style="90" customWidth="1"/>
    <col min="3" max="3" width="11.8515625" style="90" bestFit="1" customWidth="1"/>
    <col min="4" max="4" width="9.57421875" style="90" bestFit="1" customWidth="1"/>
    <col min="5" max="5" width="14.8515625" style="90" bestFit="1" customWidth="1"/>
    <col min="6" max="6" width="64.00390625" style="90" bestFit="1" customWidth="1"/>
    <col min="7" max="16384" width="11.421875" style="90" customWidth="1"/>
  </cols>
  <sheetData>
    <row r="1" spans="1:4" ht="12.75">
      <c r="A1" s="492" t="s">
        <v>98</v>
      </c>
      <c r="B1" s="492" t="s">
        <v>98</v>
      </c>
      <c r="C1" s="492" t="s">
        <v>99</v>
      </c>
      <c r="D1" s="492" t="s">
        <v>100</v>
      </c>
    </row>
    <row r="2" spans="1:4" ht="12.75">
      <c r="A2" s="493" t="s">
        <v>86</v>
      </c>
      <c r="B2" s="494" t="s">
        <v>101</v>
      </c>
      <c r="C2" s="493">
        <v>31</v>
      </c>
      <c r="D2" s="493">
        <v>2006</v>
      </c>
    </row>
    <row r="3" spans="1:4" ht="12.75">
      <c r="A3" s="493" t="s">
        <v>87</v>
      </c>
      <c r="B3" s="494" t="s">
        <v>102</v>
      </c>
      <c r="C3" s="493">
        <f>IF(MOD(E14,4)=0,29,28)</f>
        <v>28</v>
      </c>
      <c r="D3" s="493">
        <f>+D2+1</f>
        <v>2007</v>
      </c>
    </row>
    <row r="4" spans="1:4" ht="12.75">
      <c r="A4" s="493" t="s">
        <v>88</v>
      </c>
      <c r="B4" s="494" t="s">
        <v>103</v>
      </c>
      <c r="C4" s="493">
        <v>31</v>
      </c>
      <c r="D4" s="493">
        <v>2008</v>
      </c>
    </row>
    <row r="5" spans="1:4" ht="12.75">
      <c r="A5" s="493" t="s">
        <v>89</v>
      </c>
      <c r="B5" s="494" t="s">
        <v>104</v>
      </c>
      <c r="C5" s="493">
        <v>30</v>
      </c>
      <c r="D5" s="493">
        <v>2009</v>
      </c>
    </row>
    <row r="6" spans="1:4" ht="12.75">
      <c r="A6" s="493" t="s">
        <v>90</v>
      </c>
      <c r="B6" s="494" t="s">
        <v>105</v>
      </c>
      <c r="C6" s="493">
        <v>31</v>
      </c>
      <c r="D6" s="493">
        <v>2010</v>
      </c>
    </row>
    <row r="7" spans="1:4" ht="12.75">
      <c r="A7" s="493" t="s">
        <v>91</v>
      </c>
      <c r="B7" s="494" t="s">
        <v>106</v>
      </c>
      <c r="C7" s="493">
        <v>30</v>
      </c>
      <c r="D7" s="493">
        <v>2011</v>
      </c>
    </row>
    <row r="8" spans="1:4" ht="12.75">
      <c r="A8" s="493" t="s">
        <v>92</v>
      </c>
      <c r="B8" s="494" t="s">
        <v>107</v>
      </c>
      <c r="C8" s="493">
        <v>31</v>
      </c>
      <c r="D8" s="493">
        <v>2012</v>
      </c>
    </row>
    <row r="9" spans="1:4" ht="12.75">
      <c r="A9" s="493" t="s">
        <v>93</v>
      </c>
      <c r="B9" s="494" t="s">
        <v>108</v>
      </c>
      <c r="C9" s="493">
        <v>31</v>
      </c>
      <c r="D9" s="493">
        <v>2013</v>
      </c>
    </row>
    <row r="10" spans="1:4" ht="12.75">
      <c r="A10" s="493" t="s">
        <v>94</v>
      </c>
      <c r="B10" s="494" t="s">
        <v>109</v>
      </c>
      <c r="C10" s="493">
        <v>30</v>
      </c>
      <c r="D10" s="493"/>
    </row>
    <row r="11" spans="1:4" ht="12.75">
      <c r="A11" s="493" t="s">
        <v>95</v>
      </c>
      <c r="B11" s="494" t="s">
        <v>110</v>
      </c>
      <c r="C11" s="493">
        <v>31</v>
      </c>
      <c r="D11" s="493"/>
    </row>
    <row r="12" spans="1:4" ht="12.75">
      <c r="A12" s="493" t="s">
        <v>96</v>
      </c>
      <c r="B12" s="494" t="s">
        <v>111</v>
      </c>
      <c r="C12" s="493">
        <v>30</v>
      </c>
      <c r="D12" s="493"/>
    </row>
    <row r="13" spans="1:9" ht="12.75">
      <c r="A13" s="493" t="s">
        <v>97</v>
      </c>
      <c r="B13" s="494" t="s">
        <v>112</v>
      </c>
      <c r="C13" s="493">
        <v>31</v>
      </c>
      <c r="D13" s="493"/>
      <c r="I13" s="509" t="s">
        <v>154</v>
      </c>
    </row>
    <row r="14" spans="1:9" ht="12.75">
      <c r="A14" s="495">
        <v>8</v>
      </c>
      <c r="B14" s="496">
        <v>4</v>
      </c>
      <c r="C14" s="495" t="str">
        <f ca="1">CELL("CONTENIDO",OFFSET(A1,B14,0))</f>
        <v>abril</v>
      </c>
      <c r="D14" s="495">
        <f ca="1">CELL("CONTENIDO",OFFSET(C1,B14,0))</f>
        <v>30</v>
      </c>
      <c r="E14" s="495">
        <f ca="1">CELL("CONTENIDO",OFFSET(D1,A14,0))</f>
        <v>2013</v>
      </c>
      <c r="F14" s="495" t="str">
        <f>"Desde el 01 al "&amp;D14&amp;" de "&amp;C14&amp;" de "&amp;E14</f>
        <v>Desde el 01 al 30 de abril de 2013</v>
      </c>
      <c r="G14" s="495" t="str">
        <f ca="1">CELL("CONTENIDO",OFFSET(B1,B14,0))</f>
        <v>04</v>
      </c>
      <c r="H14" s="495" t="str">
        <f>RIGHT(E14,2)</f>
        <v>13</v>
      </c>
      <c r="I14" s="510" t="s">
        <v>155</v>
      </c>
    </row>
    <row r="15" spans="1:8" ht="12.75">
      <c r="A15" s="495"/>
      <c r="B15" s="497" t="str">
        <f>"\\rugor\files\Transporte\Transporte\AA PROCESO AUT ARCHIVOS J\TRANSNOA\"&amp;E14</f>
        <v>\\rugor\files\Transporte\Transporte\AA PROCESO AUT ARCHIVOS J\TRANSNOA\2013</v>
      </c>
      <c r="C15" s="495"/>
      <c r="D15" s="495"/>
      <c r="E15" s="495"/>
      <c r="F15" s="495"/>
      <c r="G15" s="495" t="str">
        <f>"J"&amp;G14&amp;H14&amp;"NOA"</f>
        <v>J0413NOA</v>
      </c>
      <c r="H15" s="495"/>
    </row>
    <row r="16" spans="1:8" ht="12.75">
      <c r="A16" s="495"/>
      <c r="B16" s="497" t="str">
        <f>"\\rugor\files\Transporte\transporte\AA PROCESO AUT\INTERCAMBIO\"&amp;H14&amp;G14</f>
        <v>\\rugor\files\Transporte\transporte\AA PROCESO AUT\INTERCAMBIO\1304</v>
      </c>
      <c r="C16" s="495"/>
      <c r="D16" s="495"/>
      <c r="E16" s="495"/>
      <c r="F16" s="495"/>
      <c r="G16" s="495"/>
      <c r="H16" s="495"/>
    </row>
    <row r="17" spans="1:29" s="504" customFormat="1" ht="12.75">
      <c r="A17" s="492" t="s">
        <v>113</v>
      </c>
      <c r="B17" s="492" t="s">
        <v>114</v>
      </c>
      <c r="C17" s="492" t="s">
        <v>115</v>
      </c>
      <c r="D17" s="492" t="s">
        <v>116</v>
      </c>
      <c r="E17" s="492" t="s">
        <v>117</v>
      </c>
      <c r="F17" s="492" t="s">
        <v>118</v>
      </c>
      <c r="G17" s="492" t="s">
        <v>119</v>
      </c>
      <c r="H17" s="492" t="s">
        <v>120</v>
      </c>
      <c r="I17" s="492" t="s">
        <v>121</v>
      </c>
      <c r="J17" s="492" t="s">
        <v>122</v>
      </c>
      <c r="K17" s="492" t="s">
        <v>123</v>
      </c>
      <c r="L17" s="492" t="s">
        <v>124</v>
      </c>
      <c r="M17" s="492" t="s">
        <v>125</v>
      </c>
      <c r="N17" s="492" t="s">
        <v>126</v>
      </c>
      <c r="O17" s="492" t="s">
        <v>127</v>
      </c>
      <c r="P17" s="492" t="s">
        <v>128</v>
      </c>
      <c r="Q17" s="492" t="s">
        <v>129</v>
      </c>
      <c r="R17" s="492" t="s">
        <v>130</v>
      </c>
      <c r="S17" s="492" t="s">
        <v>131</v>
      </c>
      <c r="T17" s="492" t="s">
        <v>132</v>
      </c>
      <c r="U17" s="492" t="s">
        <v>133</v>
      </c>
      <c r="V17" s="492" t="s">
        <v>134</v>
      </c>
      <c r="W17" s="492" t="s">
        <v>144</v>
      </c>
      <c r="X17" s="492" t="s">
        <v>145</v>
      </c>
      <c r="Y17" s="492" t="s">
        <v>146</v>
      </c>
      <c r="Z17" s="492" t="s">
        <v>147</v>
      </c>
      <c r="AA17" s="492" t="s">
        <v>148</v>
      </c>
      <c r="AB17" s="492" t="s">
        <v>149</v>
      </c>
      <c r="AC17" s="492" t="s">
        <v>143</v>
      </c>
    </row>
    <row r="18" spans="1:29" ht="12.75">
      <c r="A18" s="498" t="s">
        <v>135</v>
      </c>
      <c r="B18" s="498">
        <v>21</v>
      </c>
      <c r="C18" s="498">
        <v>20</v>
      </c>
      <c r="D18" s="498">
        <v>11</v>
      </c>
      <c r="E18" s="498" t="str">
        <f>"LI-"&amp;$G$14</f>
        <v>LI-04</v>
      </c>
      <c r="F18" s="498" t="s">
        <v>156</v>
      </c>
      <c r="G18" s="498">
        <v>3</v>
      </c>
      <c r="H18" s="499">
        <v>5</v>
      </c>
      <c r="I18" s="499">
        <v>4</v>
      </c>
      <c r="J18" s="498">
        <v>6</v>
      </c>
      <c r="K18" s="498">
        <v>7</v>
      </c>
      <c r="L18" s="498">
        <v>8</v>
      </c>
      <c r="M18" s="498">
        <v>0</v>
      </c>
      <c r="N18" s="498">
        <v>10</v>
      </c>
      <c r="O18" s="498">
        <v>11</v>
      </c>
      <c r="P18" s="498">
        <v>14</v>
      </c>
      <c r="Q18" s="498">
        <v>0</v>
      </c>
      <c r="R18" s="498">
        <v>26</v>
      </c>
      <c r="S18" s="498">
        <v>0</v>
      </c>
      <c r="T18" s="498">
        <v>0</v>
      </c>
      <c r="U18" s="498">
        <v>0</v>
      </c>
      <c r="V18" s="498">
        <v>0</v>
      </c>
      <c r="W18" s="498">
        <v>19</v>
      </c>
      <c r="X18" s="498">
        <v>10</v>
      </c>
      <c r="Y18" s="498">
        <v>42</v>
      </c>
      <c r="Z18" s="498">
        <v>27</v>
      </c>
      <c r="AA18" s="498">
        <v>19</v>
      </c>
      <c r="AB18" s="498">
        <v>27</v>
      </c>
      <c r="AC18" s="498">
        <v>14</v>
      </c>
    </row>
    <row r="19" spans="1:29" ht="12.75">
      <c r="A19" s="500" t="s">
        <v>136</v>
      </c>
      <c r="B19" s="500">
        <v>24</v>
      </c>
      <c r="C19" s="500">
        <v>20</v>
      </c>
      <c r="D19" s="500">
        <v>13</v>
      </c>
      <c r="E19" s="500" t="str">
        <f>"T-"&amp;$G$14</f>
        <v>T-04</v>
      </c>
      <c r="F19" s="500" t="s">
        <v>157</v>
      </c>
      <c r="G19" s="498">
        <v>3</v>
      </c>
      <c r="H19" s="499">
        <v>5</v>
      </c>
      <c r="I19" s="499">
        <v>4</v>
      </c>
      <c r="J19" s="500">
        <v>6</v>
      </c>
      <c r="K19" s="500">
        <v>7</v>
      </c>
      <c r="L19" s="500">
        <v>8</v>
      </c>
      <c r="M19" s="500">
        <v>9</v>
      </c>
      <c r="N19" s="500">
        <v>11</v>
      </c>
      <c r="O19" s="500">
        <v>12</v>
      </c>
      <c r="P19" s="500">
        <v>15</v>
      </c>
      <c r="Q19" s="500">
        <v>16</v>
      </c>
      <c r="R19" s="500">
        <v>18</v>
      </c>
      <c r="S19" s="500">
        <v>28</v>
      </c>
      <c r="T19" s="500">
        <v>17</v>
      </c>
      <c r="U19" s="500">
        <v>0</v>
      </c>
      <c r="V19" s="500">
        <v>0</v>
      </c>
      <c r="W19" s="500">
        <v>25</v>
      </c>
      <c r="X19" s="498">
        <v>10</v>
      </c>
      <c r="Y19" s="500">
        <v>45</v>
      </c>
      <c r="Z19" s="500">
        <v>29</v>
      </c>
      <c r="AA19" s="500">
        <v>22</v>
      </c>
      <c r="AB19" s="500">
        <v>29</v>
      </c>
      <c r="AC19" s="500">
        <v>15</v>
      </c>
    </row>
    <row r="20" spans="1:29" ht="12.75">
      <c r="A20" s="498" t="s">
        <v>137</v>
      </c>
      <c r="B20" s="498">
        <v>23</v>
      </c>
      <c r="C20" s="498">
        <v>20</v>
      </c>
      <c r="D20" s="498">
        <v>10</v>
      </c>
      <c r="E20" s="498" t="str">
        <f>"SA-"&amp;$G$14</f>
        <v>SA-04</v>
      </c>
      <c r="F20" s="498" t="s">
        <v>158</v>
      </c>
      <c r="G20" s="498">
        <v>3</v>
      </c>
      <c r="H20" s="499">
        <v>5</v>
      </c>
      <c r="I20" s="499">
        <v>4</v>
      </c>
      <c r="J20" s="498">
        <v>6</v>
      </c>
      <c r="K20" s="498">
        <v>7</v>
      </c>
      <c r="L20" s="498">
        <v>8</v>
      </c>
      <c r="M20" s="498">
        <v>10</v>
      </c>
      <c r="N20" s="498">
        <v>11</v>
      </c>
      <c r="O20" s="498">
        <v>14</v>
      </c>
      <c r="P20" s="498">
        <v>15</v>
      </c>
      <c r="Q20" s="498">
        <v>21</v>
      </c>
      <c r="R20" s="498">
        <v>0</v>
      </c>
      <c r="S20" s="498">
        <v>0</v>
      </c>
      <c r="T20" s="498">
        <v>0</v>
      </c>
      <c r="U20" s="498">
        <v>0</v>
      </c>
      <c r="V20" s="498">
        <v>0</v>
      </c>
      <c r="W20" s="498">
        <v>29</v>
      </c>
      <c r="X20" s="498">
        <v>10</v>
      </c>
      <c r="Y20" s="498">
        <v>44</v>
      </c>
      <c r="Z20" s="498">
        <v>22</v>
      </c>
      <c r="AA20" s="498">
        <v>21</v>
      </c>
      <c r="AB20" s="498">
        <v>22</v>
      </c>
      <c r="AC20" s="498">
        <v>14</v>
      </c>
    </row>
    <row r="21" spans="1:29" ht="12.75">
      <c r="A21" s="498" t="s">
        <v>162</v>
      </c>
      <c r="B21" s="498">
        <v>21</v>
      </c>
      <c r="C21" s="498">
        <v>20</v>
      </c>
      <c r="D21" s="498">
        <v>11</v>
      </c>
      <c r="E21" s="498" t="str">
        <f>"LI-RIOJA-"&amp;$G$14</f>
        <v>LI-RIOJA-04</v>
      </c>
      <c r="F21" s="498" t="s">
        <v>163</v>
      </c>
      <c r="G21" s="498">
        <v>3</v>
      </c>
      <c r="H21" s="499">
        <v>5</v>
      </c>
      <c r="I21" s="499">
        <v>4</v>
      </c>
      <c r="J21" s="498">
        <v>6</v>
      </c>
      <c r="K21" s="498">
        <v>7</v>
      </c>
      <c r="L21" s="498">
        <v>8</v>
      </c>
      <c r="M21" s="498">
        <v>0</v>
      </c>
      <c r="N21" s="498">
        <v>10</v>
      </c>
      <c r="O21" s="498">
        <v>11</v>
      </c>
      <c r="P21" s="498">
        <v>14</v>
      </c>
      <c r="Q21" s="498">
        <v>2</v>
      </c>
      <c r="R21" s="498">
        <v>26</v>
      </c>
      <c r="S21" s="498">
        <v>0</v>
      </c>
      <c r="T21" s="498">
        <v>0</v>
      </c>
      <c r="U21" s="498">
        <v>0</v>
      </c>
      <c r="V21" s="498">
        <v>0</v>
      </c>
      <c r="W21" s="498">
        <v>21</v>
      </c>
      <c r="X21" s="498">
        <v>10</v>
      </c>
      <c r="Y21" s="498">
        <v>42</v>
      </c>
      <c r="Z21" s="498">
        <v>27</v>
      </c>
      <c r="AA21" s="498">
        <v>19</v>
      </c>
      <c r="AB21" s="498">
        <v>27</v>
      </c>
      <c r="AC21" s="498">
        <v>14</v>
      </c>
    </row>
    <row r="22" spans="1:29" ht="12.75">
      <c r="A22" s="498" t="s">
        <v>138</v>
      </c>
      <c r="B22" s="498">
        <v>21</v>
      </c>
      <c r="C22" s="498">
        <v>20</v>
      </c>
      <c r="D22" s="498">
        <v>11</v>
      </c>
      <c r="E22" s="498" t="str">
        <f>"LI-EDESA-"&amp;$G$14</f>
        <v>LI-EDESA-04</v>
      </c>
      <c r="F22" s="498" t="s">
        <v>159</v>
      </c>
      <c r="G22" s="498">
        <v>3</v>
      </c>
      <c r="H22" s="499">
        <v>5</v>
      </c>
      <c r="I22" s="499">
        <v>4</v>
      </c>
      <c r="J22" s="498">
        <v>6</v>
      </c>
      <c r="K22" s="498">
        <v>7</v>
      </c>
      <c r="L22" s="498">
        <v>8</v>
      </c>
      <c r="M22" s="498">
        <v>0</v>
      </c>
      <c r="N22" s="498">
        <v>10</v>
      </c>
      <c r="O22" s="498">
        <v>11</v>
      </c>
      <c r="P22" s="498">
        <v>14</v>
      </c>
      <c r="Q22" s="498">
        <v>2</v>
      </c>
      <c r="R22" s="498">
        <v>26</v>
      </c>
      <c r="S22" s="498">
        <v>0</v>
      </c>
      <c r="T22" s="498">
        <v>0</v>
      </c>
      <c r="U22" s="498">
        <v>0</v>
      </c>
      <c r="V22" s="498">
        <v>0</v>
      </c>
      <c r="W22" s="498">
        <v>20</v>
      </c>
      <c r="X22" s="498">
        <v>10</v>
      </c>
      <c r="Y22" s="498">
        <v>42</v>
      </c>
      <c r="Z22" s="498">
        <v>27</v>
      </c>
      <c r="AA22" s="498">
        <v>19</v>
      </c>
      <c r="AB22" s="498">
        <v>27</v>
      </c>
      <c r="AC22" s="498">
        <v>14</v>
      </c>
    </row>
    <row r="23" spans="1:29" ht="12.75">
      <c r="A23" s="498" t="s">
        <v>139</v>
      </c>
      <c r="B23" s="498">
        <v>24</v>
      </c>
      <c r="C23" s="498">
        <v>20</v>
      </c>
      <c r="D23" s="500">
        <v>13</v>
      </c>
      <c r="E23" s="498" t="str">
        <f>"T-EDESA-"&amp;$G$14</f>
        <v>T-EDESA-04</v>
      </c>
      <c r="F23" s="498" t="s">
        <v>160</v>
      </c>
      <c r="G23" s="498">
        <v>3</v>
      </c>
      <c r="H23" s="499">
        <v>5</v>
      </c>
      <c r="I23" s="499">
        <v>4</v>
      </c>
      <c r="J23" s="500">
        <v>6</v>
      </c>
      <c r="K23" s="500">
        <v>7</v>
      </c>
      <c r="L23" s="500">
        <v>8</v>
      </c>
      <c r="M23" s="500">
        <v>9</v>
      </c>
      <c r="N23" s="500">
        <v>11</v>
      </c>
      <c r="O23" s="500">
        <v>12</v>
      </c>
      <c r="P23" s="500">
        <v>15</v>
      </c>
      <c r="Q23" s="500">
        <v>16</v>
      </c>
      <c r="R23" s="500">
        <v>18</v>
      </c>
      <c r="S23" s="500">
        <v>28</v>
      </c>
      <c r="T23" s="500">
        <v>17</v>
      </c>
      <c r="U23" s="500">
        <v>0</v>
      </c>
      <c r="V23" s="500">
        <v>0</v>
      </c>
      <c r="W23" s="500">
        <v>26</v>
      </c>
      <c r="X23" s="498">
        <v>10</v>
      </c>
      <c r="Y23" s="500">
        <v>45</v>
      </c>
      <c r="Z23" s="500">
        <v>29</v>
      </c>
      <c r="AA23" s="500">
        <v>22</v>
      </c>
      <c r="AB23" s="500">
        <v>29</v>
      </c>
      <c r="AC23" s="498">
        <v>15</v>
      </c>
    </row>
    <row r="24" spans="1:29" ht="12.75">
      <c r="A24" s="498" t="s">
        <v>140</v>
      </c>
      <c r="B24" s="498">
        <v>23</v>
      </c>
      <c r="C24" s="498">
        <v>20</v>
      </c>
      <c r="D24" s="498">
        <v>10</v>
      </c>
      <c r="E24" s="498" t="str">
        <f>"SA-EDESA-"&amp;$G$14</f>
        <v>SA-EDESA-04</v>
      </c>
      <c r="F24" s="498" t="s">
        <v>161</v>
      </c>
      <c r="G24" s="498">
        <v>3</v>
      </c>
      <c r="H24" s="499">
        <v>5</v>
      </c>
      <c r="I24" s="499">
        <v>4</v>
      </c>
      <c r="J24" s="498">
        <v>6</v>
      </c>
      <c r="K24" s="498">
        <v>7</v>
      </c>
      <c r="L24" s="498">
        <v>8</v>
      </c>
      <c r="M24" s="498">
        <v>10</v>
      </c>
      <c r="N24" s="498">
        <v>11</v>
      </c>
      <c r="O24" s="498">
        <v>14</v>
      </c>
      <c r="P24" s="498">
        <v>15</v>
      </c>
      <c r="Q24" s="498">
        <v>21</v>
      </c>
      <c r="R24" s="498">
        <v>0</v>
      </c>
      <c r="S24" s="498">
        <v>0</v>
      </c>
      <c r="T24" s="498">
        <v>0</v>
      </c>
      <c r="U24" s="498">
        <v>0</v>
      </c>
      <c r="V24" s="498">
        <v>0</v>
      </c>
      <c r="W24" s="498">
        <v>30</v>
      </c>
      <c r="X24" s="498">
        <v>10</v>
      </c>
      <c r="Y24" s="498">
        <v>44</v>
      </c>
      <c r="Z24" s="498">
        <v>22</v>
      </c>
      <c r="AA24" s="498">
        <v>21</v>
      </c>
      <c r="AB24" s="498">
        <v>22</v>
      </c>
      <c r="AC24" s="498">
        <v>14</v>
      </c>
    </row>
    <row r="25" spans="1:29" s="504" customFormat="1" ht="12.75">
      <c r="A25" s="502" t="s">
        <v>141</v>
      </c>
      <c r="B25" s="502">
        <v>19</v>
      </c>
      <c r="C25" s="502">
        <v>24</v>
      </c>
      <c r="D25" s="503">
        <v>4</v>
      </c>
      <c r="E25" s="502" t="str">
        <f>"CAUSAS-VST-"&amp;$G$14</f>
        <v>CAUSAS-VST-04</v>
      </c>
      <c r="F25" s="502" t="s">
        <v>142</v>
      </c>
      <c r="G25" s="502">
        <v>3</v>
      </c>
      <c r="H25" s="502">
        <v>4</v>
      </c>
      <c r="I25" s="502">
        <v>5</v>
      </c>
      <c r="J25" s="502">
        <v>6</v>
      </c>
      <c r="K25" s="502">
        <v>7</v>
      </c>
      <c r="L25" s="502">
        <v>0</v>
      </c>
      <c r="M25" s="502">
        <v>0</v>
      </c>
      <c r="N25" s="502">
        <v>0</v>
      </c>
      <c r="O25" s="502">
        <v>0</v>
      </c>
      <c r="P25" s="502">
        <v>0</v>
      </c>
      <c r="Q25" s="502">
        <v>0</v>
      </c>
      <c r="R25" s="502">
        <v>0</v>
      </c>
      <c r="S25" s="502">
        <v>0</v>
      </c>
      <c r="T25" s="502">
        <v>0</v>
      </c>
      <c r="U25" s="502">
        <v>0</v>
      </c>
      <c r="V25" s="502">
        <v>0</v>
      </c>
      <c r="W25" s="502">
        <v>999</v>
      </c>
      <c r="X25" s="502">
        <v>999</v>
      </c>
      <c r="Y25" s="502">
        <v>0</v>
      </c>
      <c r="Z25" s="502">
        <v>0</v>
      </c>
      <c r="AA25" s="502">
        <v>0</v>
      </c>
      <c r="AB25" s="502">
        <v>0</v>
      </c>
      <c r="AC25" s="502">
        <v>0</v>
      </c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36" r:id="rId1"/>
  <headerFooter alignWithMargins="0">
    <oddFooter>&amp;L&amp;"Times New Roman,Normal"&amp;5&amp;F  - TRANSPORTE de ENERGÍA ELÉCTRICA -PJL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AN45"/>
  <sheetViews>
    <sheetView zoomScale="75" zoomScaleNormal="75" zoomScalePageLayoutView="0" workbookViewId="0" topLeftCell="A1">
      <selection activeCell="G17" sqref="G17"/>
    </sheetView>
  </sheetViews>
  <sheetFormatPr defaultColWidth="11.421875" defaultRowHeight="12.75"/>
  <cols>
    <col min="1" max="1" width="1.421875" style="0" customWidth="1"/>
    <col min="2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0" width="16.7109375" style="0" bestFit="1" customWidth="1"/>
    <col min="11" max="11" width="20.2812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6" customFormat="1" ht="26.25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28" s="36" customFormat="1" ht="26.25">
      <c r="B2" s="507" t="str">
        <f>+'TOT-0413'!B2</f>
        <v>ANEXO I al Memorandum D.T.E.E. N°  475 / 2014</v>
      </c>
      <c r="C2" s="39"/>
      <c r="D2" s="39"/>
      <c r="E2" s="39"/>
      <c r="F2" s="39"/>
      <c r="G2" s="114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115"/>
    </row>
    <row r="3" s="8" customFormat="1" ht="12.75">
      <c r="AB3" s="7"/>
    </row>
    <row r="4" spans="1:28" s="43" customFormat="1" ht="11.25">
      <c r="A4" s="508" t="s">
        <v>152</v>
      </c>
      <c r="B4" s="116"/>
      <c r="C4" s="508"/>
      <c r="AB4" s="44"/>
    </row>
    <row r="5" spans="1:28" s="43" customFormat="1" ht="11.25">
      <c r="A5" s="508" t="s">
        <v>153</v>
      </c>
      <c r="B5" s="116"/>
      <c r="C5" s="116"/>
      <c r="AB5" s="44"/>
    </row>
    <row r="6" spans="1:28" s="8" customFormat="1" ht="17.25" customHeight="1" thickBot="1">
      <c r="A6" s="7"/>
      <c r="B6" s="7"/>
      <c r="AB6" s="7"/>
    </row>
    <row r="7" spans="1:28" s="8" customFormat="1" ht="13.5" thickTop="1">
      <c r="A7" s="7"/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</row>
    <row r="8" spans="1:28" s="47" customFormat="1" ht="20.25">
      <c r="A8" s="48"/>
      <c r="B8" s="103"/>
      <c r="C8" s="48"/>
      <c r="D8" s="48"/>
      <c r="E8" s="48"/>
      <c r="F8" s="19" t="s">
        <v>19</v>
      </c>
      <c r="G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104"/>
    </row>
    <row r="9" spans="1:28" s="8" customFormat="1" ht="12.75">
      <c r="A9" s="7"/>
      <c r="B9" s="69"/>
      <c r="C9" s="7"/>
      <c r="D9" s="7"/>
      <c r="E9" s="7"/>
      <c r="F9" s="100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"/>
    </row>
    <row r="10" spans="1:28" s="47" customFormat="1" ht="20.25">
      <c r="A10" s="48"/>
      <c r="B10" s="103"/>
      <c r="C10" s="48"/>
      <c r="D10" s="48"/>
      <c r="E10" s="48"/>
      <c r="F10" s="19" t="s">
        <v>20</v>
      </c>
      <c r="G10" s="19"/>
      <c r="H10" s="48"/>
      <c r="I10" s="105"/>
      <c r="J10" s="105"/>
      <c r="K10" s="105"/>
      <c r="L10" s="105"/>
      <c r="M10" s="105"/>
      <c r="N10" s="105"/>
      <c r="O10" s="105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104"/>
    </row>
    <row r="11" spans="1:28" s="8" customFormat="1" ht="12.75">
      <c r="A11" s="7"/>
      <c r="B11" s="69"/>
      <c r="C11" s="7"/>
      <c r="D11" s="7"/>
      <c r="E11" s="7"/>
      <c r="F11" s="100"/>
      <c r="G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9"/>
    </row>
    <row r="12" spans="1:28" s="47" customFormat="1" ht="20.25">
      <c r="A12" s="48"/>
      <c r="B12" s="103"/>
      <c r="C12" s="48"/>
      <c r="D12" s="48"/>
      <c r="E12" s="48"/>
      <c r="F12" s="19" t="s">
        <v>21</v>
      </c>
      <c r="G12" s="19"/>
      <c r="H12" s="48"/>
      <c r="I12" s="105"/>
      <c r="J12" s="105"/>
      <c r="K12" s="105"/>
      <c r="L12" s="105"/>
      <c r="M12" s="105"/>
      <c r="N12" s="105"/>
      <c r="O12" s="105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104"/>
    </row>
    <row r="13" spans="1:28" s="8" customFormat="1" ht="12.75">
      <c r="A13" s="7"/>
      <c r="B13" s="69"/>
      <c r="C13" s="7"/>
      <c r="D13" s="7"/>
      <c r="E13" s="7"/>
      <c r="F13" s="101"/>
      <c r="G13" s="99"/>
      <c r="H13" s="7"/>
      <c r="I13" s="94"/>
      <c r="J13" s="94"/>
      <c r="K13" s="94"/>
      <c r="L13" s="94"/>
      <c r="M13" s="94"/>
      <c r="N13" s="94"/>
      <c r="O13" s="9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9"/>
    </row>
    <row r="14" spans="1:28" s="54" customFormat="1" ht="19.5">
      <c r="A14" s="61"/>
      <c r="B14" s="448" t="str">
        <f>'TOT-0413'!B14</f>
        <v>Desde el 01 al 30 de abril de 2013</v>
      </c>
      <c r="C14" s="59"/>
      <c r="D14" s="59"/>
      <c r="E14" s="59"/>
      <c r="F14" s="59"/>
      <c r="G14" s="111"/>
      <c r="H14" s="112"/>
      <c r="I14" s="113"/>
      <c r="J14" s="113"/>
      <c r="K14" s="113"/>
      <c r="L14" s="113"/>
      <c r="M14" s="113"/>
      <c r="N14" s="113"/>
      <c r="O14" s="113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</row>
    <row r="15" spans="1:28" s="8" customFormat="1" ht="13.5" thickBot="1">
      <c r="A15" s="7"/>
      <c r="B15" s="69"/>
      <c r="C15" s="7"/>
      <c r="D15" s="7"/>
      <c r="E15" s="7"/>
      <c r="F15" s="7"/>
      <c r="G15" s="7"/>
      <c r="H15" s="102"/>
      <c r="I15" s="94"/>
      <c r="J15" s="94"/>
      <c r="K15" s="94"/>
      <c r="L15" s="94"/>
      <c r="M15" s="94"/>
      <c r="N15" s="94"/>
      <c r="O15" s="9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9"/>
    </row>
    <row r="16" spans="1:28" s="8" customFormat="1" ht="14.25" thickBot="1" thickTop="1">
      <c r="A16" s="7"/>
      <c r="B16" s="69"/>
      <c r="C16" s="7"/>
      <c r="D16" s="7"/>
      <c r="E16" s="7"/>
      <c r="F16" s="106" t="s">
        <v>22</v>
      </c>
      <c r="G16" s="321">
        <v>220.558</v>
      </c>
      <c r="H16" s="211"/>
      <c r="I16" s="7"/>
      <c r="J16"/>
      <c r="K16" s="107" t="s">
        <v>23</v>
      </c>
      <c r="L16" s="108">
        <f>30*'TOT-0413'!B13</f>
        <v>30</v>
      </c>
      <c r="M16" s="194" t="str">
        <f>IF(L16=30," ",IF(L16=60,"Coeficiente duplicado por tasa de falla &gt;4 Sal. x año/100 km.","REVISAR COEFICIENTE"))</f>
        <v> 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/>
    </row>
    <row r="17" spans="1:28" s="8" customFormat="1" ht="14.25" thickBot="1" thickTop="1">
      <c r="A17" s="7"/>
      <c r="B17" s="69"/>
      <c r="C17" s="520">
        <v>3</v>
      </c>
      <c r="D17" s="520">
        <v>4</v>
      </c>
      <c r="E17" s="520">
        <v>5</v>
      </c>
      <c r="F17" s="520">
        <v>6</v>
      </c>
      <c r="G17" s="520">
        <v>7</v>
      </c>
      <c r="H17" s="520">
        <v>8</v>
      </c>
      <c r="I17" s="520">
        <v>9</v>
      </c>
      <c r="J17" s="520">
        <v>10</v>
      </c>
      <c r="K17" s="520">
        <v>11</v>
      </c>
      <c r="L17" s="520">
        <v>12</v>
      </c>
      <c r="M17" s="520">
        <v>13</v>
      </c>
      <c r="N17" s="520">
        <v>14</v>
      </c>
      <c r="O17" s="520">
        <v>15</v>
      </c>
      <c r="P17" s="520">
        <v>16</v>
      </c>
      <c r="Q17" s="520">
        <v>17</v>
      </c>
      <c r="R17" s="520">
        <v>18</v>
      </c>
      <c r="S17" s="520">
        <v>19</v>
      </c>
      <c r="T17" s="520">
        <v>20</v>
      </c>
      <c r="U17" s="520">
        <v>21</v>
      </c>
      <c r="V17" s="520">
        <v>22</v>
      </c>
      <c r="W17" s="520">
        <v>23</v>
      </c>
      <c r="X17" s="520">
        <v>24</v>
      </c>
      <c r="Y17" s="520">
        <v>25</v>
      </c>
      <c r="Z17" s="520">
        <v>26</v>
      </c>
      <c r="AA17" s="520">
        <v>27</v>
      </c>
      <c r="AB17" s="9"/>
    </row>
    <row r="18" spans="1:28" s="8" customFormat="1" ht="33.75" customHeight="1" thickBot="1" thickTop="1">
      <c r="A18" s="7"/>
      <c r="B18" s="69"/>
      <c r="C18" s="117" t="s">
        <v>24</v>
      </c>
      <c r="D18" s="117" t="s">
        <v>151</v>
      </c>
      <c r="E18" s="117" t="s">
        <v>150</v>
      </c>
      <c r="F18" s="118" t="s">
        <v>3</v>
      </c>
      <c r="G18" s="119" t="s">
        <v>25</v>
      </c>
      <c r="H18" s="120" t="s">
        <v>26</v>
      </c>
      <c r="I18" s="198" t="s">
        <v>27</v>
      </c>
      <c r="J18" s="118" t="s">
        <v>28</v>
      </c>
      <c r="K18" s="118" t="s">
        <v>29</v>
      </c>
      <c r="L18" s="119" t="s">
        <v>30</v>
      </c>
      <c r="M18" s="119" t="s">
        <v>31</v>
      </c>
      <c r="N18" s="121" t="s">
        <v>32</v>
      </c>
      <c r="O18" s="119" t="s">
        <v>33</v>
      </c>
      <c r="P18" s="213" t="s">
        <v>34</v>
      </c>
      <c r="Q18" s="218" t="s">
        <v>35</v>
      </c>
      <c r="R18" s="223" t="s">
        <v>36</v>
      </c>
      <c r="S18" s="224"/>
      <c r="T18" s="225"/>
      <c r="U18" s="236" t="s">
        <v>37</v>
      </c>
      <c r="V18" s="237"/>
      <c r="W18" s="238"/>
      <c r="X18" s="251" t="s">
        <v>38</v>
      </c>
      <c r="Y18" s="256" t="s">
        <v>39</v>
      </c>
      <c r="Z18" s="122" t="s">
        <v>40</v>
      </c>
      <c r="AA18" s="209" t="s">
        <v>41</v>
      </c>
      <c r="AB18" s="9"/>
    </row>
    <row r="19" spans="1:28" s="8" customFormat="1" ht="15.75" thickTop="1">
      <c r="A19" s="7"/>
      <c r="B19" s="69"/>
      <c r="C19" s="424"/>
      <c r="D19" s="505"/>
      <c r="E19" s="505"/>
      <c r="F19" s="425"/>
      <c r="G19" s="432"/>
      <c r="H19" s="433"/>
      <c r="I19" s="212"/>
      <c r="J19" s="438"/>
      <c r="K19" s="438"/>
      <c r="L19" s="10"/>
      <c r="M19" s="10"/>
      <c r="N19" s="425"/>
      <c r="O19" s="428"/>
      <c r="P19" s="214"/>
      <c r="Q19" s="219"/>
      <c r="R19" s="226"/>
      <c r="S19" s="232"/>
      <c r="T19" s="233"/>
      <c r="U19" s="239"/>
      <c r="V19" s="243"/>
      <c r="W19" s="247"/>
      <c r="X19" s="252"/>
      <c r="Y19" s="257"/>
      <c r="Z19" s="444"/>
      <c r="AA19" s="210"/>
      <c r="AB19" s="9"/>
    </row>
    <row r="20" spans="1:28" s="8" customFormat="1" ht="15">
      <c r="A20" s="7"/>
      <c r="B20" s="69"/>
      <c r="C20" s="426"/>
      <c r="D20" s="427"/>
      <c r="E20" s="427"/>
      <c r="F20" s="427"/>
      <c r="G20" s="426"/>
      <c r="H20" s="426"/>
      <c r="I20" s="199"/>
      <c r="J20" s="426"/>
      <c r="K20" s="434"/>
      <c r="L20" s="12"/>
      <c r="M20" s="12"/>
      <c r="N20" s="427"/>
      <c r="O20" s="426"/>
      <c r="P20" s="215"/>
      <c r="Q20" s="220"/>
      <c r="R20" s="226"/>
      <c r="S20" s="232"/>
      <c r="T20" s="233"/>
      <c r="U20" s="240"/>
      <c r="V20" s="244"/>
      <c r="W20" s="248"/>
      <c r="X20" s="253"/>
      <c r="Y20" s="258"/>
      <c r="Z20" s="445"/>
      <c r="AA20" s="109"/>
      <c r="AB20" s="9"/>
    </row>
    <row r="21" spans="1:28" s="8" customFormat="1" ht="15">
      <c r="A21" s="7"/>
      <c r="B21" s="69"/>
      <c r="C21" s="428">
        <v>1</v>
      </c>
      <c r="D21" s="425">
        <v>259370</v>
      </c>
      <c r="E21" s="425">
        <v>1474</v>
      </c>
      <c r="F21" s="429" t="s">
        <v>168</v>
      </c>
      <c r="G21" s="434">
        <v>132</v>
      </c>
      <c r="H21" s="435">
        <v>80.66000366210938</v>
      </c>
      <c r="I21" s="200">
        <f aca="true" t="shared" si="0" ref="I21:I40">$G$16/100*IF(H21&gt;25,H21,25)</f>
        <v>177.90209087707518</v>
      </c>
      <c r="J21" s="439">
        <v>41365.90972222222</v>
      </c>
      <c r="K21" s="439">
        <v>41366.45416666667</v>
      </c>
      <c r="L21" s="13">
        <f aca="true" t="shared" si="1" ref="L21:L40">IF(F21="","",(K21-J21)*24)</f>
        <v>13.066666666825768</v>
      </c>
      <c r="M21" s="14">
        <f aca="true" t="shared" si="2" ref="M21:M40">IF(F21="","",ROUND((K21-J21)*24*60,0))</f>
        <v>784</v>
      </c>
      <c r="N21" s="441" t="s">
        <v>169</v>
      </c>
      <c r="O21" s="442" t="str">
        <f aca="true" t="shared" si="3" ref="O21:O40">IF(F21="","","--")</f>
        <v>--</v>
      </c>
      <c r="P21" s="216" t="str">
        <f aca="true" t="shared" si="4" ref="P21:P40">IF(N21="P",ROUND(M21/60,2)*I21*$L$16*0.01,"--")</f>
        <v>--</v>
      </c>
      <c r="Q21" s="221" t="str">
        <f aca="true" t="shared" si="5" ref="Q21:Q40">IF(N21="RP",I21*O21*ROUND(L21/60,2)*0.01*M21/100,"--")</f>
        <v>--</v>
      </c>
      <c r="R21" s="226">
        <f aca="true" t="shared" si="6" ref="R21:R40">IF(N21="F",I21*$L$16,"--")</f>
        <v>5337.062726312255</v>
      </c>
      <c r="S21" s="227">
        <f aca="true" t="shared" si="7" ref="S21:S40">IF(AND(M21&gt;10,N21="F"),I21*$L$16*IF(M21&gt;180,3,ROUND((M21)/60,2)),"--")</f>
        <v>16011.188178936765</v>
      </c>
      <c r="T21" s="228">
        <f aca="true" t="shared" si="8" ref="T21:T40">IF(AND(M21&gt;180,N21="F"),(ROUND(M21/60,2)-3)*I21*$L$16*0.1,"--")</f>
        <v>5374.422165396441</v>
      </c>
      <c r="U21" s="241" t="str">
        <f aca="true" t="shared" si="9" ref="U21:U40">IF(N21="R",I21*$L$16*O21/100,"--")</f>
        <v>--</v>
      </c>
      <c r="V21" s="245" t="str">
        <f aca="true" t="shared" si="10" ref="V21:V40">IF(AND(M21&gt;10,N21="R"),I21*$L$16*O21/100*IF(M21&gt;180,3,ROUND(M21/60,2)),"--")</f>
        <v>--</v>
      </c>
      <c r="W21" s="249" t="str">
        <f aca="true" t="shared" si="11" ref="W21:W40">IF(AND(M21&gt;180,N21="R"),(ROUND(M21/60,2)-3)*I21*$L$16*0.1*O21/100,"--")</f>
        <v>--</v>
      </c>
      <c r="X21" s="254" t="str">
        <f aca="true" t="shared" si="12" ref="X21:X40">IF(N21="RF",ROUND(M21/60,2)*I21*$L$16*0.1,"--")</f>
        <v>--</v>
      </c>
      <c r="Y21" s="259" t="str">
        <f aca="true" t="shared" si="13" ref="Y21:Y40">IF(N21="RR",ROUND(M21/60,2)*I21*$L$16*0.1*O21/100,"--")</f>
        <v>--</v>
      </c>
      <c r="Z21" s="446" t="s">
        <v>170</v>
      </c>
      <c r="AA21" s="31">
        <f aca="true" t="shared" si="14" ref="AA21:AA40">IF(F21="","",SUM(P21:Y21)*IF(Z21="SI",1,2))</f>
        <v>26722.673070645462</v>
      </c>
      <c r="AB21" s="319"/>
    </row>
    <row r="22" spans="1:28" s="8" customFormat="1" ht="15">
      <c r="A22" s="7"/>
      <c r="B22" s="69"/>
      <c r="C22" s="428">
        <v>2</v>
      </c>
      <c r="D22" s="425">
        <v>259371</v>
      </c>
      <c r="E22" s="425">
        <v>4250</v>
      </c>
      <c r="F22" s="429" t="s">
        <v>171</v>
      </c>
      <c r="G22" s="434">
        <v>132</v>
      </c>
      <c r="H22" s="435">
        <v>55</v>
      </c>
      <c r="I22" s="200">
        <f t="shared" si="0"/>
        <v>121.3069</v>
      </c>
      <c r="J22" s="439">
        <v>41366.11875</v>
      </c>
      <c r="K22" s="439">
        <v>41366.12708333333</v>
      </c>
      <c r="L22" s="13">
        <f t="shared" si="1"/>
        <v>0.19999999995343387</v>
      </c>
      <c r="M22" s="14">
        <f t="shared" si="2"/>
        <v>12</v>
      </c>
      <c r="N22" s="441" t="s">
        <v>169</v>
      </c>
      <c r="O22" s="442" t="str">
        <f t="shared" si="3"/>
        <v>--</v>
      </c>
      <c r="P22" s="216" t="str">
        <f t="shared" si="4"/>
        <v>--</v>
      </c>
      <c r="Q22" s="221" t="str">
        <f t="shared" si="5"/>
        <v>--</v>
      </c>
      <c r="R22" s="226">
        <f t="shared" si="6"/>
        <v>3639.207</v>
      </c>
      <c r="S22" s="227">
        <f t="shared" si="7"/>
        <v>727.8414</v>
      </c>
      <c r="T22" s="228" t="str">
        <f t="shared" si="8"/>
        <v>--</v>
      </c>
      <c r="U22" s="241" t="str">
        <f t="shared" si="9"/>
        <v>--</v>
      </c>
      <c r="V22" s="245" t="str">
        <f t="shared" si="10"/>
        <v>--</v>
      </c>
      <c r="W22" s="249" t="str">
        <f t="shared" si="11"/>
        <v>--</v>
      </c>
      <c r="X22" s="254" t="str">
        <f t="shared" si="12"/>
        <v>--</v>
      </c>
      <c r="Y22" s="259" t="str">
        <f t="shared" si="13"/>
        <v>--</v>
      </c>
      <c r="Z22" s="446" t="s">
        <v>170</v>
      </c>
      <c r="AA22" s="31">
        <f t="shared" si="14"/>
        <v>4367.0484</v>
      </c>
      <c r="AB22" s="319"/>
    </row>
    <row r="23" spans="1:28" s="8" customFormat="1" ht="15">
      <c r="A23" s="7"/>
      <c r="B23" s="69"/>
      <c r="C23" s="428">
        <v>3</v>
      </c>
      <c r="D23" s="425">
        <v>259372</v>
      </c>
      <c r="E23" s="425">
        <v>305</v>
      </c>
      <c r="F23" s="429" t="s">
        <v>172</v>
      </c>
      <c r="G23" s="434">
        <v>132</v>
      </c>
      <c r="H23" s="435">
        <v>31.5</v>
      </c>
      <c r="I23" s="200">
        <f t="shared" si="0"/>
        <v>69.47577</v>
      </c>
      <c r="J23" s="439">
        <v>41367.35</v>
      </c>
      <c r="K23" s="439">
        <v>41367.575694444444</v>
      </c>
      <c r="L23" s="13">
        <f t="shared" si="1"/>
        <v>5.416666666686069</v>
      </c>
      <c r="M23" s="14">
        <f t="shared" si="2"/>
        <v>325</v>
      </c>
      <c r="N23" s="441" t="s">
        <v>173</v>
      </c>
      <c r="O23" s="442" t="str">
        <f t="shared" si="3"/>
        <v>--</v>
      </c>
      <c r="P23" s="216">
        <f t="shared" si="4"/>
        <v>112.96760202</v>
      </c>
      <c r="Q23" s="221" t="str">
        <f t="shared" si="5"/>
        <v>--</v>
      </c>
      <c r="R23" s="226" t="str">
        <f t="shared" si="6"/>
        <v>--</v>
      </c>
      <c r="S23" s="227" t="str">
        <f t="shared" si="7"/>
        <v>--</v>
      </c>
      <c r="T23" s="228" t="str">
        <f t="shared" si="8"/>
        <v>--</v>
      </c>
      <c r="U23" s="241" t="str">
        <f t="shared" si="9"/>
        <v>--</v>
      </c>
      <c r="V23" s="245" t="str">
        <f t="shared" si="10"/>
        <v>--</v>
      </c>
      <c r="W23" s="249" t="str">
        <f t="shared" si="11"/>
        <v>--</v>
      </c>
      <c r="X23" s="254" t="str">
        <f t="shared" si="12"/>
        <v>--</v>
      </c>
      <c r="Y23" s="259" t="str">
        <f t="shared" si="13"/>
        <v>--</v>
      </c>
      <c r="Z23" s="446" t="s">
        <v>170</v>
      </c>
      <c r="AA23" s="31">
        <f t="shared" si="14"/>
        <v>112.96760202</v>
      </c>
      <c r="AB23" s="319"/>
    </row>
    <row r="24" spans="1:28" s="8" customFormat="1" ht="15">
      <c r="A24" s="7"/>
      <c r="B24" s="69"/>
      <c r="C24" s="428">
        <v>4</v>
      </c>
      <c r="D24" s="425">
        <v>259384</v>
      </c>
      <c r="E24" s="425">
        <v>291</v>
      </c>
      <c r="F24" s="429" t="s">
        <v>174</v>
      </c>
      <c r="G24" s="434">
        <v>132</v>
      </c>
      <c r="H24" s="435">
        <v>76</v>
      </c>
      <c r="I24" s="200">
        <f t="shared" si="0"/>
        <v>167.62408</v>
      </c>
      <c r="J24" s="439">
        <v>41367.73819444444</v>
      </c>
      <c r="K24" s="439">
        <v>41367.75763888889</v>
      </c>
      <c r="L24" s="13">
        <f t="shared" si="1"/>
        <v>0.466666666790843</v>
      </c>
      <c r="M24" s="14">
        <f t="shared" si="2"/>
        <v>28</v>
      </c>
      <c r="N24" s="441" t="s">
        <v>169</v>
      </c>
      <c r="O24" s="442" t="str">
        <f t="shared" si="3"/>
        <v>--</v>
      </c>
      <c r="P24" s="216" t="str">
        <f t="shared" si="4"/>
        <v>--</v>
      </c>
      <c r="Q24" s="221" t="str">
        <f t="shared" si="5"/>
        <v>--</v>
      </c>
      <c r="R24" s="226">
        <f t="shared" si="6"/>
        <v>5028.7224</v>
      </c>
      <c r="S24" s="227">
        <f t="shared" si="7"/>
        <v>2363.499528</v>
      </c>
      <c r="T24" s="228" t="str">
        <f t="shared" si="8"/>
        <v>--</v>
      </c>
      <c r="U24" s="241" t="str">
        <f t="shared" si="9"/>
        <v>--</v>
      </c>
      <c r="V24" s="245" t="str">
        <f t="shared" si="10"/>
        <v>--</v>
      </c>
      <c r="W24" s="249" t="str">
        <f t="shared" si="11"/>
        <v>--</v>
      </c>
      <c r="X24" s="254" t="str">
        <f t="shared" si="12"/>
        <v>--</v>
      </c>
      <c r="Y24" s="259" t="str">
        <f t="shared" si="13"/>
        <v>--</v>
      </c>
      <c r="Z24" s="446" t="s">
        <v>170</v>
      </c>
      <c r="AA24" s="31">
        <f t="shared" si="14"/>
        <v>7392.221927999999</v>
      </c>
      <c r="AB24" s="319"/>
    </row>
    <row r="25" spans="1:28" s="8" customFormat="1" ht="15">
      <c r="A25" s="7"/>
      <c r="B25" s="69"/>
      <c r="C25" s="428">
        <v>5</v>
      </c>
      <c r="D25" s="425">
        <v>259390</v>
      </c>
      <c r="E25" s="425">
        <v>305</v>
      </c>
      <c r="F25" s="429" t="s">
        <v>172</v>
      </c>
      <c r="G25" s="434">
        <v>132</v>
      </c>
      <c r="H25" s="435">
        <v>31.5</v>
      </c>
      <c r="I25" s="200">
        <f t="shared" si="0"/>
        <v>69.47577</v>
      </c>
      <c r="J25" s="439">
        <v>41368.39722222222</v>
      </c>
      <c r="K25" s="439">
        <v>41368.54861111111</v>
      </c>
      <c r="L25" s="13">
        <f t="shared" si="1"/>
        <v>3.6333333333022892</v>
      </c>
      <c r="M25" s="14">
        <f t="shared" si="2"/>
        <v>218</v>
      </c>
      <c r="N25" s="441" t="s">
        <v>173</v>
      </c>
      <c r="O25" s="442" t="str">
        <f t="shared" si="3"/>
        <v>--</v>
      </c>
      <c r="P25" s="216">
        <f t="shared" si="4"/>
        <v>75.65911353</v>
      </c>
      <c r="Q25" s="221" t="str">
        <f t="shared" si="5"/>
        <v>--</v>
      </c>
      <c r="R25" s="226" t="str">
        <f t="shared" si="6"/>
        <v>--</v>
      </c>
      <c r="S25" s="227" t="str">
        <f t="shared" si="7"/>
        <v>--</v>
      </c>
      <c r="T25" s="228" t="str">
        <f t="shared" si="8"/>
        <v>--</v>
      </c>
      <c r="U25" s="241" t="str">
        <f t="shared" si="9"/>
        <v>--</v>
      </c>
      <c r="V25" s="245" t="str">
        <f t="shared" si="10"/>
        <v>--</v>
      </c>
      <c r="W25" s="249" t="str">
        <f t="shared" si="11"/>
        <v>--</v>
      </c>
      <c r="X25" s="254" t="str">
        <f t="shared" si="12"/>
        <v>--</v>
      </c>
      <c r="Y25" s="259" t="str">
        <f t="shared" si="13"/>
        <v>--</v>
      </c>
      <c r="Z25" s="446" t="s">
        <v>170</v>
      </c>
      <c r="AA25" s="31">
        <f t="shared" si="14"/>
        <v>75.65911353</v>
      </c>
      <c r="AB25" s="319"/>
    </row>
    <row r="26" spans="1:28" s="8" customFormat="1" ht="15">
      <c r="A26" s="7"/>
      <c r="B26" s="69"/>
      <c r="C26" s="428">
        <v>6</v>
      </c>
      <c r="D26" s="425">
        <v>259391</v>
      </c>
      <c r="E26" s="425">
        <v>4250</v>
      </c>
      <c r="F26" s="429" t="s">
        <v>171</v>
      </c>
      <c r="G26" s="434">
        <v>132</v>
      </c>
      <c r="H26" s="435">
        <v>55</v>
      </c>
      <c r="I26" s="200">
        <f t="shared" si="0"/>
        <v>121.3069</v>
      </c>
      <c r="J26" s="439">
        <v>41369.36597222222</v>
      </c>
      <c r="K26" s="439">
        <v>41369.78194444445</v>
      </c>
      <c r="L26" s="13">
        <f t="shared" si="1"/>
        <v>9.983333333395422</v>
      </c>
      <c r="M26" s="14">
        <f t="shared" si="2"/>
        <v>599</v>
      </c>
      <c r="N26" s="441" t="s">
        <v>173</v>
      </c>
      <c r="O26" s="442" t="str">
        <f t="shared" si="3"/>
        <v>--</v>
      </c>
      <c r="P26" s="216">
        <f t="shared" si="4"/>
        <v>363.1928586</v>
      </c>
      <c r="Q26" s="221" t="str">
        <f t="shared" si="5"/>
        <v>--</v>
      </c>
      <c r="R26" s="226" t="str">
        <f t="shared" si="6"/>
        <v>--</v>
      </c>
      <c r="S26" s="227" t="str">
        <f t="shared" si="7"/>
        <v>--</v>
      </c>
      <c r="T26" s="228" t="str">
        <f t="shared" si="8"/>
        <v>--</v>
      </c>
      <c r="U26" s="241" t="str">
        <f t="shared" si="9"/>
        <v>--</v>
      </c>
      <c r="V26" s="245" t="str">
        <f t="shared" si="10"/>
        <v>--</v>
      </c>
      <c r="W26" s="249" t="str">
        <f t="shared" si="11"/>
        <v>--</v>
      </c>
      <c r="X26" s="254" t="str">
        <f t="shared" si="12"/>
        <v>--</v>
      </c>
      <c r="Y26" s="259" t="str">
        <f t="shared" si="13"/>
        <v>--</v>
      </c>
      <c r="Z26" s="446" t="s">
        <v>170</v>
      </c>
      <c r="AA26" s="31">
        <f t="shared" si="14"/>
        <v>363.1928586</v>
      </c>
      <c r="AB26" s="319"/>
    </row>
    <row r="27" spans="1:28" s="8" customFormat="1" ht="15">
      <c r="A27" s="7"/>
      <c r="B27" s="69"/>
      <c r="C27" s="428">
        <v>7</v>
      </c>
      <c r="D27" s="425">
        <v>259543</v>
      </c>
      <c r="E27" s="425">
        <v>311</v>
      </c>
      <c r="F27" s="429" t="s">
        <v>175</v>
      </c>
      <c r="G27" s="434">
        <v>132</v>
      </c>
      <c r="H27" s="435">
        <v>21</v>
      </c>
      <c r="I27" s="200">
        <f t="shared" si="0"/>
        <v>55.1395</v>
      </c>
      <c r="J27" s="439">
        <v>41373.32777777778</v>
      </c>
      <c r="K27" s="439">
        <v>41373.57847222222</v>
      </c>
      <c r="L27" s="13">
        <f t="shared" si="1"/>
        <v>6.016666666720994</v>
      </c>
      <c r="M27" s="14">
        <f t="shared" si="2"/>
        <v>361</v>
      </c>
      <c r="N27" s="441" t="s">
        <v>173</v>
      </c>
      <c r="O27" s="442" t="str">
        <f t="shared" si="3"/>
        <v>--</v>
      </c>
      <c r="P27" s="216">
        <f t="shared" si="4"/>
        <v>99.58193699999998</v>
      </c>
      <c r="Q27" s="221" t="str">
        <f t="shared" si="5"/>
        <v>--</v>
      </c>
      <c r="R27" s="226" t="str">
        <f t="shared" si="6"/>
        <v>--</v>
      </c>
      <c r="S27" s="227" t="str">
        <f t="shared" si="7"/>
        <v>--</v>
      </c>
      <c r="T27" s="228" t="str">
        <f t="shared" si="8"/>
        <v>--</v>
      </c>
      <c r="U27" s="241" t="str">
        <f t="shared" si="9"/>
        <v>--</v>
      </c>
      <c r="V27" s="245" t="str">
        <f t="shared" si="10"/>
        <v>--</v>
      </c>
      <c r="W27" s="249" t="str">
        <f t="shared" si="11"/>
        <v>--</v>
      </c>
      <c r="X27" s="254" t="str">
        <f t="shared" si="12"/>
        <v>--</v>
      </c>
      <c r="Y27" s="259" t="str">
        <f t="shared" si="13"/>
        <v>--</v>
      </c>
      <c r="Z27" s="446" t="s">
        <v>170</v>
      </c>
      <c r="AA27" s="31">
        <f t="shared" si="14"/>
        <v>99.58193699999998</v>
      </c>
      <c r="AB27" s="319"/>
    </row>
    <row r="28" spans="1:28" s="8" customFormat="1" ht="15">
      <c r="A28" s="7"/>
      <c r="B28" s="69"/>
      <c r="C28" s="428">
        <v>8</v>
      </c>
      <c r="D28" s="425">
        <v>259544</v>
      </c>
      <c r="E28" s="425">
        <v>311</v>
      </c>
      <c r="F28" s="429" t="s">
        <v>175</v>
      </c>
      <c r="G28" s="434">
        <v>132</v>
      </c>
      <c r="H28" s="435">
        <v>21</v>
      </c>
      <c r="I28" s="200">
        <f t="shared" si="0"/>
        <v>55.1395</v>
      </c>
      <c r="J28" s="439">
        <v>41374.30625</v>
      </c>
      <c r="K28" s="439">
        <v>41374.70694444444</v>
      </c>
      <c r="L28" s="13">
        <f t="shared" si="1"/>
        <v>9.616666666581295</v>
      </c>
      <c r="M28" s="14">
        <f t="shared" si="2"/>
        <v>577</v>
      </c>
      <c r="N28" s="441" t="s">
        <v>173</v>
      </c>
      <c r="O28" s="442" t="str">
        <f t="shared" si="3"/>
        <v>--</v>
      </c>
      <c r="P28" s="216">
        <f t="shared" si="4"/>
        <v>159.13259699999998</v>
      </c>
      <c r="Q28" s="221" t="str">
        <f t="shared" si="5"/>
        <v>--</v>
      </c>
      <c r="R28" s="226" t="str">
        <f t="shared" si="6"/>
        <v>--</v>
      </c>
      <c r="S28" s="227" t="str">
        <f t="shared" si="7"/>
        <v>--</v>
      </c>
      <c r="T28" s="228" t="str">
        <f t="shared" si="8"/>
        <v>--</v>
      </c>
      <c r="U28" s="241" t="str">
        <f t="shared" si="9"/>
        <v>--</v>
      </c>
      <c r="V28" s="245" t="str">
        <f t="shared" si="10"/>
        <v>--</v>
      </c>
      <c r="W28" s="249" t="str">
        <f t="shared" si="11"/>
        <v>--</v>
      </c>
      <c r="X28" s="254" t="str">
        <f t="shared" si="12"/>
        <v>--</v>
      </c>
      <c r="Y28" s="259" t="str">
        <f t="shared" si="13"/>
        <v>--</v>
      </c>
      <c r="Z28" s="446" t="s">
        <v>170</v>
      </c>
      <c r="AA28" s="31">
        <f t="shared" si="14"/>
        <v>159.13259699999998</v>
      </c>
      <c r="AB28" s="9"/>
    </row>
    <row r="29" spans="1:28" s="8" customFormat="1" ht="15">
      <c r="A29" s="7"/>
      <c r="B29" s="69"/>
      <c r="C29" s="428">
        <v>9</v>
      </c>
      <c r="D29" s="425">
        <v>259545</v>
      </c>
      <c r="E29" s="425">
        <v>311</v>
      </c>
      <c r="F29" s="429" t="s">
        <v>175</v>
      </c>
      <c r="G29" s="434">
        <v>132</v>
      </c>
      <c r="H29" s="435">
        <v>21</v>
      </c>
      <c r="I29" s="200">
        <f t="shared" si="0"/>
        <v>55.1395</v>
      </c>
      <c r="J29" s="439">
        <v>41375.31597222222</v>
      </c>
      <c r="K29" s="439">
        <v>41375.583333333336</v>
      </c>
      <c r="L29" s="13">
        <f t="shared" si="1"/>
        <v>6.4166666668024845</v>
      </c>
      <c r="M29" s="14">
        <f t="shared" si="2"/>
        <v>385</v>
      </c>
      <c r="N29" s="441" t="s">
        <v>173</v>
      </c>
      <c r="O29" s="442" t="str">
        <f t="shared" si="3"/>
        <v>--</v>
      </c>
      <c r="P29" s="216">
        <f t="shared" si="4"/>
        <v>106.19867699999999</v>
      </c>
      <c r="Q29" s="221" t="str">
        <f t="shared" si="5"/>
        <v>--</v>
      </c>
      <c r="R29" s="226" t="str">
        <f t="shared" si="6"/>
        <v>--</v>
      </c>
      <c r="S29" s="227" t="str">
        <f t="shared" si="7"/>
        <v>--</v>
      </c>
      <c r="T29" s="228" t="str">
        <f t="shared" si="8"/>
        <v>--</v>
      </c>
      <c r="U29" s="241" t="str">
        <f t="shared" si="9"/>
        <v>--</v>
      </c>
      <c r="V29" s="245" t="str">
        <f t="shared" si="10"/>
        <v>--</v>
      </c>
      <c r="W29" s="249" t="str">
        <f t="shared" si="11"/>
        <v>--</v>
      </c>
      <c r="X29" s="254" t="str">
        <f t="shared" si="12"/>
        <v>--</v>
      </c>
      <c r="Y29" s="259" t="str">
        <f t="shared" si="13"/>
        <v>--</v>
      </c>
      <c r="Z29" s="446" t="s">
        <v>170</v>
      </c>
      <c r="AA29" s="31">
        <f t="shared" si="14"/>
        <v>106.19867699999999</v>
      </c>
      <c r="AB29" s="9"/>
    </row>
    <row r="30" spans="1:28" s="8" customFormat="1" ht="15">
      <c r="A30" s="7"/>
      <c r="B30" s="69"/>
      <c r="C30" s="428">
        <v>10</v>
      </c>
      <c r="D30" s="425">
        <v>259552</v>
      </c>
      <c r="E30" s="425">
        <v>1474</v>
      </c>
      <c r="F30" s="429" t="s">
        <v>168</v>
      </c>
      <c r="G30" s="434">
        <v>132</v>
      </c>
      <c r="H30" s="435">
        <v>80.66000366210938</v>
      </c>
      <c r="I30" s="200">
        <f t="shared" si="0"/>
        <v>177.90209087707518</v>
      </c>
      <c r="J30" s="439">
        <v>41376.34027777778</v>
      </c>
      <c r="K30" s="439">
        <v>41376.486805555556</v>
      </c>
      <c r="L30" s="13">
        <f t="shared" si="1"/>
        <v>3.5166666666045785</v>
      </c>
      <c r="M30" s="14">
        <f t="shared" si="2"/>
        <v>211</v>
      </c>
      <c r="N30" s="441" t="s">
        <v>169</v>
      </c>
      <c r="O30" s="442" t="str">
        <f t="shared" si="3"/>
        <v>--</v>
      </c>
      <c r="P30" s="216" t="str">
        <f t="shared" si="4"/>
        <v>--</v>
      </c>
      <c r="Q30" s="221" t="str">
        <f t="shared" si="5"/>
        <v>--</v>
      </c>
      <c r="R30" s="226">
        <f t="shared" si="6"/>
        <v>5337.062726312255</v>
      </c>
      <c r="S30" s="227">
        <f t="shared" si="7"/>
        <v>16011.188178936765</v>
      </c>
      <c r="T30" s="228">
        <f t="shared" si="8"/>
        <v>277.52726176823734</v>
      </c>
      <c r="U30" s="241" t="str">
        <f t="shared" si="9"/>
        <v>--</v>
      </c>
      <c r="V30" s="245" t="str">
        <f t="shared" si="10"/>
        <v>--</v>
      </c>
      <c r="W30" s="249" t="str">
        <f t="shared" si="11"/>
        <v>--</v>
      </c>
      <c r="X30" s="254" t="str">
        <f t="shared" si="12"/>
        <v>--</v>
      </c>
      <c r="Y30" s="259" t="str">
        <f t="shared" si="13"/>
        <v>--</v>
      </c>
      <c r="Z30" s="446" t="s">
        <v>170</v>
      </c>
      <c r="AA30" s="31">
        <f t="shared" si="14"/>
        <v>21625.77816701726</v>
      </c>
      <c r="AB30" s="9"/>
    </row>
    <row r="31" spans="1:28" s="8" customFormat="1" ht="15">
      <c r="A31" s="7"/>
      <c r="B31" s="69"/>
      <c r="C31" s="428">
        <v>11</v>
      </c>
      <c r="D31" s="425">
        <v>259723</v>
      </c>
      <c r="E31" s="425">
        <v>4788</v>
      </c>
      <c r="F31" s="429" t="s">
        <v>176</v>
      </c>
      <c r="G31" s="434">
        <v>132</v>
      </c>
      <c r="H31" s="435">
        <v>19.299999237060547</v>
      </c>
      <c r="I31" s="200">
        <f t="shared" si="0"/>
        <v>55.1395</v>
      </c>
      <c r="J31" s="439">
        <v>41379.31180555555</v>
      </c>
      <c r="K31" s="439">
        <v>41380.694444444445</v>
      </c>
      <c r="L31" s="13">
        <f t="shared" si="1"/>
        <v>33.18333333340706</v>
      </c>
      <c r="M31" s="14">
        <f t="shared" si="2"/>
        <v>1991</v>
      </c>
      <c r="N31" s="441" t="s">
        <v>173</v>
      </c>
      <c r="O31" s="442" t="str">
        <f t="shared" si="3"/>
        <v>--</v>
      </c>
      <c r="P31" s="216">
        <f t="shared" si="4"/>
        <v>548.858583</v>
      </c>
      <c r="Q31" s="221" t="str">
        <f t="shared" si="5"/>
        <v>--</v>
      </c>
      <c r="R31" s="226" t="str">
        <f t="shared" si="6"/>
        <v>--</v>
      </c>
      <c r="S31" s="227" t="str">
        <f t="shared" si="7"/>
        <v>--</v>
      </c>
      <c r="T31" s="228" t="str">
        <f t="shared" si="8"/>
        <v>--</v>
      </c>
      <c r="U31" s="241" t="str">
        <f t="shared" si="9"/>
        <v>--</v>
      </c>
      <c r="V31" s="245" t="str">
        <f t="shared" si="10"/>
        <v>--</v>
      </c>
      <c r="W31" s="249" t="str">
        <f t="shared" si="11"/>
        <v>--</v>
      </c>
      <c r="X31" s="254" t="str">
        <f t="shared" si="12"/>
        <v>--</v>
      </c>
      <c r="Y31" s="259" t="str">
        <f t="shared" si="13"/>
        <v>--</v>
      </c>
      <c r="Z31" s="446" t="s">
        <v>170</v>
      </c>
      <c r="AA31" s="31">
        <f t="shared" si="14"/>
        <v>548.858583</v>
      </c>
      <c r="AB31" s="9"/>
    </row>
    <row r="32" spans="1:28" s="8" customFormat="1" ht="15">
      <c r="A32" s="7"/>
      <c r="B32" s="69"/>
      <c r="C32" s="428">
        <v>12</v>
      </c>
      <c r="D32" s="425">
        <v>259725</v>
      </c>
      <c r="E32" s="425">
        <v>307</v>
      </c>
      <c r="F32" s="429" t="s">
        <v>177</v>
      </c>
      <c r="G32" s="434">
        <v>132</v>
      </c>
      <c r="H32" s="435">
        <v>155.60000610351562</v>
      </c>
      <c r="I32" s="200">
        <f t="shared" si="0"/>
        <v>343.18826146179197</v>
      </c>
      <c r="J32" s="439">
        <v>41381.32916666667</v>
      </c>
      <c r="K32" s="439">
        <v>41381.595138888886</v>
      </c>
      <c r="L32" s="13">
        <f t="shared" si="1"/>
        <v>6.383333333185874</v>
      </c>
      <c r="M32" s="14">
        <f t="shared" si="2"/>
        <v>383</v>
      </c>
      <c r="N32" s="441" t="s">
        <v>173</v>
      </c>
      <c r="O32" s="442" t="str">
        <f t="shared" si="3"/>
        <v>--</v>
      </c>
      <c r="P32" s="216">
        <f t="shared" si="4"/>
        <v>656.8623324378698</v>
      </c>
      <c r="Q32" s="221" t="str">
        <f t="shared" si="5"/>
        <v>--</v>
      </c>
      <c r="R32" s="226" t="str">
        <f t="shared" si="6"/>
        <v>--</v>
      </c>
      <c r="S32" s="227" t="str">
        <f t="shared" si="7"/>
        <v>--</v>
      </c>
      <c r="T32" s="228" t="str">
        <f t="shared" si="8"/>
        <v>--</v>
      </c>
      <c r="U32" s="241" t="str">
        <f t="shared" si="9"/>
        <v>--</v>
      </c>
      <c r="V32" s="245" t="str">
        <f t="shared" si="10"/>
        <v>--</v>
      </c>
      <c r="W32" s="249" t="str">
        <f t="shared" si="11"/>
        <v>--</v>
      </c>
      <c r="X32" s="254" t="str">
        <f t="shared" si="12"/>
        <v>--</v>
      </c>
      <c r="Y32" s="259" t="str">
        <f t="shared" si="13"/>
        <v>--</v>
      </c>
      <c r="Z32" s="446" t="s">
        <v>170</v>
      </c>
      <c r="AA32" s="31">
        <f t="shared" si="14"/>
        <v>656.8623324378698</v>
      </c>
      <c r="AB32" s="9"/>
    </row>
    <row r="33" spans="1:28" s="8" customFormat="1" ht="15">
      <c r="A33" s="7"/>
      <c r="B33" s="69"/>
      <c r="C33" s="428">
        <v>13</v>
      </c>
      <c r="D33" s="425">
        <v>259726</v>
      </c>
      <c r="E33" s="425">
        <v>281</v>
      </c>
      <c r="F33" s="429" t="s">
        <v>178</v>
      </c>
      <c r="G33" s="434">
        <v>132</v>
      </c>
      <c r="H33" s="435">
        <v>36.2400016784668</v>
      </c>
      <c r="I33" s="200">
        <f t="shared" si="0"/>
        <v>79.93022290199279</v>
      </c>
      <c r="J33" s="439">
        <v>41381.37708333333</v>
      </c>
      <c r="K33" s="439">
        <v>41381.39097222222</v>
      </c>
      <c r="L33" s="13">
        <f t="shared" si="1"/>
        <v>0.33333333337213844</v>
      </c>
      <c r="M33" s="14">
        <f t="shared" si="2"/>
        <v>20</v>
      </c>
      <c r="N33" s="441" t="s">
        <v>169</v>
      </c>
      <c r="O33" s="442" t="str">
        <f t="shared" si="3"/>
        <v>--</v>
      </c>
      <c r="P33" s="216" t="str">
        <f t="shared" si="4"/>
        <v>--</v>
      </c>
      <c r="Q33" s="221" t="str">
        <f t="shared" si="5"/>
        <v>--</v>
      </c>
      <c r="R33" s="226">
        <f t="shared" si="6"/>
        <v>2397.906687059784</v>
      </c>
      <c r="S33" s="227">
        <f t="shared" si="7"/>
        <v>791.3092067297288</v>
      </c>
      <c r="T33" s="228" t="str">
        <f t="shared" si="8"/>
        <v>--</v>
      </c>
      <c r="U33" s="241" t="str">
        <f t="shared" si="9"/>
        <v>--</v>
      </c>
      <c r="V33" s="245" t="str">
        <f t="shared" si="10"/>
        <v>--</v>
      </c>
      <c r="W33" s="249" t="str">
        <f t="shared" si="11"/>
        <v>--</v>
      </c>
      <c r="X33" s="254" t="str">
        <f t="shared" si="12"/>
        <v>--</v>
      </c>
      <c r="Y33" s="259" t="str">
        <f t="shared" si="13"/>
        <v>--</v>
      </c>
      <c r="Z33" s="446" t="s">
        <v>170</v>
      </c>
      <c r="AA33" s="31">
        <f t="shared" si="14"/>
        <v>3189.215893789513</v>
      </c>
      <c r="AB33" s="9"/>
    </row>
    <row r="34" spans="1:28" s="8" customFormat="1" ht="15">
      <c r="A34" s="7"/>
      <c r="B34" s="69"/>
      <c r="C34" s="428">
        <v>14</v>
      </c>
      <c r="D34" s="425">
        <v>259731</v>
      </c>
      <c r="E34" s="425">
        <v>307</v>
      </c>
      <c r="F34" s="429" t="s">
        <v>177</v>
      </c>
      <c r="G34" s="434">
        <v>132</v>
      </c>
      <c r="H34" s="435">
        <v>155.60000610351562</v>
      </c>
      <c r="I34" s="200">
        <f t="shared" si="0"/>
        <v>343.18826146179197</v>
      </c>
      <c r="J34" s="439">
        <v>41382.333333333336</v>
      </c>
      <c r="K34" s="439">
        <v>41382.604166666664</v>
      </c>
      <c r="L34" s="13">
        <f t="shared" si="1"/>
        <v>6.499999999883585</v>
      </c>
      <c r="M34" s="14">
        <f t="shared" si="2"/>
        <v>390</v>
      </c>
      <c r="N34" s="441" t="s">
        <v>173</v>
      </c>
      <c r="O34" s="442" t="str">
        <f t="shared" si="3"/>
        <v>--</v>
      </c>
      <c r="P34" s="216">
        <f t="shared" si="4"/>
        <v>669.2171098504944</v>
      </c>
      <c r="Q34" s="221" t="str">
        <f t="shared" si="5"/>
        <v>--</v>
      </c>
      <c r="R34" s="226" t="str">
        <f t="shared" si="6"/>
        <v>--</v>
      </c>
      <c r="S34" s="227" t="str">
        <f t="shared" si="7"/>
        <v>--</v>
      </c>
      <c r="T34" s="228" t="str">
        <f t="shared" si="8"/>
        <v>--</v>
      </c>
      <c r="U34" s="241" t="str">
        <f t="shared" si="9"/>
        <v>--</v>
      </c>
      <c r="V34" s="245" t="str">
        <f t="shared" si="10"/>
        <v>--</v>
      </c>
      <c r="W34" s="249" t="str">
        <f t="shared" si="11"/>
        <v>--</v>
      </c>
      <c r="X34" s="254" t="str">
        <f t="shared" si="12"/>
        <v>--</v>
      </c>
      <c r="Y34" s="259" t="str">
        <f t="shared" si="13"/>
        <v>--</v>
      </c>
      <c r="Z34" s="446" t="s">
        <v>170</v>
      </c>
      <c r="AA34" s="31">
        <f t="shared" si="14"/>
        <v>669.2171098504944</v>
      </c>
      <c r="AB34" s="9"/>
    </row>
    <row r="35" spans="1:28" s="8" customFormat="1" ht="15">
      <c r="A35" s="7"/>
      <c r="B35" s="69"/>
      <c r="C35" s="428">
        <v>15</v>
      </c>
      <c r="D35" s="425">
        <v>259733</v>
      </c>
      <c r="E35" s="425">
        <v>4226</v>
      </c>
      <c r="F35" s="429" t="s">
        <v>179</v>
      </c>
      <c r="G35" s="434">
        <v>132</v>
      </c>
      <c r="H35" s="435">
        <v>103</v>
      </c>
      <c r="I35" s="200">
        <f t="shared" si="0"/>
        <v>227.17473999999999</v>
      </c>
      <c r="J35" s="439">
        <v>41382.65</v>
      </c>
      <c r="K35" s="439">
        <v>41382.75347222222</v>
      </c>
      <c r="L35" s="13">
        <f t="shared" si="1"/>
        <v>2.4833333332207985</v>
      </c>
      <c r="M35" s="14">
        <f t="shared" si="2"/>
        <v>149</v>
      </c>
      <c r="N35" s="441" t="s">
        <v>169</v>
      </c>
      <c r="O35" s="442" t="str">
        <f t="shared" si="3"/>
        <v>--</v>
      </c>
      <c r="P35" s="216" t="str">
        <f t="shared" si="4"/>
        <v>--</v>
      </c>
      <c r="Q35" s="221" t="str">
        <f t="shared" si="5"/>
        <v>--</v>
      </c>
      <c r="R35" s="226">
        <f t="shared" si="6"/>
        <v>6815.2422</v>
      </c>
      <c r="S35" s="227">
        <f t="shared" si="7"/>
        <v>16901.800656</v>
      </c>
      <c r="T35" s="228" t="str">
        <f t="shared" si="8"/>
        <v>--</v>
      </c>
      <c r="U35" s="241" t="str">
        <f t="shared" si="9"/>
        <v>--</v>
      </c>
      <c r="V35" s="245" t="str">
        <f t="shared" si="10"/>
        <v>--</v>
      </c>
      <c r="W35" s="249" t="str">
        <f t="shared" si="11"/>
        <v>--</v>
      </c>
      <c r="X35" s="254" t="str">
        <f t="shared" si="12"/>
        <v>--</v>
      </c>
      <c r="Y35" s="259" t="str">
        <f t="shared" si="13"/>
        <v>--</v>
      </c>
      <c r="Z35" s="446" t="s">
        <v>170</v>
      </c>
      <c r="AA35" s="31">
        <f t="shared" si="14"/>
        <v>23717.042856</v>
      </c>
      <c r="AB35" s="9"/>
    </row>
    <row r="36" spans="1:28" s="8" customFormat="1" ht="15">
      <c r="A36" s="7"/>
      <c r="B36" s="69"/>
      <c r="C36" s="428">
        <v>16</v>
      </c>
      <c r="D36" s="425">
        <v>259734</v>
      </c>
      <c r="E36" s="425">
        <v>281</v>
      </c>
      <c r="F36" s="429" t="s">
        <v>178</v>
      </c>
      <c r="G36" s="434">
        <v>132</v>
      </c>
      <c r="H36" s="435">
        <v>36.2400016784668</v>
      </c>
      <c r="I36" s="200">
        <f t="shared" si="0"/>
        <v>79.93022290199279</v>
      </c>
      <c r="J36" s="439">
        <v>41383.29305555556</v>
      </c>
      <c r="K36" s="439">
        <v>41383.415972222225</v>
      </c>
      <c r="L36" s="13">
        <f t="shared" si="1"/>
        <v>2.9500000000116415</v>
      </c>
      <c r="M36" s="14">
        <f t="shared" si="2"/>
        <v>177</v>
      </c>
      <c r="N36" s="441" t="s">
        <v>173</v>
      </c>
      <c r="O36" s="442" t="str">
        <f t="shared" si="3"/>
        <v>--</v>
      </c>
      <c r="P36" s="216">
        <f t="shared" si="4"/>
        <v>70.73824726826362</v>
      </c>
      <c r="Q36" s="221" t="str">
        <f t="shared" si="5"/>
        <v>--</v>
      </c>
      <c r="R36" s="226" t="str">
        <f t="shared" si="6"/>
        <v>--</v>
      </c>
      <c r="S36" s="227" t="str">
        <f t="shared" si="7"/>
        <v>--</v>
      </c>
      <c r="T36" s="228" t="str">
        <f t="shared" si="8"/>
        <v>--</v>
      </c>
      <c r="U36" s="241" t="str">
        <f t="shared" si="9"/>
        <v>--</v>
      </c>
      <c r="V36" s="245" t="str">
        <f t="shared" si="10"/>
        <v>--</v>
      </c>
      <c r="W36" s="249" t="str">
        <f t="shared" si="11"/>
        <v>--</v>
      </c>
      <c r="X36" s="254" t="str">
        <f t="shared" si="12"/>
        <v>--</v>
      </c>
      <c r="Y36" s="259" t="str">
        <f t="shared" si="13"/>
        <v>--</v>
      </c>
      <c r="Z36" s="446" t="s">
        <v>170</v>
      </c>
      <c r="AA36" s="31">
        <f t="shared" si="14"/>
        <v>70.73824726826362</v>
      </c>
      <c r="AB36" s="9"/>
    </row>
    <row r="37" spans="1:28" s="8" customFormat="1" ht="15">
      <c r="A37" s="7"/>
      <c r="B37" s="69"/>
      <c r="C37" s="428">
        <v>17</v>
      </c>
      <c r="D37" s="425">
        <v>259735</v>
      </c>
      <c r="E37" s="425">
        <v>307</v>
      </c>
      <c r="F37" s="429" t="s">
        <v>177</v>
      </c>
      <c r="G37" s="434">
        <v>132</v>
      </c>
      <c r="H37" s="435">
        <v>155.60000610351562</v>
      </c>
      <c r="I37" s="200">
        <f t="shared" si="0"/>
        <v>343.18826146179197</v>
      </c>
      <c r="J37" s="439">
        <v>41383.42013888889</v>
      </c>
      <c r="K37" s="439">
        <v>41383.54861111111</v>
      </c>
      <c r="L37" s="13">
        <f t="shared" si="1"/>
        <v>3.083333333255723</v>
      </c>
      <c r="M37" s="14">
        <f t="shared" si="2"/>
        <v>185</v>
      </c>
      <c r="N37" s="441" t="s">
        <v>173</v>
      </c>
      <c r="O37" s="442" t="str">
        <f t="shared" si="3"/>
        <v>--</v>
      </c>
      <c r="P37" s="216">
        <f t="shared" si="4"/>
        <v>317.1059535906958</v>
      </c>
      <c r="Q37" s="221" t="str">
        <f t="shared" si="5"/>
        <v>--</v>
      </c>
      <c r="R37" s="226" t="str">
        <f t="shared" si="6"/>
        <v>--</v>
      </c>
      <c r="S37" s="227" t="str">
        <f t="shared" si="7"/>
        <v>--</v>
      </c>
      <c r="T37" s="228" t="str">
        <f t="shared" si="8"/>
        <v>--</v>
      </c>
      <c r="U37" s="241" t="str">
        <f t="shared" si="9"/>
        <v>--</v>
      </c>
      <c r="V37" s="245" t="str">
        <f t="shared" si="10"/>
        <v>--</v>
      </c>
      <c r="W37" s="249" t="str">
        <f t="shared" si="11"/>
        <v>--</v>
      </c>
      <c r="X37" s="254" t="str">
        <f t="shared" si="12"/>
        <v>--</v>
      </c>
      <c r="Y37" s="259" t="str">
        <f t="shared" si="13"/>
        <v>--</v>
      </c>
      <c r="Z37" s="446" t="s">
        <v>170</v>
      </c>
      <c r="AA37" s="31">
        <f t="shared" si="14"/>
        <v>317.1059535906958</v>
      </c>
      <c r="AB37" s="9"/>
    </row>
    <row r="38" spans="1:28" s="8" customFormat="1" ht="15">
      <c r="A38" s="7"/>
      <c r="B38" s="69"/>
      <c r="C38" s="428">
        <v>18</v>
      </c>
      <c r="D38" s="425">
        <v>259911</v>
      </c>
      <c r="E38" s="425">
        <v>272</v>
      </c>
      <c r="F38" s="429" t="s">
        <v>180</v>
      </c>
      <c r="G38" s="434">
        <v>132</v>
      </c>
      <c r="H38" s="435">
        <v>27.600000381469727</v>
      </c>
      <c r="I38" s="200">
        <f t="shared" si="0"/>
        <v>60.874008841362</v>
      </c>
      <c r="J38" s="439">
        <v>41387.32361111111</v>
      </c>
      <c r="K38" s="439">
        <v>41387.729166666664</v>
      </c>
      <c r="L38" s="13">
        <f t="shared" si="1"/>
        <v>9.733333333279006</v>
      </c>
      <c r="M38" s="14">
        <f t="shared" si="2"/>
        <v>584</v>
      </c>
      <c r="N38" s="441" t="s">
        <v>173</v>
      </c>
      <c r="O38" s="442" t="str">
        <f t="shared" si="3"/>
        <v>--</v>
      </c>
      <c r="P38" s="216">
        <f t="shared" si="4"/>
        <v>177.6912318079357</v>
      </c>
      <c r="Q38" s="221" t="str">
        <f t="shared" si="5"/>
        <v>--</v>
      </c>
      <c r="R38" s="226" t="str">
        <f t="shared" si="6"/>
        <v>--</v>
      </c>
      <c r="S38" s="227" t="str">
        <f t="shared" si="7"/>
        <v>--</v>
      </c>
      <c r="T38" s="228" t="str">
        <f t="shared" si="8"/>
        <v>--</v>
      </c>
      <c r="U38" s="241" t="str">
        <f t="shared" si="9"/>
        <v>--</v>
      </c>
      <c r="V38" s="245" t="str">
        <f t="shared" si="10"/>
        <v>--</v>
      </c>
      <c r="W38" s="249" t="str">
        <f t="shared" si="11"/>
        <v>--</v>
      </c>
      <c r="X38" s="254" t="str">
        <f t="shared" si="12"/>
        <v>--</v>
      </c>
      <c r="Y38" s="259" t="str">
        <f t="shared" si="13"/>
        <v>--</v>
      </c>
      <c r="Z38" s="446" t="s">
        <v>170</v>
      </c>
      <c r="AA38" s="31">
        <f t="shared" si="14"/>
        <v>177.6912318079357</v>
      </c>
      <c r="AB38" s="9"/>
    </row>
    <row r="39" spans="1:28" s="8" customFormat="1" ht="15">
      <c r="A39" s="7"/>
      <c r="B39" s="69"/>
      <c r="C39" s="428">
        <v>19</v>
      </c>
      <c r="D39" s="425">
        <v>259912</v>
      </c>
      <c r="E39" s="425">
        <v>272</v>
      </c>
      <c r="F39" s="429" t="s">
        <v>180</v>
      </c>
      <c r="G39" s="434">
        <v>132</v>
      </c>
      <c r="H39" s="435">
        <v>27.600000381469727</v>
      </c>
      <c r="I39" s="200">
        <f t="shared" si="0"/>
        <v>60.874008841362</v>
      </c>
      <c r="J39" s="439">
        <v>41388.30694444444</v>
      </c>
      <c r="K39" s="439">
        <v>41388.70625</v>
      </c>
      <c r="L39" s="13">
        <f t="shared" si="1"/>
        <v>9.583333333488554</v>
      </c>
      <c r="M39" s="14">
        <f t="shared" si="2"/>
        <v>575</v>
      </c>
      <c r="N39" s="441" t="s">
        <v>173</v>
      </c>
      <c r="O39" s="442" t="str">
        <f t="shared" si="3"/>
        <v>--</v>
      </c>
      <c r="P39" s="216">
        <f t="shared" si="4"/>
        <v>174.95190141007438</v>
      </c>
      <c r="Q39" s="221" t="str">
        <f t="shared" si="5"/>
        <v>--</v>
      </c>
      <c r="R39" s="226" t="str">
        <f t="shared" si="6"/>
        <v>--</v>
      </c>
      <c r="S39" s="227" t="str">
        <f t="shared" si="7"/>
        <v>--</v>
      </c>
      <c r="T39" s="228" t="str">
        <f t="shared" si="8"/>
        <v>--</v>
      </c>
      <c r="U39" s="241" t="str">
        <f t="shared" si="9"/>
        <v>--</v>
      </c>
      <c r="V39" s="245" t="str">
        <f t="shared" si="10"/>
        <v>--</v>
      </c>
      <c r="W39" s="249" t="str">
        <f t="shared" si="11"/>
        <v>--</v>
      </c>
      <c r="X39" s="254" t="str">
        <f t="shared" si="12"/>
        <v>--</v>
      </c>
      <c r="Y39" s="259" t="str">
        <f t="shared" si="13"/>
        <v>--</v>
      </c>
      <c r="Z39" s="446" t="s">
        <v>170</v>
      </c>
      <c r="AA39" s="31">
        <f t="shared" si="14"/>
        <v>174.95190141007438</v>
      </c>
      <c r="AB39" s="9"/>
    </row>
    <row r="40" spans="1:28" s="8" customFormat="1" ht="15">
      <c r="A40" s="7"/>
      <c r="B40" s="69"/>
      <c r="C40" s="428"/>
      <c r="D40" s="425"/>
      <c r="E40" s="425"/>
      <c r="F40" s="429"/>
      <c r="G40" s="434"/>
      <c r="H40" s="435"/>
      <c r="I40" s="200">
        <f t="shared" si="0"/>
        <v>55.1395</v>
      </c>
      <c r="J40" s="439"/>
      <c r="K40" s="439"/>
      <c r="L40" s="13">
        <f t="shared" si="1"/>
      </c>
      <c r="M40" s="14">
        <f t="shared" si="2"/>
      </c>
      <c r="N40" s="441"/>
      <c r="O40" s="442">
        <f t="shared" si="3"/>
      </c>
      <c r="P40" s="216" t="str">
        <f t="shared" si="4"/>
        <v>--</v>
      </c>
      <c r="Q40" s="221" t="str">
        <f t="shared" si="5"/>
        <v>--</v>
      </c>
      <c r="R40" s="226" t="str">
        <f t="shared" si="6"/>
        <v>--</v>
      </c>
      <c r="S40" s="227" t="str">
        <f t="shared" si="7"/>
        <v>--</v>
      </c>
      <c r="T40" s="228" t="str">
        <f t="shared" si="8"/>
        <v>--</v>
      </c>
      <c r="U40" s="241" t="str">
        <f t="shared" si="9"/>
        <v>--</v>
      </c>
      <c r="V40" s="245" t="str">
        <f t="shared" si="10"/>
        <v>--</v>
      </c>
      <c r="W40" s="249" t="str">
        <f t="shared" si="11"/>
        <v>--</v>
      </c>
      <c r="X40" s="254" t="str">
        <f t="shared" si="12"/>
        <v>--</v>
      </c>
      <c r="Y40" s="259" t="str">
        <f t="shared" si="13"/>
        <v>--</v>
      </c>
      <c r="Z40" s="446">
        <f>IF(F40="","","SI")</f>
      </c>
      <c r="AA40" s="31">
        <f t="shared" si="14"/>
      </c>
      <c r="AB40" s="9"/>
    </row>
    <row r="41" spans="1:28" s="8" customFormat="1" ht="15.75" thickBot="1">
      <c r="A41" s="7"/>
      <c r="B41" s="69"/>
      <c r="C41" s="430"/>
      <c r="D41" s="430"/>
      <c r="E41" s="430"/>
      <c r="F41" s="431"/>
      <c r="G41" s="436"/>
      <c r="H41" s="437"/>
      <c r="I41" s="201"/>
      <c r="J41" s="440"/>
      <c r="K41" s="440"/>
      <c r="L41" s="16"/>
      <c r="M41" s="16"/>
      <c r="N41" s="440"/>
      <c r="O41" s="443"/>
      <c r="P41" s="217"/>
      <c r="Q41" s="222"/>
      <c r="R41" s="229"/>
      <c r="S41" s="230"/>
      <c r="T41" s="231"/>
      <c r="U41" s="242"/>
      <c r="V41" s="246"/>
      <c r="W41" s="250"/>
      <c r="X41" s="255"/>
      <c r="Y41" s="260"/>
      <c r="Z41" s="447"/>
      <c r="AA41" s="110"/>
      <c r="AB41" s="9"/>
    </row>
    <row r="42" spans="1:28" s="8" customFormat="1" ht="17.25" thickBot="1" thickTop="1">
      <c r="A42" s="7"/>
      <c r="B42" s="69"/>
      <c r="C42" s="524" t="s">
        <v>222</v>
      </c>
      <c r="D42" s="523" t="s">
        <v>221</v>
      </c>
      <c r="E42" s="188"/>
      <c r="F42" s="187"/>
      <c r="G42" s="7"/>
      <c r="H42" s="7"/>
      <c r="I42" s="7"/>
      <c r="J42" s="7"/>
      <c r="K42" s="7"/>
      <c r="L42" s="7"/>
      <c r="M42" s="7"/>
      <c r="N42" s="7"/>
      <c r="O42" s="7"/>
      <c r="P42" s="234">
        <f aca="true" t="shared" si="15" ref="P42:Y42">SUM(P19:P41)</f>
        <v>3532.1581445153333</v>
      </c>
      <c r="Q42" s="235">
        <f t="shared" si="15"/>
        <v>0</v>
      </c>
      <c r="R42" s="261">
        <f t="shared" si="15"/>
        <v>28555.203739684297</v>
      </c>
      <c r="S42" s="261">
        <f t="shared" si="15"/>
        <v>52806.82714860325</v>
      </c>
      <c r="T42" s="261">
        <f t="shared" si="15"/>
        <v>5651.949427164679</v>
      </c>
      <c r="U42" s="262">
        <f t="shared" si="15"/>
        <v>0</v>
      </c>
      <c r="V42" s="262">
        <f t="shared" si="15"/>
        <v>0</v>
      </c>
      <c r="W42" s="262">
        <f t="shared" si="15"/>
        <v>0</v>
      </c>
      <c r="X42" s="263">
        <f t="shared" si="15"/>
        <v>0</v>
      </c>
      <c r="Y42" s="264">
        <f t="shared" si="15"/>
        <v>0</v>
      </c>
      <c r="Z42" s="7"/>
      <c r="AA42" s="197">
        <f>ROUND(SUM(AA19:AA41),2)</f>
        <v>90546.14</v>
      </c>
      <c r="AB42" s="9"/>
    </row>
    <row r="43" spans="1:28" s="192" customFormat="1" ht="13.5" thickTop="1">
      <c r="A43" s="190"/>
      <c r="B43" s="191"/>
      <c r="C43" s="188"/>
      <c r="D43" s="188"/>
      <c r="E43" s="188"/>
      <c r="F43" s="189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3"/>
    </row>
    <row r="44" spans="1:28" s="8" customFormat="1" ht="13.5" thickBot="1">
      <c r="A44" s="7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8"/>
    </row>
    <row r="45" spans="1:2" ht="13.5" thickTop="1">
      <c r="A45" s="1"/>
      <c r="B45" s="1"/>
    </row>
  </sheetData>
  <sheetProtection/>
  <printOptions/>
  <pageMargins left="0.58" right="0.1968503937007874" top="0.7874015748031497" bottom="0.7874015748031497" header="0.5118110236220472" footer="0.5118110236220472"/>
  <pageSetup fitToHeight="1" fitToWidth="1" horizontalDpi="300" verticalDpi="300" orientation="landscape" paperSize="9" scale="70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N45"/>
  <sheetViews>
    <sheetView zoomScale="75" zoomScaleNormal="75" zoomScalePageLayoutView="0" workbookViewId="0" topLeftCell="A1">
      <selection activeCell="G17" sqref="G17"/>
    </sheetView>
  </sheetViews>
  <sheetFormatPr defaultColWidth="11.421875" defaultRowHeight="12.75"/>
  <cols>
    <col min="1" max="1" width="1.7109375" style="0" customWidth="1"/>
    <col min="2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8" width="8.7109375" style="0" customWidth="1"/>
    <col min="9" max="9" width="13.140625" style="0" hidden="1" customWidth="1"/>
    <col min="10" max="10" width="17.00390625" style="0" customWidth="1"/>
    <col min="11" max="11" width="16.851562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pans="5:40" s="36" customFormat="1" ht="26.25"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28" s="36" customFormat="1" ht="26.25">
      <c r="B2" s="507" t="str">
        <f>+'TOT-0413'!B2</f>
        <v>ANEXO I al Memorandum D.T.E.E. N°  475 / 2014</v>
      </c>
      <c r="C2" s="39"/>
      <c r="D2" s="39"/>
      <c r="E2" s="39"/>
      <c r="F2" s="39"/>
      <c r="G2" s="114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115"/>
    </row>
    <row r="3" s="8" customFormat="1" ht="12.75">
      <c r="AB3" s="7"/>
    </row>
    <row r="4" spans="1:28" s="43" customFormat="1" ht="11.25">
      <c r="A4" s="508" t="s">
        <v>152</v>
      </c>
      <c r="B4" s="116"/>
      <c r="C4" s="508"/>
      <c r="AB4" s="44"/>
    </row>
    <row r="5" spans="1:28" s="43" customFormat="1" ht="11.25">
      <c r="A5" s="508" t="s">
        <v>153</v>
      </c>
      <c r="B5" s="116"/>
      <c r="C5" s="116"/>
      <c r="AB5" s="44"/>
    </row>
    <row r="6" spans="1:28" s="8" customFormat="1" ht="17.25" customHeight="1" thickBot="1">
      <c r="A6" s="7"/>
      <c r="B6" s="7"/>
      <c r="AB6" s="7"/>
    </row>
    <row r="7" spans="1:28" s="8" customFormat="1" ht="13.5" thickTop="1">
      <c r="A7" s="7"/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</row>
    <row r="8" spans="1:28" s="47" customFormat="1" ht="20.25">
      <c r="A8" s="48"/>
      <c r="B8" s="103"/>
      <c r="C8" s="48"/>
      <c r="D8" s="48"/>
      <c r="E8" s="48"/>
      <c r="F8" s="19" t="s">
        <v>19</v>
      </c>
      <c r="G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104"/>
    </row>
    <row r="9" spans="1:28" s="8" customFormat="1" ht="12.75">
      <c r="A9" s="7"/>
      <c r="B9" s="69"/>
      <c r="C9" s="7"/>
      <c r="D9" s="7"/>
      <c r="E9" s="7"/>
      <c r="F9" s="100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"/>
    </row>
    <row r="10" spans="1:28" s="47" customFormat="1" ht="20.25">
      <c r="A10" s="48"/>
      <c r="B10" s="103"/>
      <c r="C10" s="48"/>
      <c r="D10" s="48"/>
      <c r="E10" s="48"/>
      <c r="F10" s="19" t="s">
        <v>20</v>
      </c>
      <c r="G10" s="19"/>
      <c r="H10" s="48"/>
      <c r="I10" s="105"/>
      <c r="J10" s="105"/>
      <c r="K10" s="105"/>
      <c r="L10" s="105"/>
      <c r="M10" s="105"/>
      <c r="N10" s="105"/>
      <c r="O10" s="105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104"/>
    </row>
    <row r="11" spans="1:28" s="8" customFormat="1" ht="12.75">
      <c r="A11" s="7"/>
      <c r="B11" s="69"/>
      <c r="C11" s="7"/>
      <c r="D11" s="7"/>
      <c r="E11" s="7"/>
      <c r="F11" s="100"/>
      <c r="G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9"/>
    </row>
    <row r="12" spans="1:28" s="47" customFormat="1" ht="20.25">
      <c r="A12" s="48"/>
      <c r="B12" s="103"/>
      <c r="C12" s="48"/>
      <c r="D12" s="48"/>
      <c r="E12" s="48"/>
      <c r="F12" s="19" t="s">
        <v>21</v>
      </c>
      <c r="G12" s="19"/>
      <c r="H12" s="48"/>
      <c r="I12" s="105"/>
      <c r="J12" s="105"/>
      <c r="K12" s="105"/>
      <c r="L12" s="105"/>
      <c r="M12" s="105"/>
      <c r="N12" s="105"/>
      <c r="O12" s="105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104"/>
    </row>
    <row r="13" spans="1:28" s="8" customFormat="1" ht="12.75">
      <c r="A13" s="7"/>
      <c r="B13" s="69"/>
      <c r="C13" s="7"/>
      <c r="D13" s="7"/>
      <c r="E13" s="7"/>
      <c r="F13" s="101"/>
      <c r="G13" s="99"/>
      <c r="H13" s="7"/>
      <c r="I13" s="94"/>
      <c r="J13" s="94"/>
      <c r="K13" s="94"/>
      <c r="L13" s="94"/>
      <c r="M13" s="94"/>
      <c r="N13" s="94"/>
      <c r="O13" s="9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9"/>
    </row>
    <row r="14" spans="1:28" s="54" customFormat="1" ht="19.5">
      <c r="A14" s="61"/>
      <c r="B14" s="448" t="str">
        <f>'TOT-0413'!B14</f>
        <v>Desde el 01 al 30 de abril de 2013</v>
      </c>
      <c r="C14" s="59"/>
      <c r="D14" s="59"/>
      <c r="E14" s="59"/>
      <c r="F14" s="59"/>
      <c r="G14" s="111"/>
      <c r="H14" s="112"/>
      <c r="I14" s="113"/>
      <c r="J14" s="113"/>
      <c r="K14" s="113"/>
      <c r="L14" s="113"/>
      <c r="M14" s="113"/>
      <c r="N14" s="113"/>
      <c r="O14" s="113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</row>
    <row r="15" spans="1:28" s="8" customFormat="1" ht="13.5" thickBot="1">
      <c r="A15" s="7"/>
      <c r="B15" s="69"/>
      <c r="C15" s="7"/>
      <c r="D15" s="7"/>
      <c r="E15" s="7"/>
      <c r="F15" s="7"/>
      <c r="G15" s="7"/>
      <c r="H15" s="102"/>
      <c r="I15" s="94"/>
      <c r="J15" s="94"/>
      <c r="K15" s="94"/>
      <c r="L15" s="94"/>
      <c r="M15" s="94"/>
      <c r="N15" s="94"/>
      <c r="O15" s="9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9"/>
    </row>
    <row r="16" spans="1:28" s="8" customFormat="1" ht="14.25" thickBot="1" thickTop="1">
      <c r="A16" s="7"/>
      <c r="B16" s="69"/>
      <c r="C16" s="7"/>
      <c r="D16" s="7"/>
      <c r="E16" s="7"/>
      <c r="F16" s="106" t="s">
        <v>22</v>
      </c>
      <c r="G16" s="321">
        <v>220.558</v>
      </c>
      <c r="H16" s="211"/>
      <c r="I16" s="7"/>
      <c r="J16"/>
      <c r="K16" s="107" t="s">
        <v>23</v>
      </c>
      <c r="L16" s="108">
        <f>30*'TOT-0413'!B13</f>
        <v>30</v>
      </c>
      <c r="M16" s="194" t="str">
        <f>IF(L16=30," ",IF(L16=60,"Coeficiente duplicado por tasa de falla &gt;4 Sal. x año/100 km.","REVISAR COEFICIENTE"))</f>
        <v> 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/>
    </row>
    <row r="17" spans="1:28" s="8" customFormat="1" ht="14.25" thickBot="1" thickTop="1">
      <c r="A17" s="7"/>
      <c r="B17" s="69"/>
      <c r="C17" s="520">
        <v>3</v>
      </c>
      <c r="D17" s="520">
        <v>4</v>
      </c>
      <c r="E17" s="520">
        <v>5</v>
      </c>
      <c r="F17" s="520">
        <v>6</v>
      </c>
      <c r="G17" s="520">
        <v>7</v>
      </c>
      <c r="H17" s="520">
        <v>8</v>
      </c>
      <c r="I17" s="520">
        <v>9</v>
      </c>
      <c r="J17" s="520">
        <v>10</v>
      </c>
      <c r="K17" s="520">
        <v>11</v>
      </c>
      <c r="L17" s="520">
        <v>12</v>
      </c>
      <c r="M17" s="520">
        <v>13</v>
      </c>
      <c r="N17" s="520">
        <v>14</v>
      </c>
      <c r="O17" s="520">
        <v>15</v>
      </c>
      <c r="P17" s="520">
        <v>16</v>
      </c>
      <c r="Q17" s="520">
        <v>17</v>
      </c>
      <c r="R17" s="520">
        <v>18</v>
      </c>
      <c r="S17" s="520">
        <v>19</v>
      </c>
      <c r="T17" s="520">
        <v>20</v>
      </c>
      <c r="U17" s="520">
        <v>21</v>
      </c>
      <c r="V17" s="520">
        <v>22</v>
      </c>
      <c r="W17" s="520">
        <v>23</v>
      </c>
      <c r="X17" s="520">
        <v>24</v>
      </c>
      <c r="Y17" s="520">
        <v>25</v>
      </c>
      <c r="Z17" s="520">
        <v>26</v>
      </c>
      <c r="AA17" s="520">
        <v>27</v>
      </c>
      <c r="AB17" s="9"/>
    </row>
    <row r="18" spans="1:28" s="8" customFormat="1" ht="33.75" customHeight="1" thickBot="1" thickTop="1">
      <c r="A18" s="7"/>
      <c r="B18" s="69"/>
      <c r="C18" s="117" t="s">
        <v>24</v>
      </c>
      <c r="D18" s="117" t="s">
        <v>151</v>
      </c>
      <c r="E18" s="117" t="s">
        <v>150</v>
      </c>
      <c r="F18" s="118" t="s">
        <v>3</v>
      </c>
      <c r="G18" s="119" t="s">
        <v>25</v>
      </c>
      <c r="H18" s="120" t="s">
        <v>26</v>
      </c>
      <c r="I18" s="198" t="s">
        <v>27</v>
      </c>
      <c r="J18" s="118" t="s">
        <v>28</v>
      </c>
      <c r="K18" s="118" t="s">
        <v>29</v>
      </c>
      <c r="L18" s="119" t="s">
        <v>30</v>
      </c>
      <c r="M18" s="119" t="s">
        <v>31</v>
      </c>
      <c r="N18" s="121" t="s">
        <v>32</v>
      </c>
      <c r="O18" s="119" t="s">
        <v>33</v>
      </c>
      <c r="P18" s="213" t="s">
        <v>34</v>
      </c>
      <c r="Q18" s="218" t="s">
        <v>35</v>
      </c>
      <c r="R18" s="223" t="s">
        <v>36</v>
      </c>
      <c r="S18" s="224"/>
      <c r="T18" s="225"/>
      <c r="U18" s="236" t="s">
        <v>37</v>
      </c>
      <c r="V18" s="237"/>
      <c r="W18" s="238"/>
      <c r="X18" s="251" t="s">
        <v>38</v>
      </c>
      <c r="Y18" s="256" t="s">
        <v>39</v>
      </c>
      <c r="Z18" s="122" t="s">
        <v>40</v>
      </c>
      <c r="AA18" s="209" t="s">
        <v>41</v>
      </c>
      <c r="AB18" s="9"/>
    </row>
    <row r="19" spans="1:28" s="8" customFormat="1" ht="15.75" thickTop="1">
      <c r="A19" s="7"/>
      <c r="B19" s="69"/>
      <c r="C19" s="424"/>
      <c r="D19" s="505"/>
      <c r="E19" s="505"/>
      <c r="F19" s="425"/>
      <c r="G19" s="432"/>
      <c r="H19" s="433"/>
      <c r="I19" s="212"/>
      <c r="J19" s="438"/>
      <c r="K19" s="438"/>
      <c r="L19" s="10"/>
      <c r="M19" s="10"/>
      <c r="N19" s="425"/>
      <c r="O19" s="428"/>
      <c r="P19" s="214"/>
      <c r="Q19" s="219"/>
      <c r="R19" s="226"/>
      <c r="S19" s="232"/>
      <c r="T19" s="233"/>
      <c r="U19" s="239"/>
      <c r="V19" s="243"/>
      <c r="W19" s="247"/>
      <c r="X19" s="252"/>
      <c r="Y19" s="257"/>
      <c r="Z19" s="444"/>
      <c r="AA19" s="210">
        <f>'LI-04 (1)'!AA42</f>
        <v>90546.14</v>
      </c>
      <c r="AB19" s="9"/>
    </row>
    <row r="20" spans="1:28" s="8" customFormat="1" ht="15">
      <c r="A20" s="7"/>
      <c r="B20" s="69"/>
      <c r="C20" s="426"/>
      <c r="D20" s="427"/>
      <c r="E20" s="427"/>
      <c r="F20" s="427"/>
      <c r="G20" s="426"/>
      <c r="H20" s="426"/>
      <c r="I20" s="199"/>
      <c r="J20" s="426"/>
      <c r="K20" s="434"/>
      <c r="L20" s="12"/>
      <c r="M20" s="12"/>
      <c r="N20" s="427"/>
      <c r="O20" s="426"/>
      <c r="P20" s="215"/>
      <c r="Q20" s="220"/>
      <c r="R20" s="226"/>
      <c r="S20" s="232"/>
      <c r="T20" s="233"/>
      <c r="U20" s="240"/>
      <c r="V20" s="244"/>
      <c r="W20" s="248"/>
      <c r="X20" s="253"/>
      <c r="Y20" s="258"/>
      <c r="Z20" s="445"/>
      <c r="AA20" s="109"/>
      <c r="AB20" s="9"/>
    </row>
    <row r="21" spans="1:28" s="8" customFormat="1" ht="15">
      <c r="A21" s="7"/>
      <c r="B21" s="69"/>
      <c r="C21" s="428">
        <v>20</v>
      </c>
      <c r="D21" s="425">
        <v>259914</v>
      </c>
      <c r="E21" s="425">
        <v>272</v>
      </c>
      <c r="F21" s="429" t="s">
        <v>180</v>
      </c>
      <c r="G21" s="434">
        <v>132</v>
      </c>
      <c r="H21" s="435">
        <v>27.600000381469727</v>
      </c>
      <c r="I21" s="200">
        <f aca="true" t="shared" si="0" ref="I21:I40">$G$16/100*IF(H21&gt;25,H21,25)</f>
        <v>60.874008841362</v>
      </c>
      <c r="J21" s="439">
        <v>41389.31041666667</v>
      </c>
      <c r="K21" s="439">
        <v>41389.58819444444</v>
      </c>
      <c r="L21" s="13">
        <f aca="true" t="shared" si="1" ref="L21:L40">IF(F21="","",(K21-J21)*24)</f>
        <v>6.666666666569654</v>
      </c>
      <c r="M21" s="14">
        <f aca="true" t="shared" si="2" ref="M21:M40">IF(F21="","",ROUND((K21-J21)*24*60,0))</f>
        <v>400</v>
      </c>
      <c r="N21" s="441" t="s">
        <v>173</v>
      </c>
      <c r="O21" s="442" t="str">
        <f aca="true" t="shared" si="3" ref="O21:O40">IF(F21="","","--")</f>
        <v>--</v>
      </c>
      <c r="P21" s="216">
        <f aca="true" t="shared" si="4" ref="P21:P40">IF(N21="P",ROUND(M21/60,2)*I21*$L$16*0.01,"--")</f>
        <v>121.80889169156536</v>
      </c>
      <c r="Q21" s="221" t="str">
        <f aca="true" t="shared" si="5" ref="Q21:Q40">IF(N21="RP",I21*O21*ROUND(L21/60,2)*0.01*M21/100,"--")</f>
        <v>--</v>
      </c>
      <c r="R21" s="226" t="str">
        <f aca="true" t="shared" si="6" ref="R21:R40">IF(N21="F",I21*$L$16,"--")</f>
        <v>--</v>
      </c>
      <c r="S21" s="227" t="str">
        <f aca="true" t="shared" si="7" ref="S21:S40">IF(AND(M21&gt;10,N21="F"),I21*$L$16*IF(M21&gt;180,3,ROUND((M21)/60,2)),"--")</f>
        <v>--</v>
      </c>
      <c r="T21" s="228" t="str">
        <f aca="true" t="shared" si="8" ref="T21:T40">IF(AND(M21&gt;180,N21="F"),(ROUND(M21/60,2)-3)*I21*$L$16*0.1,"--")</f>
        <v>--</v>
      </c>
      <c r="U21" s="241" t="str">
        <f aca="true" t="shared" si="9" ref="U21:U40">IF(N21="R",I21*$L$16*O21/100,"--")</f>
        <v>--</v>
      </c>
      <c r="V21" s="245" t="str">
        <f aca="true" t="shared" si="10" ref="V21:V40">IF(AND(M21&gt;10,N21="R"),I21*$L$16*O21/100*IF(M21&gt;180,3,ROUND(M21/60,2)),"--")</f>
        <v>--</v>
      </c>
      <c r="W21" s="249" t="str">
        <f aca="true" t="shared" si="11" ref="W21:W40">IF(AND(M21&gt;180,N21="R"),(ROUND(M21/60,2)-3)*I21*$L$16*0.1*O21/100,"--")</f>
        <v>--</v>
      </c>
      <c r="X21" s="254" t="str">
        <f aca="true" t="shared" si="12" ref="X21:X40">IF(N21="RF",ROUND(M21/60,2)*I21*$L$16*0.1,"--")</f>
        <v>--</v>
      </c>
      <c r="Y21" s="259" t="str">
        <f aca="true" t="shared" si="13" ref="Y21:Y40">IF(N21="RR",ROUND(M21/60,2)*I21*$L$16*0.1*O21/100,"--")</f>
        <v>--</v>
      </c>
      <c r="Z21" s="446" t="s">
        <v>170</v>
      </c>
      <c r="AA21" s="31">
        <f aca="true" t="shared" si="14" ref="AA21:AA40">IF(F21="","",SUM(P21:Y21)*IF(Z21="SI",1,2))</f>
        <v>121.80889169156536</v>
      </c>
      <c r="AB21" s="319"/>
    </row>
    <row r="22" spans="1:28" s="8" customFormat="1" ht="15">
      <c r="A22" s="7"/>
      <c r="B22" s="69"/>
      <c r="C22" s="428">
        <v>21</v>
      </c>
      <c r="D22" s="425">
        <v>259918</v>
      </c>
      <c r="E22" s="425">
        <v>4635</v>
      </c>
      <c r="F22" s="429" t="s">
        <v>181</v>
      </c>
      <c r="G22" s="434">
        <v>132</v>
      </c>
      <c r="H22" s="435">
        <v>89.2</v>
      </c>
      <c r="I22" s="200">
        <f t="shared" si="0"/>
        <v>196.73773599999998</v>
      </c>
      <c r="J22" s="439">
        <v>41390.33541666667</v>
      </c>
      <c r="K22" s="439">
        <v>41390.410416666666</v>
      </c>
      <c r="L22" s="13">
        <f t="shared" si="1"/>
        <v>1.7999999999301508</v>
      </c>
      <c r="M22" s="14">
        <f t="shared" si="2"/>
        <v>108</v>
      </c>
      <c r="N22" s="441" t="s">
        <v>173</v>
      </c>
      <c r="O22" s="442" t="str">
        <f t="shared" si="3"/>
        <v>--</v>
      </c>
      <c r="P22" s="216">
        <f t="shared" si="4"/>
        <v>106.23837744</v>
      </c>
      <c r="Q22" s="221" t="str">
        <f t="shared" si="5"/>
        <v>--</v>
      </c>
      <c r="R22" s="226" t="str">
        <f t="shared" si="6"/>
        <v>--</v>
      </c>
      <c r="S22" s="227" t="str">
        <f t="shared" si="7"/>
        <v>--</v>
      </c>
      <c r="T22" s="228" t="str">
        <f t="shared" si="8"/>
        <v>--</v>
      </c>
      <c r="U22" s="241" t="str">
        <f t="shared" si="9"/>
        <v>--</v>
      </c>
      <c r="V22" s="245" t="str">
        <f t="shared" si="10"/>
        <v>--</v>
      </c>
      <c r="W22" s="249" t="str">
        <f t="shared" si="11"/>
        <v>--</v>
      </c>
      <c r="X22" s="254" t="str">
        <f t="shared" si="12"/>
        <v>--</v>
      </c>
      <c r="Y22" s="259" t="str">
        <f t="shared" si="13"/>
        <v>--</v>
      </c>
      <c r="Z22" s="446" t="s">
        <v>170</v>
      </c>
      <c r="AA22" s="31">
        <f t="shared" si="14"/>
        <v>106.23837744</v>
      </c>
      <c r="AB22" s="319"/>
    </row>
    <row r="23" spans="1:28" s="8" customFormat="1" ht="15">
      <c r="A23" s="7"/>
      <c r="B23" s="69"/>
      <c r="C23" s="428">
        <v>22</v>
      </c>
      <c r="D23" s="425">
        <v>259920</v>
      </c>
      <c r="E23" s="425">
        <v>281</v>
      </c>
      <c r="F23" s="429" t="s">
        <v>178</v>
      </c>
      <c r="G23" s="434">
        <v>132</v>
      </c>
      <c r="H23" s="435">
        <v>36.2400016784668</v>
      </c>
      <c r="I23" s="200">
        <f t="shared" si="0"/>
        <v>79.93022290199279</v>
      </c>
      <c r="J23" s="439">
        <v>41390.37777777778</v>
      </c>
      <c r="K23" s="439">
        <v>41390.47708333333</v>
      </c>
      <c r="L23" s="13">
        <f t="shared" si="1"/>
        <v>2.3833333332440816</v>
      </c>
      <c r="M23" s="14">
        <f t="shared" si="2"/>
        <v>143</v>
      </c>
      <c r="N23" s="441" t="s">
        <v>169</v>
      </c>
      <c r="O23" s="442" t="str">
        <f t="shared" si="3"/>
        <v>--</v>
      </c>
      <c r="P23" s="216" t="str">
        <f t="shared" si="4"/>
        <v>--</v>
      </c>
      <c r="Q23" s="221" t="str">
        <f t="shared" si="5"/>
        <v>--</v>
      </c>
      <c r="R23" s="226">
        <f t="shared" si="6"/>
        <v>2397.906687059784</v>
      </c>
      <c r="S23" s="227">
        <f t="shared" si="7"/>
        <v>5707.017915202286</v>
      </c>
      <c r="T23" s="228" t="str">
        <f t="shared" si="8"/>
        <v>--</v>
      </c>
      <c r="U23" s="241" t="str">
        <f t="shared" si="9"/>
        <v>--</v>
      </c>
      <c r="V23" s="245" t="str">
        <f t="shared" si="10"/>
        <v>--</v>
      </c>
      <c r="W23" s="249" t="str">
        <f t="shared" si="11"/>
        <v>--</v>
      </c>
      <c r="X23" s="254" t="str">
        <f t="shared" si="12"/>
        <v>--</v>
      </c>
      <c r="Y23" s="259" t="str">
        <f t="shared" si="13"/>
        <v>--</v>
      </c>
      <c r="Z23" s="446" t="s">
        <v>170</v>
      </c>
      <c r="AA23" s="31">
        <f t="shared" si="14"/>
        <v>8104.92460226207</v>
      </c>
      <c r="AB23" s="319"/>
    </row>
    <row r="24" spans="1:28" s="8" customFormat="1" ht="15">
      <c r="A24" s="7"/>
      <c r="B24" s="69"/>
      <c r="C24" s="428">
        <v>23</v>
      </c>
      <c r="D24" s="425">
        <v>259924</v>
      </c>
      <c r="E24" s="425">
        <v>4691</v>
      </c>
      <c r="F24" s="429" t="s">
        <v>182</v>
      </c>
      <c r="G24" s="434">
        <v>132</v>
      </c>
      <c r="H24" s="435">
        <v>102</v>
      </c>
      <c r="I24" s="200">
        <f t="shared" si="0"/>
        <v>224.96916</v>
      </c>
      <c r="J24" s="439">
        <v>41392.33472222222</v>
      </c>
      <c r="K24" s="439">
        <v>41392.532638888886</v>
      </c>
      <c r="L24" s="13">
        <f t="shared" si="1"/>
        <v>4.749999999941792</v>
      </c>
      <c r="M24" s="14">
        <f t="shared" si="2"/>
        <v>285</v>
      </c>
      <c r="N24" s="441" t="s">
        <v>173</v>
      </c>
      <c r="O24" s="442" t="str">
        <f t="shared" si="3"/>
        <v>--</v>
      </c>
      <c r="P24" s="216">
        <f t="shared" si="4"/>
        <v>320.58105299999994</v>
      </c>
      <c r="Q24" s="221" t="str">
        <f t="shared" si="5"/>
        <v>--</v>
      </c>
      <c r="R24" s="226" t="str">
        <f t="shared" si="6"/>
        <v>--</v>
      </c>
      <c r="S24" s="227" t="str">
        <f t="shared" si="7"/>
        <v>--</v>
      </c>
      <c r="T24" s="228" t="str">
        <f t="shared" si="8"/>
        <v>--</v>
      </c>
      <c r="U24" s="241" t="str">
        <f t="shared" si="9"/>
        <v>--</v>
      </c>
      <c r="V24" s="245" t="str">
        <f t="shared" si="10"/>
        <v>--</v>
      </c>
      <c r="W24" s="249" t="str">
        <f t="shared" si="11"/>
        <v>--</v>
      </c>
      <c r="X24" s="254" t="str">
        <f t="shared" si="12"/>
        <v>--</v>
      </c>
      <c r="Y24" s="259" t="str">
        <f t="shared" si="13"/>
        <v>--</v>
      </c>
      <c r="Z24" s="446" t="s">
        <v>170</v>
      </c>
      <c r="AA24" s="31">
        <f t="shared" si="14"/>
        <v>320.58105299999994</v>
      </c>
      <c r="AB24" s="319"/>
    </row>
    <row r="25" spans="1:28" s="8" customFormat="1" ht="15">
      <c r="A25" s="7"/>
      <c r="B25" s="69"/>
      <c r="C25" s="428">
        <v>24</v>
      </c>
      <c r="D25" s="425">
        <v>259942</v>
      </c>
      <c r="E25" s="425">
        <v>4902</v>
      </c>
      <c r="F25" s="429" t="s">
        <v>183</v>
      </c>
      <c r="G25" s="434">
        <v>132</v>
      </c>
      <c r="H25" s="435">
        <v>76</v>
      </c>
      <c r="I25" s="200">
        <f t="shared" si="0"/>
        <v>167.62408</v>
      </c>
      <c r="J25" s="439">
        <v>41392.33472222222</v>
      </c>
      <c r="K25" s="439">
        <v>41392.532638888886</v>
      </c>
      <c r="L25" s="13">
        <f t="shared" si="1"/>
        <v>4.749999999941792</v>
      </c>
      <c r="M25" s="14">
        <f t="shared" si="2"/>
        <v>285</v>
      </c>
      <c r="N25" s="441" t="s">
        <v>173</v>
      </c>
      <c r="O25" s="442" t="str">
        <f t="shared" si="3"/>
        <v>--</v>
      </c>
      <c r="P25" s="216">
        <f t="shared" si="4"/>
        <v>238.864314</v>
      </c>
      <c r="Q25" s="221" t="str">
        <f t="shared" si="5"/>
        <v>--</v>
      </c>
      <c r="R25" s="226" t="str">
        <f t="shared" si="6"/>
        <v>--</v>
      </c>
      <c r="S25" s="227" t="str">
        <f t="shared" si="7"/>
        <v>--</v>
      </c>
      <c r="T25" s="228" t="str">
        <f t="shared" si="8"/>
        <v>--</v>
      </c>
      <c r="U25" s="241" t="str">
        <f t="shared" si="9"/>
        <v>--</v>
      </c>
      <c r="V25" s="245" t="str">
        <f t="shared" si="10"/>
        <v>--</v>
      </c>
      <c r="W25" s="249" t="str">
        <f t="shared" si="11"/>
        <v>--</v>
      </c>
      <c r="X25" s="254" t="str">
        <f t="shared" si="12"/>
        <v>--</v>
      </c>
      <c r="Y25" s="259" t="str">
        <f t="shared" si="13"/>
        <v>--</v>
      </c>
      <c r="Z25" s="446" t="s">
        <v>170</v>
      </c>
      <c r="AA25" s="31">
        <f t="shared" si="14"/>
        <v>238.864314</v>
      </c>
      <c r="AB25" s="319"/>
    </row>
    <row r="26" spans="1:28" s="8" customFormat="1" ht="15">
      <c r="A26" s="7"/>
      <c r="B26" s="69"/>
      <c r="C26" s="428">
        <v>25</v>
      </c>
      <c r="D26" s="425">
        <v>259943</v>
      </c>
      <c r="E26" s="425">
        <v>3579</v>
      </c>
      <c r="F26" s="429" t="s">
        <v>184</v>
      </c>
      <c r="G26" s="434">
        <v>132</v>
      </c>
      <c r="H26" s="435">
        <v>80.30000305175781</v>
      </c>
      <c r="I26" s="200">
        <f t="shared" si="0"/>
        <v>177.10808073089598</v>
      </c>
      <c r="J26" s="439">
        <v>41392.33472222222</v>
      </c>
      <c r="K26" s="439">
        <v>41392.532638888886</v>
      </c>
      <c r="L26" s="13">
        <f t="shared" si="1"/>
        <v>4.749999999941792</v>
      </c>
      <c r="M26" s="14">
        <f t="shared" si="2"/>
        <v>285</v>
      </c>
      <c r="N26" s="441" t="s">
        <v>173</v>
      </c>
      <c r="O26" s="442" t="str">
        <f t="shared" si="3"/>
        <v>--</v>
      </c>
      <c r="P26" s="216">
        <f t="shared" si="4"/>
        <v>252.37901504152677</v>
      </c>
      <c r="Q26" s="221" t="str">
        <f t="shared" si="5"/>
        <v>--</v>
      </c>
      <c r="R26" s="226" t="str">
        <f t="shared" si="6"/>
        <v>--</v>
      </c>
      <c r="S26" s="227" t="str">
        <f t="shared" si="7"/>
        <v>--</v>
      </c>
      <c r="T26" s="228" t="str">
        <f t="shared" si="8"/>
        <v>--</v>
      </c>
      <c r="U26" s="241" t="str">
        <f t="shared" si="9"/>
        <v>--</v>
      </c>
      <c r="V26" s="245" t="str">
        <f t="shared" si="10"/>
        <v>--</v>
      </c>
      <c r="W26" s="249" t="str">
        <f t="shared" si="11"/>
        <v>--</v>
      </c>
      <c r="X26" s="254" t="str">
        <f t="shared" si="12"/>
        <v>--</v>
      </c>
      <c r="Y26" s="259" t="str">
        <f t="shared" si="13"/>
        <v>--</v>
      </c>
      <c r="Z26" s="446" t="s">
        <v>170</v>
      </c>
      <c r="AA26" s="31">
        <f t="shared" si="14"/>
        <v>252.37901504152677</v>
      </c>
      <c r="AB26" s="319"/>
    </row>
    <row r="27" spans="1:28" s="8" customFormat="1" ht="15">
      <c r="A27" s="7"/>
      <c r="B27" s="69"/>
      <c r="C27" s="428"/>
      <c r="D27" s="425"/>
      <c r="E27" s="425"/>
      <c r="F27" s="429"/>
      <c r="G27" s="434"/>
      <c r="H27" s="435"/>
      <c r="I27" s="200">
        <f t="shared" si="0"/>
        <v>55.1395</v>
      </c>
      <c r="J27" s="439"/>
      <c r="K27" s="439"/>
      <c r="L27" s="13">
        <f t="shared" si="1"/>
      </c>
      <c r="M27" s="14">
        <f t="shared" si="2"/>
      </c>
      <c r="N27" s="441"/>
      <c r="O27" s="442">
        <f t="shared" si="3"/>
      </c>
      <c r="P27" s="216" t="str">
        <f t="shared" si="4"/>
        <v>--</v>
      </c>
      <c r="Q27" s="221" t="str">
        <f t="shared" si="5"/>
        <v>--</v>
      </c>
      <c r="R27" s="226" t="str">
        <f t="shared" si="6"/>
        <v>--</v>
      </c>
      <c r="S27" s="227" t="str">
        <f t="shared" si="7"/>
        <v>--</v>
      </c>
      <c r="T27" s="228" t="str">
        <f t="shared" si="8"/>
        <v>--</v>
      </c>
      <c r="U27" s="241" t="str">
        <f t="shared" si="9"/>
        <v>--</v>
      </c>
      <c r="V27" s="245" t="str">
        <f t="shared" si="10"/>
        <v>--</v>
      </c>
      <c r="W27" s="249" t="str">
        <f t="shared" si="11"/>
        <v>--</v>
      </c>
      <c r="X27" s="254" t="str">
        <f t="shared" si="12"/>
        <v>--</v>
      </c>
      <c r="Y27" s="259" t="str">
        <f t="shared" si="13"/>
        <v>--</v>
      </c>
      <c r="Z27" s="446">
        <f aca="true" t="shared" si="15" ref="Z27:Z40">IF(F27="","","SI")</f>
      </c>
      <c r="AA27" s="31">
        <f t="shared" si="14"/>
      </c>
      <c r="AB27" s="319"/>
    </row>
    <row r="28" spans="1:28" s="8" customFormat="1" ht="15">
      <c r="A28" s="7"/>
      <c r="B28" s="69"/>
      <c r="C28" s="428"/>
      <c r="D28" s="425"/>
      <c r="E28" s="425"/>
      <c r="F28" s="429"/>
      <c r="G28" s="434"/>
      <c r="H28" s="435"/>
      <c r="I28" s="200">
        <f t="shared" si="0"/>
        <v>55.1395</v>
      </c>
      <c r="J28" s="439"/>
      <c r="K28" s="439"/>
      <c r="L28" s="13">
        <f t="shared" si="1"/>
      </c>
      <c r="M28" s="14">
        <f t="shared" si="2"/>
      </c>
      <c r="N28" s="441"/>
      <c r="O28" s="442">
        <f t="shared" si="3"/>
      </c>
      <c r="P28" s="216" t="str">
        <f t="shared" si="4"/>
        <v>--</v>
      </c>
      <c r="Q28" s="221" t="str">
        <f t="shared" si="5"/>
        <v>--</v>
      </c>
      <c r="R28" s="226" t="str">
        <f t="shared" si="6"/>
        <v>--</v>
      </c>
      <c r="S28" s="227" t="str">
        <f t="shared" si="7"/>
        <v>--</v>
      </c>
      <c r="T28" s="228" t="str">
        <f t="shared" si="8"/>
        <v>--</v>
      </c>
      <c r="U28" s="241" t="str">
        <f t="shared" si="9"/>
        <v>--</v>
      </c>
      <c r="V28" s="245" t="str">
        <f t="shared" si="10"/>
        <v>--</v>
      </c>
      <c r="W28" s="249" t="str">
        <f t="shared" si="11"/>
        <v>--</v>
      </c>
      <c r="X28" s="254" t="str">
        <f t="shared" si="12"/>
        <v>--</v>
      </c>
      <c r="Y28" s="259" t="str">
        <f t="shared" si="13"/>
        <v>--</v>
      </c>
      <c r="Z28" s="446">
        <f t="shared" si="15"/>
      </c>
      <c r="AA28" s="31">
        <f t="shared" si="14"/>
      </c>
      <c r="AB28" s="9"/>
    </row>
    <row r="29" spans="1:28" s="8" customFormat="1" ht="15">
      <c r="A29" s="7"/>
      <c r="B29" s="69"/>
      <c r="C29" s="428"/>
      <c r="D29" s="425"/>
      <c r="E29" s="425"/>
      <c r="F29" s="429"/>
      <c r="G29" s="434"/>
      <c r="H29" s="435"/>
      <c r="I29" s="200">
        <f t="shared" si="0"/>
        <v>55.1395</v>
      </c>
      <c r="J29" s="439"/>
      <c r="K29" s="439"/>
      <c r="L29" s="13">
        <f t="shared" si="1"/>
      </c>
      <c r="M29" s="14">
        <f t="shared" si="2"/>
      </c>
      <c r="N29" s="441"/>
      <c r="O29" s="442">
        <f t="shared" si="3"/>
      </c>
      <c r="P29" s="216" t="str">
        <f t="shared" si="4"/>
        <v>--</v>
      </c>
      <c r="Q29" s="221" t="str">
        <f t="shared" si="5"/>
        <v>--</v>
      </c>
      <c r="R29" s="226" t="str">
        <f t="shared" si="6"/>
        <v>--</v>
      </c>
      <c r="S29" s="227" t="str">
        <f t="shared" si="7"/>
        <v>--</v>
      </c>
      <c r="T29" s="228" t="str">
        <f t="shared" si="8"/>
        <v>--</v>
      </c>
      <c r="U29" s="241" t="str">
        <f t="shared" si="9"/>
        <v>--</v>
      </c>
      <c r="V29" s="245" t="str">
        <f t="shared" si="10"/>
        <v>--</v>
      </c>
      <c r="W29" s="249" t="str">
        <f t="shared" si="11"/>
        <v>--</v>
      </c>
      <c r="X29" s="254" t="str">
        <f t="shared" si="12"/>
        <v>--</v>
      </c>
      <c r="Y29" s="259" t="str">
        <f t="shared" si="13"/>
        <v>--</v>
      </c>
      <c r="Z29" s="446">
        <f t="shared" si="15"/>
      </c>
      <c r="AA29" s="31">
        <f t="shared" si="14"/>
      </c>
      <c r="AB29" s="9"/>
    </row>
    <row r="30" spans="1:28" s="8" customFormat="1" ht="15">
      <c r="A30" s="7"/>
      <c r="B30" s="69"/>
      <c r="C30" s="428"/>
      <c r="D30" s="425"/>
      <c r="E30" s="425"/>
      <c r="F30" s="429"/>
      <c r="G30" s="434"/>
      <c r="H30" s="435"/>
      <c r="I30" s="200">
        <f t="shared" si="0"/>
        <v>55.1395</v>
      </c>
      <c r="J30" s="439"/>
      <c r="K30" s="439"/>
      <c r="L30" s="13">
        <f t="shared" si="1"/>
      </c>
      <c r="M30" s="14">
        <f t="shared" si="2"/>
      </c>
      <c r="N30" s="441"/>
      <c r="O30" s="442">
        <f t="shared" si="3"/>
      </c>
      <c r="P30" s="216" t="str">
        <f t="shared" si="4"/>
        <v>--</v>
      </c>
      <c r="Q30" s="221" t="str">
        <f t="shared" si="5"/>
        <v>--</v>
      </c>
      <c r="R30" s="226" t="str">
        <f t="shared" si="6"/>
        <v>--</v>
      </c>
      <c r="S30" s="227" t="str">
        <f t="shared" si="7"/>
        <v>--</v>
      </c>
      <c r="T30" s="228" t="str">
        <f t="shared" si="8"/>
        <v>--</v>
      </c>
      <c r="U30" s="241" t="str">
        <f t="shared" si="9"/>
        <v>--</v>
      </c>
      <c r="V30" s="245" t="str">
        <f t="shared" si="10"/>
        <v>--</v>
      </c>
      <c r="W30" s="249" t="str">
        <f t="shared" si="11"/>
        <v>--</v>
      </c>
      <c r="X30" s="254" t="str">
        <f t="shared" si="12"/>
        <v>--</v>
      </c>
      <c r="Y30" s="259" t="str">
        <f t="shared" si="13"/>
        <v>--</v>
      </c>
      <c r="Z30" s="446">
        <f t="shared" si="15"/>
      </c>
      <c r="AA30" s="31">
        <f t="shared" si="14"/>
      </c>
      <c r="AB30" s="9"/>
    </row>
    <row r="31" spans="1:28" s="8" customFormat="1" ht="15">
      <c r="A31" s="7"/>
      <c r="B31" s="69"/>
      <c r="C31" s="428"/>
      <c r="D31" s="425"/>
      <c r="E31" s="425"/>
      <c r="F31" s="429"/>
      <c r="G31" s="434"/>
      <c r="H31" s="435"/>
      <c r="I31" s="200">
        <f t="shared" si="0"/>
        <v>55.1395</v>
      </c>
      <c r="J31" s="439"/>
      <c r="K31" s="439"/>
      <c r="L31" s="13">
        <f t="shared" si="1"/>
      </c>
      <c r="M31" s="14">
        <f t="shared" si="2"/>
      </c>
      <c r="N31" s="441"/>
      <c r="O31" s="442">
        <f t="shared" si="3"/>
      </c>
      <c r="P31" s="216" t="str">
        <f t="shared" si="4"/>
        <v>--</v>
      </c>
      <c r="Q31" s="221" t="str">
        <f t="shared" si="5"/>
        <v>--</v>
      </c>
      <c r="R31" s="226" t="str">
        <f t="shared" si="6"/>
        <v>--</v>
      </c>
      <c r="S31" s="227" t="str">
        <f t="shared" si="7"/>
        <v>--</v>
      </c>
      <c r="T31" s="228" t="str">
        <f t="shared" si="8"/>
        <v>--</v>
      </c>
      <c r="U31" s="241" t="str">
        <f t="shared" si="9"/>
        <v>--</v>
      </c>
      <c r="V31" s="245" t="str">
        <f t="shared" si="10"/>
        <v>--</v>
      </c>
      <c r="W31" s="249" t="str">
        <f t="shared" si="11"/>
        <v>--</v>
      </c>
      <c r="X31" s="254" t="str">
        <f t="shared" si="12"/>
        <v>--</v>
      </c>
      <c r="Y31" s="259" t="str">
        <f t="shared" si="13"/>
        <v>--</v>
      </c>
      <c r="Z31" s="446">
        <f t="shared" si="15"/>
      </c>
      <c r="AA31" s="31">
        <f t="shared" si="14"/>
      </c>
      <c r="AB31" s="9"/>
    </row>
    <row r="32" spans="1:28" s="8" customFormat="1" ht="15">
      <c r="A32" s="7"/>
      <c r="B32" s="69"/>
      <c r="C32" s="428"/>
      <c r="D32" s="425"/>
      <c r="E32" s="425"/>
      <c r="F32" s="429"/>
      <c r="G32" s="434"/>
      <c r="H32" s="435"/>
      <c r="I32" s="200">
        <f t="shared" si="0"/>
        <v>55.1395</v>
      </c>
      <c r="J32" s="439"/>
      <c r="K32" s="439"/>
      <c r="L32" s="13">
        <f t="shared" si="1"/>
      </c>
      <c r="M32" s="14">
        <f t="shared" si="2"/>
      </c>
      <c r="N32" s="441"/>
      <c r="O32" s="442">
        <f t="shared" si="3"/>
      </c>
      <c r="P32" s="216" t="str">
        <f t="shared" si="4"/>
        <v>--</v>
      </c>
      <c r="Q32" s="221" t="str">
        <f t="shared" si="5"/>
        <v>--</v>
      </c>
      <c r="R32" s="226" t="str">
        <f t="shared" si="6"/>
        <v>--</v>
      </c>
      <c r="S32" s="227" t="str">
        <f t="shared" si="7"/>
        <v>--</v>
      </c>
      <c r="T32" s="228" t="str">
        <f t="shared" si="8"/>
        <v>--</v>
      </c>
      <c r="U32" s="241" t="str">
        <f t="shared" si="9"/>
        <v>--</v>
      </c>
      <c r="V32" s="245" t="str">
        <f t="shared" si="10"/>
        <v>--</v>
      </c>
      <c r="W32" s="249" t="str">
        <f t="shared" si="11"/>
        <v>--</v>
      </c>
      <c r="X32" s="254" t="str">
        <f t="shared" si="12"/>
        <v>--</v>
      </c>
      <c r="Y32" s="259" t="str">
        <f t="shared" si="13"/>
        <v>--</v>
      </c>
      <c r="Z32" s="446">
        <f t="shared" si="15"/>
      </c>
      <c r="AA32" s="31">
        <f t="shared" si="14"/>
      </c>
      <c r="AB32" s="9"/>
    </row>
    <row r="33" spans="1:28" s="8" customFormat="1" ht="15">
      <c r="A33" s="7"/>
      <c r="B33" s="69"/>
      <c r="C33" s="428"/>
      <c r="D33" s="425"/>
      <c r="E33" s="425"/>
      <c r="F33" s="429"/>
      <c r="G33" s="434"/>
      <c r="H33" s="435"/>
      <c r="I33" s="200">
        <f t="shared" si="0"/>
        <v>55.1395</v>
      </c>
      <c r="J33" s="439"/>
      <c r="K33" s="439"/>
      <c r="L33" s="13">
        <f t="shared" si="1"/>
      </c>
      <c r="M33" s="14">
        <f t="shared" si="2"/>
      </c>
      <c r="N33" s="441"/>
      <c r="O33" s="442">
        <f t="shared" si="3"/>
      </c>
      <c r="P33" s="216" t="str">
        <f t="shared" si="4"/>
        <v>--</v>
      </c>
      <c r="Q33" s="221" t="str">
        <f t="shared" si="5"/>
        <v>--</v>
      </c>
      <c r="R33" s="226" t="str">
        <f t="shared" si="6"/>
        <v>--</v>
      </c>
      <c r="S33" s="227" t="str">
        <f t="shared" si="7"/>
        <v>--</v>
      </c>
      <c r="T33" s="228" t="str">
        <f t="shared" si="8"/>
        <v>--</v>
      </c>
      <c r="U33" s="241" t="str">
        <f t="shared" si="9"/>
        <v>--</v>
      </c>
      <c r="V33" s="245" t="str">
        <f t="shared" si="10"/>
        <v>--</v>
      </c>
      <c r="W33" s="249" t="str">
        <f t="shared" si="11"/>
        <v>--</v>
      </c>
      <c r="X33" s="254" t="str">
        <f t="shared" si="12"/>
        <v>--</v>
      </c>
      <c r="Y33" s="259" t="str">
        <f t="shared" si="13"/>
        <v>--</v>
      </c>
      <c r="Z33" s="446">
        <f t="shared" si="15"/>
      </c>
      <c r="AA33" s="31">
        <f t="shared" si="14"/>
      </c>
      <c r="AB33" s="9"/>
    </row>
    <row r="34" spans="1:28" s="8" customFormat="1" ht="15">
      <c r="A34" s="7"/>
      <c r="B34" s="69"/>
      <c r="C34" s="428"/>
      <c r="D34" s="425"/>
      <c r="E34" s="425"/>
      <c r="F34" s="429"/>
      <c r="G34" s="434"/>
      <c r="H34" s="435"/>
      <c r="I34" s="200">
        <f t="shared" si="0"/>
        <v>55.1395</v>
      </c>
      <c r="J34" s="439"/>
      <c r="K34" s="439"/>
      <c r="L34" s="13">
        <f t="shared" si="1"/>
      </c>
      <c r="M34" s="14">
        <f t="shared" si="2"/>
      </c>
      <c r="N34" s="441"/>
      <c r="O34" s="442">
        <f t="shared" si="3"/>
      </c>
      <c r="P34" s="216" t="str">
        <f t="shared" si="4"/>
        <v>--</v>
      </c>
      <c r="Q34" s="221" t="str">
        <f t="shared" si="5"/>
        <v>--</v>
      </c>
      <c r="R34" s="226" t="str">
        <f t="shared" si="6"/>
        <v>--</v>
      </c>
      <c r="S34" s="227" t="str">
        <f t="shared" si="7"/>
        <v>--</v>
      </c>
      <c r="T34" s="228" t="str">
        <f t="shared" si="8"/>
        <v>--</v>
      </c>
      <c r="U34" s="241" t="str">
        <f t="shared" si="9"/>
        <v>--</v>
      </c>
      <c r="V34" s="245" t="str">
        <f t="shared" si="10"/>
        <v>--</v>
      </c>
      <c r="W34" s="249" t="str">
        <f t="shared" si="11"/>
        <v>--</v>
      </c>
      <c r="X34" s="254" t="str">
        <f t="shared" si="12"/>
        <v>--</v>
      </c>
      <c r="Y34" s="259" t="str">
        <f t="shared" si="13"/>
        <v>--</v>
      </c>
      <c r="Z34" s="446">
        <f t="shared" si="15"/>
      </c>
      <c r="AA34" s="31">
        <f t="shared" si="14"/>
      </c>
      <c r="AB34" s="9"/>
    </row>
    <row r="35" spans="1:28" s="8" customFormat="1" ht="15">
      <c r="A35" s="7"/>
      <c r="B35" s="69"/>
      <c r="C35" s="428"/>
      <c r="D35" s="425"/>
      <c r="E35" s="425"/>
      <c r="F35" s="429"/>
      <c r="G35" s="434"/>
      <c r="H35" s="435"/>
      <c r="I35" s="200">
        <f t="shared" si="0"/>
        <v>55.1395</v>
      </c>
      <c r="J35" s="439"/>
      <c r="K35" s="439"/>
      <c r="L35" s="13">
        <f t="shared" si="1"/>
      </c>
      <c r="M35" s="14">
        <f t="shared" si="2"/>
      </c>
      <c r="N35" s="441"/>
      <c r="O35" s="442">
        <f t="shared" si="3"/>
      </c>
      <c r="P35" s="216" t="str">
        <f t="shared" si="4"/>
        <v>--</v>
      </c>
      <c r="Q35" s="221" t="str">
        <f t="shared" si="5"/>
        <v>--</v>
      </c>
      <c r="R35" s="226" t="str">
        <f t="shared" si="6"/>
        <v>--</v>
      </c>
      <c r="S35" s="227" t="str">
        <f t="shared" si="7"/>
        <v>--</v>
      </c>
      <c r="T35" s="228" t="str">
        <f t="shared" si="8"/>
        <v>--</v>
      </c>
      <c r="U35" s="241" t="str">
        <f t="shared" si="9"/>
        <v>--</v>
      </c>
      <c r="V35" s="245" t="str">
        <f t="shared" si="10"/>
        <v>--</v>
      </c>
      <c r="W35" s="249" t="str">
        <f t="shared" si="11"/>
        <v>--</v>
      </c>
      <c r="X35" s="254" t="str">
        <f t="shared" si="12"/>
        <v>--</v>
      </c>
      <c r="Y35" s="259" t="str">
        <f t="shared" si="13"/>
        <v>--</v>
      </c>
      <c r="Z35" s="446">
        <f t="shared" si="15"/>
      </c>
      <c r="AA35" s="31">
        <f t="shared" si="14"/>
      </c>
      <c r="AB35" s="9"/>
    </row>
    <row r="36" spans="1:28" s="8" customFormat="1" ht="15">
      <c r="A36" s="7"/>
      <c r="B36" s="69"/>
      <c r="C36" s="428"/>
      <c r="D36" s="425"/>
      <c r="E36" s="425"/>
      <c r="F36" s="429"/>
      <c r="G36" s="434"/>
      <c r="H36" s="435"/>
      <c r="I36" s="200">
        <f t="shared" si="0"/>
        <v>55.1395</v>
      </c>
      <c r="J36" s="439"/>
      <c r="K36" s="439"/>
      <c r="L36" s="13">
        <f t="shared" si="1"/>
      </c>
      <c r="M36" s="14">
        <f t="shared" si="2"/>
      </c>
      <c r="N36" s="441"/>
      <c r="O36" s="442">
        <f t="shared" si="3"/>
      </c>
      <c r="P36" s="216" t="str">
        <f t="shared" si="4"/>
        <v>--</v>
      </c>
      <c r="Q36" s="221" t="str">
        <f t="shared" si="5"/>
        <v>--</v>
      </c>
      <c r="R36" s="226" t="str">
        <f t="shared" si="6"/>
        <v>--</v>
      </c>
      <c r="S36" s="227" t="str">
        <f t="shared" si="7"/>
        <v>--</v>
      </c>
      <c r="T36" s="228" t="str">
        <f t="shared" si="8"/>
        <v>--</v>
      </c>
      <c r="U36" s="241" t="str">
        <f t="shared" si="9"/>
        <v>--</v>
      </c>
      <c r="V36" s="245" t="str">
        <f t="shared" si="10"/>
        <v>--</v>
      </c>
      <c r="W36" s="249" t="str">
        <f t="shared" si="11"/>
        <v>--</v>
      </c>
      <c r="X36" s="254" t="str">
        <f t="shared" si="12"/>
        <v>--</v>
      </c>
      <c r="Y36" s="259" t="str">
        <f t="shared" si="13"/>
        <v>--</v>
      </c>
      <c r="Z36" s="446">
        <f t="shared" si="15"/>
      </c>
      <c r="AA36" s="31">
        <f t="shared" si="14"/>
      </c>
      <c r="AB36" s="9"/>
    </row>
    <row r="37" spans="1:28" s="8" customFormat="1" ht="15">
      <c r="A37" s="7"/>
      <c r="B37" s="69"/>
      <c r="C37" s="428"/>
      <c r="D37" s="425"/>
      <c r="E37" s="425"/>
      <c r="F37" s="429"/>
      <c r="G37" s="434"/>
      <c r="H37" s="435"/>
      <c r="I37" s="200">
        <f t="shared" si="0"/>
        <v>55.1395</v>
      </c>
      <c r="J37" s="439"/>
      <c r="K37" s="439"/>
      <c r="L37" s="13">
        <f t="shared" si="1"/>
      </c>
      <c r="M37" s="14">
        <f t="shared" si="2"/>
      </c>
      <c r="N37" s="441"/>
      <c r="O37" s="442">
        <f t="shared" si="3"/>
      </c>
      <c r="P37" s="216" t="str">
        <f t="shared" si="4"/>
        <v>--</v>
      </c>
      <c r="Q37" s="221" t="str">
        <f t="shared" si="5"/>
        <v>--</v>
      </c>
      <c r="R37" s="226" t="str">
        <f t="shared" si="6"/>
        <v>--</v>
      </c>
      <c r="S37" s="227" t="str">
        <f t="shared" si="7"/>
        <v>--</v>
      </c>
      <c r="T37" s="228" t="str">
        <f t="shared" si="8"/>
        <v>--</v>
      </c>
      <c r="U37" s="241" t="str">
        <f t="shared" si="9"/>
        <v>--</v>
      </c>
      <c r="V37" s="245" t="str">
        <f t="shared" si="10"/>
        <v>--</v>
      </c>
      <c r="W37" s="249" t="str">
        <f t="shared" si="11"/>
        <v>--</v>
      </c>
      <c r="X37" s="254" t="str">
        <f t="shared" si="12"/>
        <v>--</v>
      </c>
      <c r="Y37" s="259" t="str">
        <f t="shared" si="13"/>
        <v>--</v>
      </c>
      <c r="Z37" s="446">
        <f t="shared" si="15"/>
      </c>
      <c r="AA37" s="31">
        <f t="shared" si="14"/>
      </c>
      <c r="AB37" s="9"/>
    </row>
    <row r="38" spans="1:28" s="8" customFormat="1" ht="15">
      <c r="A38" s="7"/>
      <c r="B38" s="69"/>
      <c r="C38" s="428"/>
      <c r="D38" s="425"/>
      <c r="E38" s="425"/>
      <c r="F38" s="429"/>
      <c r="G38" s="434"/>
      <c r="H38" s="435"/>
      <c r="I38" s="200">
        <f t="shared" si="0"/>
        <v>55.1395</v>
      </c>
      <c r="J38" s="439"/>
      <c r="K38" s="439"/>
      <c r="L38" s="13">
        <f t="shared" si="1"/>
      </c>
      <c r="M38" s="14">
        <f t="shared" si="2"/>
      </c>
      <c r="N38" s="441"/>
      <c r="O38" s="442">
        <f t="shared" si="3"/>
      </c>
      <c r="P38" s="216" t="str">
        <f t="shared" si="4"/>
        <v>--</v>
      </c>
      <c r="Q38" s="221" t="str">
        <f t="shared" si="5"/>
        <v>--</v>
      </c>
      <c r="R38" s="226" t="str">
        <f t="shared" si="6"/>
        <v>--</v>
      </c>
      <c r="S38" s="227" t="str">
        <f t="shared" si="7"/>
        <v>--</v>
      </c>
      <c r="T38" s="228" t="str">
        <f t="shared" si="8"/>
        <v>--</v>
      </c>
      <c r="U38" s="241" t="str">
        <f t="shared" si="9"/>
        <v>--</v>
      </c>
      <c r="V38" s="245" t="str">
        <f t="shared" si="10"/>
        <v>--</v>
      </c>
      <c r="W38" s="249" t="str">
        <f t="shared" si="11"/>
        <v>--</v>
      </c>
      <c r="X38" s="254" t="str">
        <f t="shared" si="12"/>
        <v>--</v>
      </c>
      <c r="Y38" s="259" t="str">
        <f t="shared" si="13"/>
        <v>--</v>
      </c>
      <c r="Z38" s="446">
        <f t="shared" si="15"/>
      </c>
      <c r="AA38" s="31">
        <f t="shared" si="14"/>
      </c>
      <c r="AB38" s="9"/>
    </row>
    <row r="39" spans="1:28" s="8" customFormat="1" ht="15">
      <c r="A39" s="7"/>
      <c r="B39" s="69"/>
      <c r="C39" s="428"/>
      <c r="D39" s="425"/>
      <c r="E39" s="425"/>
      <c r="F39" s="429"/>
      <c r="G39" s="434"/>
      <c r="H39" s="435"/>
      <c r="I39" s="200">
        <f t="shared" si="0"/>
        <v>55.1395</v>
      </c>
      <c r="J39" s="439"/>
      <c r="K39" s="439"/>
      <c r="L39" s="13">
        <f t="shared" si="1"/>
      </c>
      <c r="M39" s="14">
        <f t="shared" si="2"/>
      </c>
      <c r="N39" s="441"/>
      <c r="O39" s="442">
        <f t="shared" si="3"/>
      </c>
      <c r="P39" s="216" t="str">
        <f t="shared" si="4"/>
        <v>--</v>
      </c>
      <c r="Q39" s="221" t="str">
        <f t="shared" si="5"/>
        <v>--</v>
      </c>
      <c r="R39" s="226" t="str">
        <f t="shared" si="6"/>
        <v>--</v>
      </c>
      <c r="S39" s="227" t="str">
        <f t="shared" si="7"/>
        <v>--</v>
      </c>
      <c r="T39" s="228" t="str">
        <f t="shared" si="8"/>
        <v>--</v>
      </c>
      <c r="U39" s="241" t="str">
        <f t="shared" si="9"/>
        <v>--</v>
      </c>
      <c r="V39" s="245" t="str">
        <f t="shared" si="10"/>
        <v>--</v>
      </c>
      <c r="W39" s="249" t="str">
        <f t="shared" si="11"/>
        <v>--</v>
      </c>
      <c r="X39" s="254" t="str">
        <f t="shared" si="12"/>
        <v>--</v>
      </c>
      <c r="Y39" s="259" t="str">
        <f t="shared" si="13"/>
        <v>--</v>
      </c>
      <c r="Z39" s="446">
        <f t="shared" si="15"/>
      </c>
      <c r="AA39" s="31">
        <f t="shared" si="14"/>
      </c>
      <c r="AB39" s="9"/>
    </row>
    <row r="40" spans="1:28" s="8" customFormat="1" ht="15">
      <c r="A40" s="7"/>
      <c r="B40" s="69"/>
      <c r="C40" s="428"/>
      <c r="D40" s="425"/>
      <c r="E40" s="425"/>
      <c r="F40" s="429"/>
      <c r="G40" s="434"/>
      <c r="H40" s="435"/>
      <c r="I40" s="200">
        <f t="shared" si="0"/>
        <v>55.1395</v>
      </c>
      <c r="J40" s="439"/>
      <c r="K40" s="439"/>
      <c r="L40" s="13">
        <f t="shared" si="1"/>
      </c>
      <c r="M40" s="14">
        <f t="shared" si="2"/>
      </c>
      <c r="N40" s="441"/>
      <c r="O40" s="442">
        <f t="shared" si="3"/>
      </c>
      <c r="P40" s="216" t="str">
        <f t="shared" si="4"/>
        <v>--</v>
      </c>
      <c r="Q40" s="221" t="str">
        <f t="shared" si="5"/>
        <v>--</v>
      </c>
      <c r="R40" s="226" t="str">
        <f t="shared" si="6"/>
        <v>--</v>
      </c>
      <c r="S40" s="227" t="str">
        <f t="shared" si="7"/>
        <v>--</v>
      </c>
      <c r="T40" s="228" t="str">
        <f t="shared" si="8"/>
        <v>--</v>
      </c>
      <c r="U40" s="241" t="str">
        <f t="shared" si="9"/>
        <v>--</v>
      </c>
      <c r="V40" s="245" t="str">
        <f t="shared" si="10"/>
        <v>--</v>
      </c>
      <c r="W40" s="249" t="str">
        <f t="shared" si="11"/>
        <v>--</v>
      </c>
      <c r="X40" s="254" t="str">
        <f t="shared" si="12"/>
        <v>--</v>
      </c>
      <c r="Y40" s="259" t="str">
        <f t="shared" si="13"/>
        <v>--</v>
      </c>
      <c r="Z40" s="446">
        <f t="shared" si="15"/>
      </c>
      <c r="AA40" s="31">
        <f t="shared" si="14"/>
      </c>
      <c r="AB40" s="9"/>
    </row>
    <row r="41" spans="1:28" s="8" customFormat="1" ht="15.75" thickBot="1">
      <c r="A41" s="7"/>
      <c r="B41" s="69"/>
      <c r="C41" s="430"/>
      <c r="D41" s="430"/>
      <c r="E41" s="430"/>
      <c r="F41" s="431"/>
      <c r="G41" s="436"/>
      <c r="H41" s="437"/>
      <c r="I41" s="201"/>
      <c r="J41" s="440"/>
      <c r="K41" s="440"/>
      <c r="L41" s="16"/>
      <c r="M41" s="16"/>
      <c r="N41" s="440"/>
      <c r="O41" s="443"/>
      <c r="P41" s="217"/>
      <c r="Q41" s="222"/>
      <c r="R41" s="229"/>
      <c r="S41" s="230"/>
      <c r="T41" s="231"/>
      <c r="U41" s="242"/>
      <c r="V41" s="246"/>
      <c r="W41" s="250"/>
      <c r="X41" s="255"/>
      <c r="Y41" s="260"/>
      <c r="Z41" s="447"/>
      <c r="AA41" s="110"/>
      <c r="AB41" s="9"/>
    </row>
    <row r="42" spans="1:28" s="8" customFormat="1" ht="17.25" thickBot="1" thickTop="1">
      <c r="A42" s="7"/>
      <c r="B42" s="69"/>
      <c r="C42" s="524" t="s">
        <v>222</v>
      </c>
      <c r="D42" s="523" t="s">
        <v>221</v>
      </c>
      <c r="E42" s="188"/>
      <c r="F42" s="187"/>
      <c r="G42" s="7"/>
      <c r="H42" s="7"/>
      <c r="I42" s="7"/>
      <c r="J42" s="7"/>
      <c r="K42" s="7"/>
      <c r="L42" s="7"/>
      <c r="M42" s="7"/>
      <c r="N42" s="7"/>
      <c r="O42" s="7"/>
      <c r="P42" s="234">
        <f aca="true" t="shared" si="16" ref="P42:Y42">SUM(P19:P41)</f>
        <v>1039.871651173092</v>
      </c>
      <c r="Q42" s="235">
        <f t="shared" si="16"/>
        <v>0</v>
      </c>
      <c r="R42" s="261">
        <f t="shared" si="16"/>
        <v>2397.906687059784</v>
      </c>
      <c r="S42" s="261">
        <f t="shared" si="16"/>
        <v>5707.017915202286</v>
      </c>
      <c r="T42" s="261">
        <f t="shared" si="16"/>
        <v>0</v>
      </c>
      <c r="U42" s="262">
        <f t="shared" si="16"/>
        <v>0</v>
      </c>
      <c r="V42" s="262">
        <f t="shared" si="16"/>
        <v>0</v>
      </c>
      <c r="W42" s="262">
        <f t="shared" si="16"/>
        <v>0</v>
      </c>
      <c r="X42" s="263">
        <f t="shared" si="16"/>
        <v>0</v>
      </c>
      <c r="Y42" s="264">
        <f t="shared" si="16"/>
        <v>0</v>
      </c>
      <c r="Z42" s="7"/>
      <c r="AA42" s="197">
        <f>ROUND(SUM(AA19:AA41),2)</f>
        <v>99690.94</v>
      </c>
      <c r="AB42" s="9"/>
    </row>
    <row r="43" spans="1:28" s="192" customFormat="1" ht="13.5" thickTop="1">
      <c r="A43" s="190"/>
      <c r="B43" s="191"/>
      <c r="C43" s="188"/>
      <c r="D43" s="188"/>
      <c r="E43" s="188"/>
      <c r="F43" s="189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3"/>
    </row>
    <row r="44" spans="1:28" s="8" customFormat="1" ht="13.5" thickBot="1">
      <c r="A44" s="7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8"/>
    </row>
    <row r="45" spans="1:2" ht="13.5" thickTop="1">
      <c r="A45" s="1"/>
      <c r="B45" s="1"/>
    </row>
  </sheetData>
  <sheetProtection/>
  <printOptions/>
  <pageMargins left="0.56" right="0.1968503937007874" top="0.7874015748031497" bottom="0.7874015748031497" header="0.5118110236220472" footer="0.5118110236220472"/>
  <pageSetup fitToHeight="1" fitToWidth="1" horizontalDpi="300" verticalDpi="300" orientation="landscape" paperSize="9" scale="70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AH37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0.9921875" style="0" customWidth="1"/>
    <col min="2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15.7109375" style="0" customWidth="1"/>
    <col min="8" max="8" width="7.28125" style="0" customWidth="1"/>
    <col min="9" max="9" width="12.7109375" style="0" customWidth="1"/>
    <col min="10" max="10" width="13.28125" style="0" hidden="1" customWidth="1"/>
    <col min="11" max="11" width="18.57421875" style="0" customWidth="1"/>
    <col min="12" max="12" width="15.7109375" style="0" customWidth="1"/>
    <col min="13" max="15" width="9.7109375" style="0" customWidth="1"/>
    <col min="16" max="16" width="5.8515625" style="0" customWidth="1"/>
    <col min="17" max="17" width="6.421875" style="0" customWidth="1"/>
    <col min="18" max="18" width="6.57421875" style="0" customWidth="1"/>
    <col min="19" max="19" width="12.140625" style="0" hidden="1" customWidth="1"/>
    <col min="20" max="20" width="15.140625" style="0" hidden="1" customWidth="1"/>
    <col min="21" max="21" width="16.28125" style="0" hidden="1" customWidth="1"/>
    <col min="22" max="22" width="16.8515625" style="0" hidden="1" customWidth="1"/>
    <col min="23" max="27" width="15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6" customFormat="1" ht="26.25"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</row>
    <row r="2" spans="2:30" s="36" customFormat="1" ht="26.25">
      <c r="B2" s="507" t="str">
        <f>+'TOT-0413'!B2</f>
        <v>ANEXO I al Memorandum D.T.E.E. N°  475 / 2014</v>
      </c>
      <c r="C2" s="39"/>
      <c r="D2" s="39"/>
      <c r="E2" s="159"/>
      <c r="F2" s="159"/>
      <c r="G2" s="114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</row>
    <row r="3" spans="5:30" s="8" customFormat="1" ht="12.75"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0" s="43" customFormat="1" ht="11.25">
      <c r="A4" s="508" t="s">
        <v>152</v>
      </c>
      <c r="B4" s="116"/>
      <c r="C4" s="508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1:30" s="43" customFormat="1" ht="11.25">
      <c r="A5" s="508" t="s">
        <v>153</v>
      </c>
      <c r="B5" s="116"/>
      <c r="C5" s="116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1:30" s="8" customFormat="1" ht="13.5" thickBo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30" s="8" customFormat="1" ht="13.5" thickTop="1">
      <c r="A7" s="123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7"/>
    </row>
    <row r="8" spans="1:30" s="47" customFormat="1" ht="20.25">
      <c r="A8" s="142"/>
      <c r="B8" s="143"/>
      <c r="C8" s="129"/>
      <c r="D8" s="129"/>
      <c r="E8" s="129"/>
      <c r="F8" s="20" t="s">
        <v>19</v>
      </c>
      <c r="G8" s="20"/>
      <c r="H8" s="129"/>
      <c r="I8" s="142"/>
      <c r="J8" s="142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44"/>
    </row>
    <row r="9" spans="1:30" s="47" customFormat="1" ht="20.25">
      <c r="A9" s="142"/>
      <c r="B9" s="143"/>
      <c r="C9" s="129"/>
      <c r="D9" s="129"/>
      <c r="E9" s="129"/>
      <c r="F9" s="20"/>
      <c r="G9" s="20"/>
      <c r="H9" s="129"/>
      <c r="I9" s="142"/>
      <c r="J9" s="142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44"/>
    </row>
    <row r="10" spans="1:30" s="47" customFormat="1" ht="20.25">
      <c r="A10" s="142"/>
      <c r="B10" s="143"/>
      <c r="C10" s="129"/>
      <c r="D10" s="129"/>
      <c r="E10" s="129"/>
      <c r="F10" s="20" t="s">
        <v>42</v>
      </c>
      <c r="G10" s="20"/>
      <c r="H10" s="129"/>
      <c r="I10" s="142"/>
      <c r="J10" s="142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44"/>
    </row>
    <row r="11" spans="1:30" s="8" customFormat="1" ht="12.75">
      <c r="A11" s="123"/>
      <c r="B11" s="128"/>
      <c r="C11" s="27"/>
      <c r="D11" s="27"/>
      <c r="E11" s="27"/>
      <c r="F11" s="27"/>
      <c r="G11" s="27"/>
      <c r="H11" s="27"/>
      <c r="I11" s="123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33"/>
    </row>
    <row r="12" spans="1:30" s="47" customFormat="1" ht="20.25">
      <c r="A12" s="142"/>
      <c r="B12" s="143"/>
      <c r="C12" s="129"/>
      <c r="D12" s="129"/>
      <c r="E12" s="129"/>
      <c r="F12" s="160" t="s">
        <v>43</v>
      </c>
      <c r="G12" s="20"/>
      <c r="H12" s="142"/>
      <c r="I12" s="142"/>
      <c r="J12" s="145"/>
      <c r="K12" s="129"/>
      <c r="L12" s="142"/>
      <c r="M12" s="142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44"/>
    </row>
    <row r="13" spans="1:30" s="8" customFormat="1" ht="12.75">
      <c r="A13" s="123"/>
      <c r="B13" s="128"/>
      <c r="C13" s="27"/>
      <c r="D13" s="27"/>
      <c r="E13" s="27"/>
      <c r="F13" s="27"/>
      <c r="G13" s="27"/>
      <c r="H13" s="27"/>
      <c r="I13" s="123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33"/>
    </row>
    <row r="14" spans="1:30" s="47" customFormat="1" ht="20.25">
      <c r="A14" s="142"/>
      <c r="B14" s="143"/>
      <c r="C14" s="129"/>
      <c r="D14" s="129"/>
      <c r="E14" s="129"/>
      <c r="F14" s="160" t="s">
        <v>44</v>
      </c>
      <c r="G14" s="20"/>
      <c r="H14" s="142"/>
      <c r="I14" s="142"/>
      <c r="J14" s="145"/>
      <c r="K14" s="129"/>
      <c r="L14" s="142"/>
      <c r="M14" s="142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44"/>
    </row>
    <row r="15" spans="1:30" s="8" customFormat="1" ht="12.75">
      <c r="A15" s="123"/>
      <c r="B15" s="128"/>
      <c r="C15" s="27"/>
      <c r="D15" s="27"/>
      <c r="E15" s="27"/>
      <c r="F15" s="131"/>
      <c r="G15" s="131"/>
      <c r="H15" s="131"/>
      <c r="I15" s="132"/>
      <c r="J15" s="130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33"/>
    </row>
    <row r="16" spans="1:30" s="54" customFormat="1" ht="19.5">
      <c r="A16" s="146"/>
      <c r="B16" s="154" t="str">
        <f>'TOT-0413'!B14</f>
        <v>Desde el 01 al 30 de abril de 2013</v>
      </c>
      <c r="C16" s="155"/>
      <c r="D16" s="155"/>
      <c r="E16" s="155"/>
      <c r="F16" s="155"/>
      <c r="G16" s="155"/>
      <c r="H16" s="155"/>
      <c r="I16" s="155"/>
      <c r="J16" s="155"/>
      <c r="K16" s="156"/>
      <c r="L16" s="157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8"/>
    </row>
    <row r="17" spans="1:30" s="8" customFormat="1" ht="14.25" thickBot="1">
      <c r="A17" s="123"/>
      <c r="B17" s="128"/>
      <c r="C17" s="27"/>
      <c r="D17" s="27"/>
      <c r="E17" s="27"/>
      <c r="F17" s="27"/>
      <c r="G17" s="27"/>
      <c r="H17" s="27"/>
      <c r="I17" s="133"/>
      <c r="J17" s="27"/>
      <c r="K17" s="139"/>
      <c r="L17" s="140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33"/>
    </row>
    <row r="18" spans="1:30" s="8" customFormat="1" ht="14.25" thickBot="1" thickTop="1">
      <c r="A18" s="123"/>
      <c r="B18" s="128"/>
      <c r="C18" s="27"/>
      <c r="D18" s="27"/>
      <c r="E18" s="27"/>
      <c r="F18" s="147" t="s">
        <v>45</v>
      </c>
      <c r="G18" s="148"/>
      <c r="H18" s="149"/>
      <c r="I18" s="150">
        <v>0.768</v>
      </c>
      <c r="J18" s="123"/>
      <c r="K18" s="27"/>
      <c r="L18" s="415"/>
      <c r="M18" s="41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33"/>
    </row>
    <row r="19" spans="1:30" s="8" customFormat="1" ht="14.25" thickBot="1" thickTop="1">
      <c r="A19" s="123"/>
      <c r="B19" s="128"/>
      <c r="C19" s="27"/>
      <c r="D19" s="27"/>
      <c r="E19" s="27"/>
      <c r="F19" s="151" t="s">
        <v>46</v>
      </c>
      <c r="G19" s="152"/>
      <c r="H19" s="152"/>
      <c r="I19" s="153">
        <f>30*'TOT-0413'!B13</f>
        <v>30</v>
      </c>
      <c r="J19" s="27"/>
      <c r="K19" s="194" t="str">
        <f>IF(I19=30," ",IF(I19=60,"  Coeficiente duplicado por tasa de falla &gt;4 Sal. x año/100 km.","REVISAR COEFICIENTE"))</f>
        <v> 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34"/>
      <c r="X19" s="134"/>
      <c r="Y19" s="134"/>
      <c r="Z19" s="134"/>
      <c r="AA19" s="134"/>
      <c r="AB19" s="134"/>
      <c r="AC19" s="134"/>
      <c r="AD19" s="33"/>
    </row>
    <row r="20" spans="1:30" s="8" customFormat="1" ht="14.25" thickBot="1" thickTop="1">
      <c r="A20" s="123"/>
      <c r="B20" s="128"/>
      <c r="C20" s="521">
        <v>3</v>
      </c>
      <c r="D20" s="521">
        <v>4</v>
      </c>
      <c r="E20" s="521">
        <v>5</v>
      </c>
      <c r="F20" s="521">
        <v>6</v>
      </c>
      <c r="G20" s="521">
        <v>7</v>
      </c>
      <c r="H20" s="521">
        <v>8</v>
      </c>
      <c r="I20" s="521">
        <v>9</v>
      </c>
      <c r="J20" s="521">
        <v>10</v>
      </c>
      <c r="K20" s="521">
        <v>11</v>
      </c>
      <c r="L20" s="521">
        <v>12</v>
      </c>
      <c r="M20" s="521">
        <v>13</v>
      </c>
      <c r="N20" s="521">
        <v>14</v>
      </c>
      <c r="O20" s="521">
        <v>15</v>
      </c>
      <c r="P20" s="521">
        <v>16</v>
      </c>
      <c r="Q20" s="521">
        <v>17</v>
      </c>
      <c r="R20" s="521">
        <v>18</v>
      </c>
      <c r="S20" s="521">
        <v>19</v>
      </c>
      <c r="T20" s="521">
        <v>20</v>
      </c>
      <c r="U20" s="521">
        <v>21</v>
      </c>
      <c r="V20" s="521">
        <v>22</v>
      </c>
      <c r="W20" s="521">
        <v>23</v>
      </c>
      <c r="X20" s="521">
        <v>24</v>
      </c>
      <c r="Y20" s="521">
        <v>25</v>
      </c>
      <c r="Z20" s="521">
        <v>26</v>
      </c>
      <c r="AA20" s="521">
        <v>27</v>
      </c>
      <c r="AB20" s="521">
        <v>28</v>
      </c>
      <c r="AC20" s="521">
        <v>29</v>
      </c>
      <c r="AD20" s="33"/>
    </row>
    <row r="21" spans="1:30" s="8" customFormat="1" ht="33.75" customHeight="1" thickBot="1" thickTop="1">
      <c r="A21" s="123"/>
      <c r="B21" s="128"/>
      <c r="C21" s="117" t="s">
        <v>24</v>
      </c>
      <c r="D21" s="117" t="s">
        <v>151</v>
      </c>
      <c r="E21" s="117" t="s">
        <v>150</v>
      </c>
      <c r="F21" s="176" t="s">
        <v>47</v>
      </c>
      <c r="G21" s="175" t="s">
        <v>48</v>
      </c>
      <c r="H21" s="177" t="s">
        <v>49</v>
      </c>
      <c r="I21" s="178" t="s">
        <v>25</v>
      </c>
      <c r="J21" s="198" t="s">
        <v>27</v>
      </c>
      <c r="K21" s="175" t="s">
        <v>28</v>
      </c>
      <c r="L21" s="175" t="s">
        <v>29</v>
      </c>
      <c r="M21" s="176" t="s">
        <v>50</v>
      </c>
      <c r="N21" s="176" t="s">
        <v>51</v>
      </c>
      <c r="O21" s="119" t="s">
        <v>32</v>
      </c>
      <c r="P21" s="175" t="s">
        <v>52</v>
      </c>
      <c r="Q21" s="176" t="s">
        <v>33</v>
      </c>
      <c r="R21" s="175" t="s">
        <v>53</v>
      </c>
      <c r="S21" s="266" t="s">
        <v>54</v>
      </c>
      <c r="T21" s="270" t="s">
        <v>34</v>
      </c>
      <c r="U21" s="276" t="s">
        <v>35</v>
      </c>
      <c r="V21" s="223" t="s">
        <v>55</v>
      </c>
      <c r="W21" s="225"/>
      <c r="X21" s="290" t="s">
        <v>56</v>
      </c>
      <c r="Y21" s="291"/>
      <c r="Z21" s="301" t="s">
        <v>38</v>
      </c>
      <c r="AA21" s="307" t="s">
        <v>39</v>
      </c>
      <c r="AB21" s="178" t="s">
        <v>40</v>
      </c>
      <c r="AC21" s="178" t="s">
        <v>41</v>
      </c>
      <c r="AD21" s="33"/>
    </row>
    <row r="22" spans="1:30" s="8" customFormat="1" ht="15.75" thickTop="1">
      <c r="A22" s="123"/>
      <c r="B22" s="128"/>
      <c r="C22" s="449"/>
      <c r="D22" s="449"/>
      <c r="E22" s="449"/>
      <c r="F22" s="450"/>
      <c r="G22" s="451"/>
      <c r="H22" s="451"/>
      <c r="I22" s="451"/>
      <c r="J22" s="202"/>
      <c r="K22" s="457"/>
      <c r="L22" s="451"/>
      <c r="M22" s="22"/>
      <c r="N22" s="22"/>
      <c r="O22" s="451"/>
      <c r="P22" s="451"/>
      <c r="Q22" s="451"/>
      <c r="R22" s="451"/>
      <c r="S22" s="267"/>
      <c r="T22" s="271"/>
      <c r="U22" s="277"/>
      <c r="V22" s="288"/>
      <c r="W22" s="282"/>
      <c r="X22" s="292"/>
      <c r="Y22" s="293"/>
      <c r="Z22" s="302"/>
      <c r="AA22" s="308"/>
      <c r="AB22" s="21"/>
      <c r="AC22" s="35"/>
      <c r="AD22" s="33"/>
    </row>
    <row r="23" spans="1:30" s="8" customFormat="1" ht="15">
      <c r="A23" s="123"/>
      <c r="B23" s="128"/>
      <c r="C23" s="449"/>
      <c r="D23" s="449"/>
      <c r="E23" s="449"/>
      <c r="F23" s="452"/>
      <c r="G23" s="453"/>
      <c r="H23" s="453"/>
      <c r="I23" s="453"/>
      <c r="J23" s="203"/>
      <c r="K23" s="452"/>
      <c r="L23" s="453"/>
      <c r="M23" s="18"/>
      <c r="N23" s="18"/>
      <c r="O23" s="453"/>
      <c r="P23" s="453"/>
      <c r="Q23" s="453"/>
      <c r="R23" s="453"/>
      <c r="S23" s="268"/>
      <c r="T23" s="272"/>
      <c r="U23" s="278"/>
      <c r="V23" s="289"/>
      <c r="W23" s="286"/>
      <c r="X23" s="294"/>
      <c r="Y23" s="295"/>
      <c r="Z23" s="303"/>
      <c r="AA23" s="309"/>
      <c r="AB23" s="17"/>
      <c r="AC23" s="29"/>
      <c r="AD23" s="33"/>
    </row>
    <row r="24" spans="1:30" s="8" customFormat="1" ht="15">
      <c r="A24" s="123"/>
      <c r="B24" s="128"/>
      <c r="C24" s="449">
        <v>26</v>
      </c>
      <c r="D24" s="449">
        <v>259389</v>
      </c>
      <c r="E24" s="449">
        <v>3125</v>
      </c>
      <c r="F24" s="434" t="s">
        <v>188</v>
      </c>
      <c r="G24" s="428" t="s">
        <v>189</v>
      </c>
      <c r="H24" s="454">
        <v>30</v>
      </c>
      <c r="I24" s="435" t="s">
        <v>185</v>
      </c>
      <c r="J24" s="200">
        <f aca="true" t="shared" si="0" ref="J24:J32">H24*$I$18</f>
        <v>23.04</v>
      </c>
      <c r="K24" s="458">
        <v>41368.38055555556</v>
      </c>
      <c r="L24" s="458">
        <v>41368.63611111111</v>
      </c>
      <c r="M24" s="24">
        <f aca="true" t="shared" si="1" ref="M24:M32">IF(F24="","",(L24-K24)*24)</f>
        <v>6.133333333244082</v>
      </c>
      <c r="N24" s="25">
        <f aca="true" t="shared" si="2" ref="N24:N32">IF(F24="","",ROUND((L24-K24)*24*60,0))</f>
        <v>368</v>
      </c>
      <c r="O24" s="459" t="s">
        <v>173</v>
      </c>
      <c r="P24" s="459" t="str">
        <f aca="true" t="shared" si="3" ref="P24:P32">IF(F24="","",IF(OR(O24="P",O24="RP"),"--","NO"))</f>
        <v>--</v>
      </c>
      <c r="Q24" s="459" t="s">
        <v>186</v>
      </c>
      <c r="R24" s="459" t="s">
        <v>217</v>
      </c>
      <c r="S24" s="269">
        <f aca="true" t="shared" si="4" ref="S24:S32">$I$19*IF(R24="SI",1,0.1)*IF(OR(O24="P",O24="RP"),0.1,1)</f>
        <v>0.30000000000000004</v>
      </c>
      <c r="T24" s="273">
        <f aca="true" t="shared" si="5" ref="T24:T32">IF(O24="P",J24*S24*ROUND(N24/60,2),"--")</f>
        <v>42.370560000000005</v>
      </c>
      <c r="U24" s="279" t="str">
        <f aca="true" t="shared" si="6" ref="U24:U32">IF(O24="RP",J24*S24*Q24/100*ROUND(N24/60,2),"--")</f>
        <v>--</v>
      </c>
      <c r="V24" s="226" t="str">
        <f aca="true" t="shared" si="7" ref="V24:V32">IF(AND(O24="F",P24="NO"),J24*S24,"--")</f>
        <v>--</v>
      </c>
      <c r="W24" s="287" t="str">
        <f aca="true" t="shared" si="8" ref="W24:W32">IF(O24="F",J24*S24*ROUND(N24/60,2),"--")</f>
        <v>--</v>
      </c>
      <c r="X24" s="296" t="str">
        <f aca="true" t="shared" si="9" ref="X24:X32">IF(AND(O24="R",P24="NO"),J24*S24*Q24/100,"--")</f>
        <v>--</v>
      </c>
      <c r="Y24" s="297" t="str">
        <f aca="true" t="shared" si="10" ref="Y24:Y32">IF(O24="R",J24*S24*ROUND(N24/60,2)*Q24/100,"--")</f>
        <v>--</v>
      </c>
      <c r="Z24" s="304" t="str">
        <f aca="true" t="shared" si="11" ref="Z24:Z32">IF(O24="RF",J24*S24*ROUND(N24/60,2),"--")</f>
        <v>--</v>
      </c>
      <c r="AA24" s="310" t="str">
        <f aca="true" t="shared" si="12" ref="AA24:AA32">IF(O24="RR",J24*S24*ROUND(N24/60,2)*Q24/100,"--")</f>
        <v>--</v>
      </c>
      <c r="AB24" s="23" t="s">
        <v>170</v>
      </c>
      <c r="AC24" s="29">
        <f aca="true" t="shared" si="13" ref="AC24:AC32">IF(F24="","",SUM(T24:AA24)*IF(AB24="SI",1,2))</f>
        <v>42.370560000000005</v>
      </c>
      <c r="AD24" s="320"/>
    </row>
    <row r="25" spans="1:30" s="8" customFormat="1" ht="15">
      <c r="A25" s="123"/>
      <c r="B25" s="128"/>
      <c r="C25" s="449">
        <v>27</v>
      </c>
      <c r="D25" s="449">
        <v>259392</v>
      </c>
      <c r="E25" s="449">
        <v>5268</v>
      </c>
      <c r="F25" s="434" t="s">
        <v>214</v>
      </c>
      <c r="G25" s="428" t="s">
        <v>215</v>
      </c>
      <c r="H25" s="522">
        <v>30</v>
      </c>
      <c r="I25" s="435" t="s">
        <v>185</v>
      </c>
      <c r="J25" s="200">
        <f t="shared" si="0"/>
        <v>23.04</v>
      </c>
      <c r="K25" s="458">
        <v>41369.45694444444</v>
      </c>
      <c r="L25" s="458">
        <v>41369.49722222222</v>
      </c>
      <c r="M25" s="24">
        <f t="shared" si="1"/>
        <v>0.9666666666744277</v>
      </c>
      <c r="N25" s="25">
        <f t="shared" si="2"/>
        <v>58</v>
      </c>
      <c r="O25" s="459" t="s">
        <v>173</v>
      </c>
      <c r="P25" s="459" t="str">
        <f t="shared" si="3"/>
        <v>--</v>
      </c>
      <c r="Q25" s="459" t="s">
        <v>186</v>
      </c>
      <c r="R25" s="459" t="s">
        <v>217</v>
      </c>
      <c r="S25" s="269">
        <f t="shared" si="4"/>
        <v>0.30000000000000004</v>
      </c>
      <c r="T25" s="273">
        <f t="shared" si="5"/>
        <v>6.70464</v>
      </c>
      <c r="U25" s="279" t="str">
        <f t="shared" si="6"/>
        <v>--</v>
      </c>
      <c r="V25" s="226" t="str">
        <f t="shared" si="7"/>
        <v>--</v>
      </c>
      <c r="W25" s="287" t="str">
        <f t="shared" si="8"/>
        <v>--</v>
      </c>
      <c r="X25" s="296" t="str">
        <f t="shared" si="9"/>
        <v>--</v>
      </c>
      <c r="Y25" s="297" t="str">
        <f t="shared" si="10"/>
        <v>--</v>
      </c>
      <c r="Z25" s="304" t="str">
        <f t="shared" si="11"/>
        <v>--</v>
      </c>
      <c r="AA25" s="310" t="str">
        <f t="shared" si="12"/>
        <v>--</v>
      </c>
      <c r="AB25" s="23" t="s">
        <v>170</v>
      </c>
      <c r="AC25" s="29">
        <f t="shared" si="13"/>
        <v>6.70464</v>
      </c>
      <c r="AD25" s="320"/>
    </row>
    <row r="26" spans="1:30" s="8" customFormat="1" ht="15">
      <c r="A26" s="123"/>
      <c r="B26" s="128"/>
      <c r="C26" s="449">
        <v>28</v>
      </c>
      <c r="D26" s="449">
        <v>259546</v>
      </c>
      <c r="E26" s="449">
        <v>5229</v>
      </c>
      <c r="F26" s="434" t="s">
        <v>216</v>
      </c>
      <c r="G26" s="428" t="s">
        <v>187</v>
      </c>
      <c r="H26" s="522">
        <v>30</v>
      </c>
      <c r="I26" s="435" t="s">
        <v>185</v>
      </c>
      <c r="J26" s="200">
        <f t="shared" si="0"/>
        <v>23.04</v>
      </c>
      <c r="K26" s="458">
        <v>41375.34444444445</v>
      </c>
      <c r="L26" s="458">
        <v>41375.638194444444</v>
      </c>
      <c r="M26" s="24">
        <f t="shared" si="1"/>
        <v>7.049999999930151</v>
      </c>
      <c r="N26" s="25">
        <f t="shared" si="2"/>
        <v>423</v>
      </c>
      <c r="O26" s="459" t="s">
        <v>190</v>
      </c>
      <c r="P26" s="459" t="str">
        <f t="shared" si="3"/>
        <v>--</v>
      </c>
      <c r="Q26" s="460">
        <v>60</v>
      </c>
      <c r="R26" s="459" t="s">
        <v>217</v>
      </c>
      <c r="S26" s="269">
        <f t="shared" si="4"/>
        <v>0.30000000000000004</v>
      </c>
      <c r="T26" s="273" t="str">
        <f t="shared" si="5"/>
        <v>--</v>
      </c>
      <c r="U26" s="279">
        <f t="shared" si="6"/>
        <v>29.237760000000005</v>
      </c>
      <c r="V26" s="226" t="str">
        <f t="shared" si="7"/>
        <v>--</v>
      </c>
      <c r="W26" s="287" t="str">
        <f t="shared" si="8"/>
        <v>--</v>
      </c>
      <c r="X26" s="296" t="str">
        <f t="shared" si="9"/>
        <v>--</v>
      </c>
      <c r="Y26" s="297" t="str">
        <f t="shared" si="10"/>
        <v>--</v>
      </c>
      <c r="Z26" s="304" t="str">
        <f t="shared" si="11"/>
        <v>--</v>
      </c>
      <c r="AA26" s="310" t="str">
        <f t="shared" si="12"/>
        <v>--</v>
      </c>
      <c r="AB26" s="23" t="s">
        <v>170</v>
      </c>
      <c r="AC26" s="29">
        <f t="shared" si="13"/>
        <v>29.237760000000005</v>
      </c>
      <c r="AD26" s="33"/>
    </row>
    <row r="27" spans="1:30" s="8" customFormat="1" ht="15">
      <c r="A27" s="123"/>
      <c r="B27" s="128"/>
      <c r="C27" s="449">
        <v>29</v>
      </c>
      <c r="D27" s="449">
        <v>259553</v>
      </c>
      <c r="E27" s="449">
        <v>4989</v>
      </c>
      <c r="F27" s="434" t="s">
        <v>216</v>
      </c>
      <c r="G27" s="428" t="s">
        <v>189</v>
      </c>
      <c r="H27" s="522">
        <v>30</v>
      </c>
      <c r="I27" s="435" t="s">
        <v>185</v>
      </c>
      <c r="J27" s="200">
        <f t="shared" si="0"/>
        <v>23.04</v>
      </c>
      <c r="K27" s="458">
        <v>41376.342361111114</v>
      </c>
      <c r="L27" s="458">
        <v>41376.552083333336</v>
      </c>
      <c r="M27" s="24">
        <f t="shared" si="1"/>
        <v>5.033333333325572</v>
      </c>
      <c r="N27" s="25">
        <f t="shared" si="2"/>
        <v>302</v>
      </c>
      <c r="O27" s="459" t="s">
        <v>190</v>
      </c>
      <c r="P27" s="459" t="str">
        <f t="shared" si="3"/>
        <v>--</v>
      </c>
      <c r="Q27" s="460">
        <v>60</v>
      </c>
      <c r="R27" s="459" t="s">
        <v>217</v>
      </c>
      <c r="S27" s="269">
        <f t="shared" si="4"/>
        <v>0.30000000000000004</v>
      </c>
      <c r="T27" s="273" t="str">
        <f t="shared" si="5"/>
        <v>--</v>
      </c>
      <c r="U27" s="279">
        <f t="shared" si="6"/>
        <v>20.860416000000004</v>
      </c>
      <c r="V27" s="226" t="str">
        <f t="shared" si="7"/>
        <v>--</v>
      </c>
      <c r="W27" s="287" t="str">
        <f t="shared" si="8"/>
        <v>--</v>
      </c>
      <c r="X27" s="296" t="str">
        <f t="shared" si="9"/>
        <v>--</v>
      </c>
      <c r="Y27" s="297" t="str">
        <f t="shared" si="10"/>
        <v>--</v>
      </c>
      <c r="Z27" s="304" t="str">
        <f t="shared" si="11"/>
        <v>--</v>
      </c>
      <c r="AA27" s="310" t="str">
        <f t="shared" si="12"/>
        <v>--</v>
      </c>
      <c r="AB27" s="23" t="s">
        <v>170</v>
      </c>
      <c r="AC27" s="29">
        <f t="shared" si="13"/>
        <v>20.860416000000004</v>
      </c>
      <c r="AD27" s="33"/>
    </row>
    <row r="28" spans="1:30" s="8" customFormat="1" ht="15">
      <c r="A28" s="123"/>
      <c r="B28" s="128"/>
      <c r="C28" s="449">
        <v>30</v>
      </c>
      <c r="D28" s="449">
        <v>259724</v>
      </c>
      <c r="E28" s="449">
        <v>3105</v>
      </c>
      <c r="F28" s="434" t="s">
        <v>191</v>
      </c>
      <c r="G28" s="428" t="s">
        <v>189</v>
      </c>
      <c r="H28" s="454">
        <v>30</v>
      </c>
      <c r="I28" s="435" t="s">
        <v>185</v>
      </c>
      <c r="J28" s="200">
        <f t="shared" si="0"/>
        <v>23.04</v>
      </c>
      <c r="K28" s="458">
        <v>41380.427777777775</v>
      </c>
      <c r="L28" s="458">
        <v>41380.55694444444</v>
      </c>
      <c r="M28" s="24">
        <f t="shared" si="1"/>
        <v>3.099999999976717</v>
      </c>
      <c r="N28" s="25">
        <f t="shared" si="2"/>
        <v>186</v>
      </c>
      <c r="O28" s="459" t="s">
        <v>173</v>
      </c>
      <c r="P28" s="459" t="str">
        <f t="shared" si="3"/>
        <v>--</v>
      </c>
      <c r="Q28" s="459" t="s">
        <v>186</v>
      </c>
      <c r="R28" s="459" t="s">
        <v>217</v>
      </c>
      <c r="S28" s="269">
        <f t="shared" si="4"/>
        <v>0.30000000000000004</v>
      </c>
      <c r="T28" s="273">
        <f t="shared" si="5"/>
        <v>21.427200000000003</v>
      </c>
      <c r="U28" s="279" t="str">
        <f t="shared" si="6"/>
        <v>--</v>
      </c>
      <c r="V28" s="226" t="str">
        <f t="shared" si="7"/>
        <v>--</v>
      </c>
      <c r="W28" s="287" t="str">
        <f t="shared" si="8"/>
        <v>--</v>
      </c>
      <c r="X28" s="296" t="str">
        <f t="shared" si="9"/>
        <v>--</v>
      </c>
      <c r="Y28" s="297" t="str">
        <f t="shared" si="10"/>
        <v>--</v>
      </c>
      <c r="Z28" s="304" t="str">
        <f t="shared" si="11"/>
        <v>--</v>
      </c>
      <c r="AA28" s="310" t="str">
        <f t="shared" si="12"/>
        <v>--</v>
      </c>
      <c r="AB28" s="23" t="s">
        <v>170</v>
      </c>
      <c r="AC28" s="29">
        <f t="shared" si="13"/>
        <v>21.427200000000003</v>
      </c>
      <c r="AD28" s="33"/>
    </row>
    <row r="29" spans="1:30" s="8" customFormat="1" ht="15">
      <c r="A29" s="123"/>
      <c r="B29" s="128"/>
      <c r="C29" s="449">
        <v>31</v>
      </c>
      <c r="D29" s="449">
        <v>259729</v>
      </c>
      <c r="E29" s="449">
        <v>4804</v>
      </c>
      <c r="F29" s="434" t="s">
        <v>218</v>
      </c>
      <c r="G29" s="428" t="s">
        <v>187</v>
      </c>
      <c r="H29" s="522">
        <v>15</v>
      </c>
      <c r="I29" s="435" t="s">
        <v>185</v>
      </c>
      <c r="J29" s="200">
        <f t="shared" si="0"/>
        <v>11.52</v>
      </c>
      <c r="K29" s="458">
        <v>41381.48402777778</v>
      </c>
      <c r="L29" s="458">
        <v>41381.489583333336</v>
      </c>
      <c r="M29" s="24">
        <f t="shared" si="1"/>
        <v>0.13333333341870457</v>
      </c>
      <c r="N29" s="25">
        <f t="shared" si="2"/>
        <v>8</v>
      </c>
      <c r="O29" s="459" t="s">
        <v>192</v>
      </c>
      <c r="P29" s="459" t="str">
        <f t="shared" si="3"/>
        <v>NO</v>
      </c>
      <c r="Q29" s="460">
        <v>40</v>
      </c>
      <c r="R29" s="459" t="s">
        <v>170</v>
      </c>
      <c r="S29" s="269">
        <f t="shared" si="4"/>
        <v>30</v>
      </c>
      <c r="T29" s="273" t="str">
        <f t="shared" si="5"/>
        <v>--</v>
      </c>
      <c r="U29" s="279" t="str">
        <f t="shared" si="6"/>
        <v>--</v>
      </c>
      <c r="V29" s="226" t="str">
        <f t="shared" si="7"/>
        <v>--</v>
      </c>
      <c r="W29" s="287" t="str">
        <f t="shared" si="8"/>
        <v>--</v>
      </c>
      <c r="X29" s="296">
        <f t="shared" si="9"/>
        <v>138.23999999999998</v>
      </c>
      <c r="Y29" s="297">
        <f t="shared" si="10"/>
        <v>17.9712</v>
      </c>
      <c r="Z29" s="304" t="str">
        <f t="shared" si="11"/>
        <v>--</v>
      </c>
      <c r="AA29" s="310" t="str">
        <f t="shared" si="12"/>
        <v>--</v>
      </c>
      <c r="AB29" s="23" t="s">
        <v>170</v>
      </c>
      <c r="AC29" s="29">
        <f t="shared" si="13"/>
        <v>156.2112</v>
      </c>
      <c r="AD29" s="33"/>
    </row>
    <row r="30" spans="1:30" s="8" customFormat="1" ht="15">
      <c r="A30" s="123"/>
      <c r="B30" s="128"/>
      <c r="C30" s="449">
        <v>32</v>
      </c>
      <c r="D30" s="449">
        <v>259732</v>
      </c>
      <c r="E30" s="449">
        <v>3694</v>
      </c>
      <c r="F30" s="434" t="s">
        <v>191</v>
      </c>
      <c r="G30" s="428" t="s">
        <v>187</v>
      </c>
      <c r="H30" s="454">
        <v>30</v>
      </c>
      <c r="I30" s="435" t="s">
        <v>185</v>
      </c>
      <c r="J30" s="200">
        <f t="shared" si="0"/>
        <v>23.04</v>
      </c>
      <c r="K30" s="458">
        <v>41382.35763888889</v>
      </c>
      <c r="L30" s="458">
        <v>41382.57847222222</v>
      </c>
      <c r="M30" s="24">
        <f t="shared" si="1"/>
        <v>5.2999999999883585</v>
      </c>
      <c r="N30" s="25">
        <f t="shared" si="2"/>
        <v>318</v>
      </c>
      <c r="O30" s="459" t="s">
        <v>190</v>
      </c>
      <c r="P30" s="459" t="str">
        <f t="shared" si="3"/>
        <v>--</v>
      </c>
      <c r="Q30" s="460">
        <v>60</v>
      </c>
      <c r="R30" s="459" t="s">
        <v>217</v>
      </c>
      <c r="S30" s="269">
        <f t="shared" si="4"/>
        <v>0.30000000000000004</v>
      </c>
      <c r="T30" s="273" t="str">
        <f t="shared" si="5"/>
        <v>--</v>
      </c>
      <c r="U30" s="279">
        <f t="shared" si="6"/>
        <v>21.98016</v>
      </c>
      <c r="V30" s="226" t="str">
        <f t="shared" si="7"/>
        <v>--</v>
      </c>
      <c r="W30" s="287" t="str">
        <f t="shared" si="8"/>
        <v>--</v>
      </c>
      <c r="X30" s="296" t="str">
        <f t="shared" si="9"/>
        <v>--</v>
      </c>
      <c r="Y30" s="297" t="str">
        <f t="shared" si="10"/>
        <v>--</v>
      </c>
      <c r="Z30" s="304" t="str">
        <f t="shared" si="11"/>
        <v>--</v>
      </c>
      <c r="AA30" s="310" t="str">
        <f t="shared" si="12"/>
        <v>--</v>
      </c>
      <c r="AB30" s="23" t="s">
        <v>170</v>
      </c>
      <c r="AC30" s="29">
        <f t="shared" si="13"/>
        <v>21.98016</v>
      </c>
      <c r="AD30" s="33"/>
    </row>
    <row r="31" spans="1:30" s="8" customFormat="1" ht="15">
      <c r="A31" s="123"/>
      <c r="B31" s="128"/>
      <c r="C31" s="449">
        <v>33</v>
      </c>
      <c r="D31" s="449">
        <v>259736</v>
      </c>
      <c r="E31" s="449">
        <v>565</v>
      </c>
      <c r="F31" s="434" t="s">
        <v>193</v>
      </c>
      <c r="G31" s="428" t="s">
        <v>187</v>
      </c>
      <c r="H31" s="454">
        <v>30</v>
      </c>
      <c r="I31" s="435" t="s">
        <v>185</v>
      </c>
      <c r="J31" s="200">
        <f t="shared" si="0"/>
        <v>23.04</v>
      </c>
      <c r="K31" s="458">
        <v>41385.38125</v>
      </c>
      <c r="L31" s="458">
        <v>41385.708333333336</v>
      </c>
      <c r="M31" s="24">
        <f t="shared" si="1"/>
        <v>7.850000000093132</v>
      </c>
      <c r="N31" s="25">
        <f t="shared" si="2"/>
        <v>471</v>
      </c>
      <c r="O31" s="459" t="s">
        <v>173</v>
      </c>
      <c r="P31" s="459" t="str">
        <f t="shared" si="3"/>
        <v>--</v>
      </c>
      <c r="Q31" s="459" t="s">
        <v>186</v>
      </c>
      <c r="R31" s="459" t="s">
        <v>217</v>
      </c>
      <c r="S31" s="269">
        <f t="shared" si="4"/>
        <v>0.30000000000000004</v>
      </c>
      <c r="T31" s="273">
        <f t="shared" si="5"/>
        <v>54.25920000000001</v>
      </c>
      <c r="U31" s="279" t="str">
        <f t="shared" si="6"/>
        <v>--</v>
      </c>
      <c r="V31" s="226" t="str">
        <f t="shared" si="7"/>
        <v>--</v>
      </c>
      <c r="W31" s="287" t="str">
        <f t="shared" si="8"/>
        <v>--</v>
      </c>
      <c r="X31" s="296" t="str">
        <f t="shared" si="9"/>
        <v>--</v>
      </c>
      <c r="Y31" s="297" t="str">
        <f t="shared" si="10"/>
        <v>--</v>
      </c>
      <c r="Z31" s="304" t="str">
        <f t="shared" si="11"/>
        <v>--</v>
      </c>
      <c r="AA31" s="310" t="str">
        <f t="shared" si="12"/>
        <v>--</v>
      </c>
      <c r="AB31" s="23" t="s">
        <v>170</v>
      </c>
      <c r="AC31" s="29">
        <f t="shared" si="13"/>
        <v>54.25920000000001</v>
      </c>
      <c r="AD31" s="33"/>
    </row>
    <row r="32" spans="1:30" s="8" customFormat="1" ht="15">
      <c r="A32" s="123"/>
      <c r="B32" s="128"/>
      <c r="C32" s="449"/>
      <c r="D32" s="449"/>
      <c r="E32" s="449"/>
      <c r="F32" s="434"/>
      <c r="G32" s="428"/>
      <c r="H32" s="454"/>
      <c r="I32" s="455"/>
      <c r="J32" s="200">
        <f t="shared" si="0"/>
        <v>0</v>
      </c>
      <c r="K32" s="458"/>
      <c r="L32" s="458"/>
      <c r="M32" s="24">
        <f t="shared" si="1"/>
      </c>
      <c r="N32" s="25">
        <f t="shared" si="2"/>
      </c>
      <c r="O32" s="459"/>
      <c r="P32" s="459">
        <f t="shared" si="3"/>
      </c>
      <c r="Q32" s="460">
        <f>IF(F32="","","--")</f>
      </c>
      <c r="R32" s="459"/>
      <c r="S32" s="269">
        <f t="shared" si="4"/>
        <v>3</v>
      </c>
      <c r="T32" s="273" t="str">
        <f t="shared" si="5"/>
        <v>--</v>
      </c>
      <c r="U32" s="279" t="str">
        <f t="shared" si="6"/>
        <v>--</v>
      </c>
      <c r="V32" s="226" t="str">
        <f t="shared" si="7"/>
        <v>--</v>
      </c>
      <c r="W32" s="287" t="str">
        <f t="shared" si="8"/>
        <v>--</v>
      </c>
      <c r="X32" s="296" t="str">
        <f t="shared" si="9"/>
        <v>--</v>
      </c>
      <c r="Y32" s="297" t="str">
        <f t="shared" si="10"/>
        <v>--</v>
      </c>
      <c r="Z32" s="304" t="str">
        <f t="shared" si="11"/>
        <v>--</v>
      </c>
      <c r="AA32" s="310" t="str">
        <f t="shared" si="12"/>
        <v>--</v>
      </c>
      <c r="AB32" s="23">
        <f>IF(F32="","","SI")</f>
      </c>
      <c r="AC32" s="29">
        <f t="shared" si="13"/>
      </c>
      <c r="AD32" s="33"/>
    </row>
    <row r="33" spans="1:30" s="8" customFormat="1" ht="15.75" thickBot="1">
      <c r="A33" s="123"/>
      <c r="B33" s="128"/>
      <c r="C33" s="456"/>
      <c r="D33" s="456"/>
      <c r="E33" s="456"/>
      <c r="F33" s="456"/>
      <c r="G33" s="456"/>
      <c r="H33" s="456"/>
      <c r="I33" s="456"/>
      <c r="J33" s="204"/>
      <c r="K33" s="456"/>
      <c r="L33" s="456"/>
      <c r="M33" s="26"/>
      <c r="N33" s="26"/>
      <c r="O33" s="456"/>
      <c r="P33" s="456"/>
      <c r="Q33" s="456"/>
      <c r="R33" s="456"/>
      <c r="S33" s="265"/>
      <c r="T33" s="274"/>
      <c r="U33" s="280"/>
      <c r="V33" s="283"/>
      <c r="W33" s="284"/>
      <c r="X33" s="298"/>
      <c r="Y33" s="299"/>
      <c r="Z33" s="305"/>
      <c r="AA33" s="311"/>
      <c r="AB33" s="26"/>
      <c r="AC33" s="207"/>
      <c r="AD33" s="33"/>
    </row>
    <row r="34" spans="1:30" s="8" customFormat="1" ht="17.25" thickBot="1" thickTop="1">
      <c r="A34" s="123"/>
      <c r="B34" s="128"/>
      <c r="C34" s="524" t="s">
        <v>222</v>
      </c>
      <c r="D34" s="523" t="s">
        <v>223</v>
      </c>
      <c r="E34" s="188"/>
      <c r="F34" s="18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5">
        <f aca="true" t="shared" si="14" ref="T34:AA34">SUM(T22:T33)</f>
        <v>124.76160000000002</v>
      </c>
      <c r="U34" s="281">
        <f t="shared" si="14"/>
        <v>72.07833600000001</v>
      </c>
      <c r="V34" s="285">
        <f t="shared" si="14"/>
        <v>0</v>
      </c>
      <c r="W34" s="285">
        <f t="shared" si="14"/>
        <v>0</v>
      </c>
      <c r="X34" s="300">
        <f t="shared" si="14"/>
        <v>138.23999999999998</v>
      </c>
      <c r="Y34" s="300">
        <f t="shared" si="14"/>
        <v>17.9712</v>
      </c>
      <c r="Z34" s="306">
        <f t="shared" si="14"/>
        <v>0</v>
      </c>
      <c r="AA34" s="312">
        <f t="shared" si="14"/>
        <v>0</v>
      </c>
      <c r="AB34" s="208"/>
      <c r="AC34" s="135">
        <f>ROUND(SUM(AC22:AC33),2)</f>
        <v>353.05</v>
      </c>
      <c r="AD34" s="33"/>
    </row>
    <row r="35" spans="1:30" s="8" customFormat="1" ht="13.5" thickTop="1">
      <c r="A35" s="123"/>
      <c r="B35" s="128"/>
      <c r="C35" s="188"/>
      <c r="D35" s="188"/>
      <c r="E35" s="188"/>
      <c r="F35" s="189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33"/>
    </row>
    <row r="36" spans="1:30" s="8" customFormat="1" ht="13.5" thickBot="1">
      <c r="A36" s="123"/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8"/>
    </row>
    <row r="37" spans="1:30" ht="16.5" customHeight="1" thickTop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2"/>
    </row>
    <row r="38" ht="16.5" customHeight="1"/>
  </sheetData>
  <sheetProtection/>
  <printOptions/>
  <pageMargins left="0.49" right="0.45" top="0.7874015748031497" bottom="0.7874015748031497" header="0.5118110236220472" footer="0.5118110236220472"/>
  <pageSetup fitToHeight="1" fitToWidth="1" horizontalDpi="300" verticalDpi="300" orientation="landscape" paperSize="9" scale="66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AH48"/>
  <sheetViews>
    <sheetView zoomScale="75" zoomScaleNormal="75" zoomScalePageLayoutView="0" workbookViewId="0" topLeftCell="A1">
      <selection activeCell="I19" sqref="I19"/>
    </sheetView>
  </sheetViews>
  <sheetFormatPr defaultColWidth="11.421875" defaultRowHeight="12.75"/>
  <cols>
    <col min="1" max="1" width="1.57421875" style="0" customWidth="1"/>
    <col min="2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22.140625" style="0" customWidth="1"/>
    <col min="8" max="8" width="7.28125" style="0" customWidth="1"/>
    <col min="9" max="9" width="12.7109375" style="0" customWidth="1"/>
    <col min="10" max="10" width="13.28125" style="0" hidden="1" customWidth="1"/>
    <col min="11" max="11" width="17.8515625" style="0" customWidth="1"/>
    <col min="12" max="12" width="16.421875" style="0" customWidth="1"/>
    <col min="13" max="15" width="9.7109375" style="0" customWidth="1"/>
    <col min="16" max="16" width="5.8515625" style="0" customWidth="1"/>
    <col min="17" max="17" width="7.421875" style="0" customWidth="1"/>
    <col min="18" max="18" width="6.57421875" style="0" customWidth="1"/>
    <col min="19" max="19" width="12.140625" style="0" hidden="1" customWidth="1"/>
    <col min="20" max="20" width="15.140625" style="0" hidden="1" customWidth="1"/>
    <col min="21" max="21" width="16.28125" style="0" hidden="1" customWidth="1"/>
    <col min="22" max="22" width="16.8515625" style="0" hidden="1" customWidth="1"/>
    <col min="23" max="27" width="15.421875" style="0" hidden="1" customWidth="1"/>
    <col min="28" max="28" width="9.7109375" style="0" customWidth="1"/>
    <col min="29" max="29" width="15.7109375" style="0" customWidth="1"/>
    <col min="30" max="30" width="4.140625" style="0" customWidth="1"/>
  </cols>
  <sheetData>
    <row r="1" spans="5:34" s="36" customFormat="1" ht="26.25"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</row>
    <row r="2" spans="2:30" s="36" customFormat="1" ht="26.25">
      <c r="B2" s="507" t="str">
        <f>+'TOT-0413'!B2</f>
        <v>ANEXO I al Memorandum D.T.E.E. N°  475 / 2014</v>
      </c>
      <c r="C2" s="39"/>
      <c r="D2" s="39"/>
      <c r="E2" s="159"/>
      <c r="F2" s="159"/>
      <c r="G2" s="114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</row>
    <row r="3" spans="5:30" s="8" customFormat="1" ht="12.75"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</row>
    <row r="4" spans="1:30" s="43" customFormat="1" ht="11.25">
      <c r="A4" s="508" t="s">
        <v>152</v>
      </c>
      <c r="B4" s="116"/>
      <c r="C4" s="508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1:30" s="43" customFormat="1" ht="11.25">
      <c r="A5" s="508" t="s">
        <v>153</v>
      </c>
      <c r="B5" s="116"/>
      <c r="C5" s="116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1:30" s="8" customFormat="1" ht="13.5" thickBo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30" s="8" customFormat="1" ht="13.5" thickTop="1">
      <c r="A7" s="123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7"/>
    </row>
    <row r="8" spans="1:30" s="47" customFormat="1" ht="20.25">
      <c r="A8" s="142"/>
      <c r="B8" s="143"/>
      <c r="C8" s="129"/>
      <c r="D8" s="129"/>
      <c r="E8" s="129"/>
      <c r="F8" s="20" t="s">
        <v>19</v>
      </c>
      <c r="G8" s="20"/>
      <c r="H8" s="129"/>
      <c r="I8" s="142"/>
      <c r="J8" s="142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44"/>
    </row>
    <row r="9" spans="1:30" s="47" customFormat="1" ht="20.25">
      <c r="A9" s="142"/>
      <c r="B9" s="143"/>
      <c r="C9" s="129"/>
      <c r="D9" s="129"/>
      <c r="E9" s="129"/>
      <c r="F9" s="20"/>
      <c r="G9" s="20"/>
      <c r="H9" s="129"/>
      <c r="I9" s="142"/>
      <c r="J9" s="142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44"/>
    </row>
    <row r="10" spans="1:30" s="47" customFormat="1" ht="20.25">
      <c r="A10" s="142"/>
      <c r="B10" s="143"/>
      <c r="C10" s="129"/>
      <c r="D10" s="129"/>
      <c r="E10" s="129"/>
      <c r="F10" s="20" t="s">
        <v>42</v>
      </c>
      <c r="G10" s="20"/>
      <c r="H10" s="129"/>
      <c r="I10" s="142"/>
      <c r="J10" s="142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44"/>
    </row>
    <row r="11" spans="1:30" s="8" customFormat="1" ht="12.75">
      <c r="A11" s="123"/>
      <c r="B11" s="128"/>
      <c r="C11" s="27"/>
      <c r="D11" s="27"/>
      <c r="E11" s="27"/>
      <c r="F11" s="27"/>
      <c r="G11" s="27"/>
      <c r="H11" s="27"/>
      <c r="I11" s="123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33"/>
    </row>
    <row r="12" spans="1:30" s="47" customFormat="1" ht="20.25">
      <c r="A12" s="142"/>
      <c r="B12" s="143"/>
      <c r="C12" s="129"/>
      <c r="D12" s="129"/>
      <c r="E12" s="129"/>
      <c r="F12" s="160" t="s">
        <v>43</v>
      </c>
      <c r="G12" s="20"/>
      <c r="H12" s="142"/>
      <c r="I12" s="142"/>
      <c r="J12" s="145"/>
      <c r="K12" s="129"/>
      <c r="L12" s="142"/>
      <c r="M12" s="142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44"/>
    </row>
    <row r="13" spans="1:30" s="8" customFormat="1" ht="12.75">
      <c r="A13" s="123"/>
      <c r="B13" s="128"/>
      <c r="C13" s="27"/>
      <c r="D13" s="27"/>
      <c r="E13" s="27"/>
      <c r="F13" s="27"/>
      <c r="G13" s="27"/>
      <c r="H13" s="27"/>
      <c r="I13" s="123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33"/>
    </row>
    <row r="14" spans="1:30" s="47" customFormat="1" ht="20.25">
      <c r="A14" s="142"/>
      <c r="B14" s="143"/>
      <c r="C14" s="129"/>
      <c r="D14" s="129"/>
      <c r="E14" s="129"/>
      <c r="F14" s="160" t="s">
        <v>44</v>
      </c>
      <c r="G14" s="20"/>
      <c r="H14" s="142"/>
      <c r="I14" s="142"/>
      <c r="J14" s="145"/>
      <c r="K14" s="129"/>
      <c r="L14" s="142"/>
      <c r="M14" s="142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44"/>
    </row>
    <row r="15" spans="1:30" s="8" customFormat="1" ht="12.75">
      <c r="A15" s="123"/>
      <c r="B15" s="128"/>
      <c r="C15" s="27"/>
      <c r="D15" s="27"/>
      <c r="E15" s="27"/>
      <c r="F15" s="131"/>
      <c r="G15" s="131"/>
      <c r="H15" s="131"/>
      <c r="I15" s="132"/>
      <c r="J15" s="130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33"/>
    </row>
    <row r="16" spans="1:30" s="54" customFormat="1" ht="19.5">
      <c r="A16" s="146"/>
      <c r="B16" s="154" t="str">
        <f>'TOT-0413'!B14</f>
        <v>Desde el 01 al 30 de abril de 2013</v>
      </c>
      <c r="C16" s="155"/>
      <c r="D16" s="155"/>
      <c r="E16" s="155"/>
      <c r="F16" s="155"/>
      <c r="G16" s="155"/>
      <c r="H16" s="155"/>
      <c r="I16" s="155"/>
      <c r="J16" s="155"/>
      <c r="K16" s="156"/>
      <c r="L16" s="157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8"/>
    </row>
    <row r="17" spans="1:30" s="8" customFormat="1" ht="14.25" thickBot="1">
      <c r="A17" s="123"/>
      <c r="B17" s="128"/>
      <c r="C17" s="27"/>
      <c r="D17" s="27"/>
      <c r="E17" s="27"/>
      <c r="F17" s="27"/>
      <c r="G17" s="27"/>
      <c r="H17" s="27"/>
      <c r="I17" s="133"/>
      <c r="J17" s="27"/>
      <c r="K17" s="139"/>
      <c r="L17" s="140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33"/>
    </row>
    <row r="18" spans="1:30" s="8" customFormat="1" ht="14.25" thickBot="1" thickTop="1">
      <c r="A18" s="123"/>
      <c r="B18" s="128"/>
      <c r="C18" s="27"/>
      <c r="D18" s="27"/>
      <c r="E18" s="27"/>
      <c r="F18" s="147" t="s">
        <v>45</v>
      </c>
      <c r="G18" s="148"/>
      <c r="H18" s="149"/>
      <c r="I18" s="150">
        <v>0.768</v>
      </c>
      <c r="J18" s="123"/>
      <c r="K18" s="27"/>
      <c r="L18" s="415"/>
      <c r="M18" s="41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33"/>
    </row>
    <row r="19" spans="1:30" s="8" customFormat="1" ht="14.25" thickBot="1" thickTop="1">
      <c r="A19" s="123"/>
      <c r="B19" s="128"/>
      <c r="C19" s="27"/>
      <c r="D19" s="27"/>
      <c r="E19" s="27"/>
      <c r="F19" s="151" t="s">
        <v>46</v>
      </c>
      <c r="G19" s="152"/>
      <c r="H19" s="152"/>
      <c r="I19" s="153">
        <f>30*'TOT-0413'!B13</f>
        <v>30</v>
      </c>
      <c r="J19" s="27"/>
      <c r="K19" s="194" t="str">
        <f>IF(I19=30," ",IF(I19=60,"  Coeficiente duplicado por tasa de falla &gt;4 Sal. x año/100 km.","REVISAR COEFICIENTE"))</f>
        <v> 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34"/>
      <c r="X19" s="134"/>
      <c r="Y19" s="134"/>
      <c r="Z19" s="134"/>
      <c r="AA19" s="134"/>
      <c r="AB19" s="134"/>
      <c r="AC19" s="134"/>
      <c r="AD19" s="33"/>
    </row>
    <row r="20" spans="1:30" s="8" customFormat="1" ht="14.25" thickBot="1" thickTop="1">
      <c r="A20" s="123"/>
      <c r="B20" s="128"/>
      <c r="C20" s="521">
        <v>3</v>
      </c>
      <c r="D20" s="521">
        <v>4</v>
      </c>
      <c r="E20" s="521">
        <v>5</v>
      </c>
      <c r="F20" s="521">
        <v>6</v>
      </c>
      <c r="G20" s="521">
        <v>7</v>
      </c>
      <c r="H20" s="521">
        <v>8</v>
      </c>
      <c r="I20" s="521">
        <v>9</v>
      </c>
      <c r="J20" s="521">
        <v>10</v>
      </c>
      <c r="K20" s="521">
        <v>11</v>
      </c>
      <c r="L20" s="521">
        <v>12</v>
      </c>
      <c r="M20" s="521">
        <v>13</v>
      </c>
      <c r="N20" s="521">
        <v>14</v>
      </c>
      <c r="O20" s="521">
        <v>15</v>
      </c>
      <c r="P20" s="521">
        <v>16</v>
      </c>
      <c r="Q20" s="521">
        <v>17</v>
      </c>
      <c r="R20" s="521">
        <v>18</v>
      </c>
      <c r="S20" s="521">
        <v>19</v>
      </c>
      <c r="T20" s="521">
        <v>20</v>
      </c>
      <c r="U20" s="521">
        <v>21</v>
      </c>
      <c r="V20" s="521">
        <v>22</v>
      </c>
      <c r="W20" s="521">
        <v>23</v>
      </c>
      <c r="X20" s="521">
        <v>24</v>
      </c>
      <c r="Y20" s="521">
        <v>25</v>
      </c>
      <c r="Z20" s="521">
        <v>26</v>
      </c>
      <c r="AA20" s="521">
        <v>27</v>
      </c>
      <c r="AB20" s="521">
        <v>28</v>
      </c>
      <c r="AC20" s="521">
        <v>29</v>
      </c>
      <c r="AD20" s="33"/>
    </row>
    <row r="21" spans="1:30" s="8" customFormat="1" ht="33.75" customHeight="1" thickBot="1" thickTop="1">
      <c r="A21" s="123"/>
      <c r="B21" s="128"/>
      <c r="C21" s="117" t="s">
        <v>24</v>
      </c>
      <c r="D21" s="117" t="s">
        <v>151</v>
      </c>
      <c r="E21" s="117" t="s">
        <v>150</v>
      </c>
      <c r="F21" s="176" t="s">
        <v>47</v>
      </c>
      <c r="G21" s="175" t="s">
        <v>48</v>
      </c>
      <c r="H21" s="177" t="s">
        <v>49</v>
      </c>
      <c r="I21" s="178" t="s">
        <v>25</v>
      </c>
      <c r="J21" s="198" t="s">
        <v>27</v>
      </c>
      <c r="K21" s="175" t="s">
        <v>28</v>
      </c>
      <c r="L21" s="175" t="s">
        <v>29</v>
      </c>
      <c r="M21" s="176" t="s">
        <v>50</v>
      </c>
      <c r="N21" s="176" t="s">
        <v>51</v>
      </c>
      <c r="O21" s="119" t="s">
        <v>32</v>
      </c>
      <c r="P21" s="175" t="s">
        <v>52</v>
      </c>
      <c r="Q21" s="176" t="s">
        <v>33</v>
      </c>
      <c r="R21" s="175" t="s">
        <v>53</v>
      </c>
      <c r="S21" s="266" t="s">
        <v>54</v>
      </c>
      <c r="T21" s="270" t="s">
        <v>34</v>
      </c>
      <c r="U21" s="276" t="s">
        <v>35</v>
      </c>
      <c r="V21" s="223" t="s">
        <v>55</v>
      </c>
      <c r="W21" s="225"/>
      <c r="X21" s="290" t="s">
        <v>56</v>
      </c>
      <c r="Y21" s="291"/>
      <c r="Z21" s="301" t="s">
        <v>38</v>
      </c>
      <c r="AA21" s="307" t="s">
        <v>39</v>
      </c>
      <c r="AB21" s="178" t="s">
        <v>40</v>
      </c>
      <c r="AC21" s="178" t="s">
        <v>41</v>
      </c>
      <c r="AD21" s="33"/>
    </row>
    <row r="22" spans="1:30" s="8" customFormat="1" ht="15.75" thickTop="1">
      <c r="A22" s="123"/>
      <c r="B22" s="128"/>
      <c r="C22" s="449"/>
      <c r="D22" s="449"/>
      <c r="E22" s="449"/>
      <c r="F22" s="450"/>
      <c r="G22" s="451"/>
      <c r="H22" s="451"/>
      <c r="I22" s="451"/>
      <c r="J22" s="202"/>
      <c r="K22" s="457"/>
      <c r="L22" s="451"/>
      <c r="M22" s="22"/>
      <c r="N22" s="22"/>
      <c r="O22" s="451"/>
      <c r="P22" s="451"/>
      <c r="Q22" s="451"/>
      <c r="R22" s="451"/>
      <c r="S22" s="267"/>
      <c r="T22" s="271"/>
      <c r="U22" s="277"/>
      <c r="V22" s="288"/>
      <c r="W22" s="282"/>
      <c r="X22" s="292"/>
      <c r="Y22" s="293"/>
      <c r="Z22" s="302"/>
      <c r="AA22" s="308"/>
      <c r="AB22" s="21"/>
      <c r="AC22" s="35">
        <f>'T-04 (1)'!AC34</f>
        <v>353.05</v>
      </c>
      <c r="AD22" s="33"/>
    </row>
    <row r="23" spans="1:30" s="8" customFormat="1" ht="15">
      <c r="A23" s="123"/>
      <c r="B23" s="128"/>
      <c r="C23" s="449"/>
      <c r="D23" s="449"/>
      <c r="E23" s="449"/>
      <c r="F23" s="452"/>
      <c r="G23" s="453"/>
      <c r="H23" s="453"/>
      <c r="I23" s="453"/>
      <c r="J23" s="203"/>
      <c r="K23" s="452"/>
      <c r="L23" s="453"/>
      <c r="M23" s="18"/>
      <c r="N23" s="18"/>
      <c r="O23" s="453"/>
      <c r="P23" s="453"/>
      <c r="Q23" s="453"/>
      <c r="R23" s="453"/>
      <c r="S23" s="268"/>
      <c r="T23" s="272"/>
      <c r="U23" s="278"/>
      <c r="V23" s="289"/>
      <c r="W23" s="286"/>
      <c r="X23" s="294"/>
      <c r="Y23" s="295"/>
      <c r="Z23" s="303"/>
      <c r="AA23" s="309"/>
      <c r="AB23" s="17"/>
      <c r="AC23" s="29"/>
      <c r="AD23" s="33"/>
    </row>
    <row r="24" spans="1:30" s="8" customFormat="1" ht="15">
      <c r="A24" s="123"/>
      <c r="B24" s="128"/>
      <c r="C24" s="449">
        <v>34</v>
      </c>
      <c r="D24" s="449">
        <v>259910</v>
      </c>
      <c r="E24" s="449">
        <v>578</v>
      </c>
      <c r="F24" s="434" t="s">
        <v>194</v>
      </c>
      <c r="G24" s="428" t="s">
        <v>187</v>
      </c>
      <c r="H24" s="454">
        <v>30</v>
      </c>
      <c r="I24" s="435" t="s">
        <v>195</v>
      </c>
      <c r="J24" s="200">
        <f aca="true" t="shared" si="0" ref="J24:J43">H24*$I$18</f>
        <v>23.04</v>
      </c>
      <c r="K24" s="458">
        <v>41386.40416666667</v>
      </c>
      <c r="L24" s="458">
        <v>41386.58263888889</v>
      </c>
      <c r="M24" s="24">
        <f aca="true" t="shared" si="1" ref="M24:M43">IF(F24="","",(L24-K24)*24)</f>
        <v>4.283333333325572</v>
      </c>
      <c r="N24" s="25">
        <f aca="true" t="shared" si="2" ref="N24:N43">IF(F24="","",ROUND((L24-K24)*24*60,0))</f>
        <v>257</v>
      </c>
      <c r="O24" s="459" t="s">
        <v>190</v>
      </c>
      <c r="P24" s="459" t="str">
        <f aca="true" t="shared" si="3" ref="P24:P43">IF(F24="","",IF(OR(O24="P",O24="RP"),"--","NO"))</f>
        <v>--</v>
      </c>
      <c r="Q24" s="460">
        <v>60</v>
      </c>
      <c r="R24" s="459" t="s">
        <v>217</v>
      </c>
      <c r="S24" s="269">
        <f aca="true" t="shared" si="4" ref="S24:S43">$I$19*IF(R24="SI",1,0.1)*IF(OR(O24="P",O24="RP"),0.1,1)</f>
        <v>0.30000000000000004</v>
      </c>
      <c r="T24" s="273" t="str">
        <f aca="true" t="shared" si="5" ref="T24:T43">IF(O24="P",J24*S24*ROUND(N24/60,2),"--")</f>
        <v>--</v>
      </c>
      <c r="U24" s="279">
        <f aca="true" t="shared" si="6" ref="U24:U43">IF(O24="RP",J24*S24*Q24/100*ROUND(N24/60,2),"--")</f>
        <v>17.750016000000002</v>
      </c>
      <c r="V24" s="226" t="str">
        <f aca="true" t="shared" si="7" ref="V24:V43">IF(AND(O24="F",P24="NO"),J24*S24,"--")</f>
        <v>--</v>
      </c>
      <c r="W24" s="287" t="str">
        <f aca="true" t="shared" si="8" ref="W24:W43">IF(O24="F",J24*S24*ROUND(N24/60,2),"--")</f>
        <v>--</v>
      </c>
      <c r="X24" s="296" t="str">
        <f aca="true" t="shared" si="9" ref="X24:X43">IF(AND(O24="R",P24="NO"),J24*S24*Q24/100,"--")</f>
        <v>--</v>
      </c>
      <c r="Y24" s="297" t="str">
        <f aca="true" t="shared" si="10" ref="Y24:Y43">IF(O24="R",J24*S24*ROUND(N24/60,2)*Q24/100,"--")</f>
        <v>--</v>
      </c>
      <c r="Z24" s="304" t="str">
        <f aca="true" t="shared" si="11" ref="Z24:Z43">IF(O24="RF",J24*S24*ROUND(N24/60,2),"--")</f>
        <v>--</v>
      </c>
      <c r="AA24" s="310" t="str">
        <f aca="true" t="shared" si="12" ref="AA24:AA43">IF(O24="RR",J24*S24*ROUND(N24/60,2)*Q24/100,"--")</f>
        <v>--</v>
      </c>
      <c r="AB24" s="23" t="s">
        <v>170</v>
      </c>
      <c r="AC24" s="29">
        <f aca="true" t="shared" si="13" ref="AC24:AC43">IF(F24="","",SUM(T24:AA24)*IF(AB24="SI",1,2))</f>
        <v>17.750016000000002</v>
      </c>
      <c r="AD24" s="320"/>
    </row>
    <row r="25" spans="1:30" s="8" customFormat="1" ht="15">
      <c r="A25" s="123"/>
      <c r="B25" s="128"/>
      <c r="C25" s="449">
        <v>35</v>
      </c>
      <c r="D25" s="449">
        <v>259913</v>
      </c>
      <c r="E25" s="449">
        <v>2684</v>
      </c>
      <c r="F25" s="434" t="s">
        <v>196</v>
      </c>
      <c r="G25" s="428" t="s">
        <v>197</v>
      </c>
      <c r="H25" s="454">
        <v>15</v>
      </c>
      <c r="I25" s="435" t="s">
        <v>185</v>
      </c>
      <c r="J25" s="200">
        <f t="shared" si="0"/>
        <v>11.52</v>
      </c>
      <c r="K25" s="458">
        <v>41388.430555555555</v>
      </c>
      <c r="L25" s="458">
        <v>41388.65972222222</v>
      </c>
      <c r="M25" s="24">
        <f t="shared" si="1"/>
        <v>5.499999999941792</v>
      </c>
      <c r="N25" s="25">
        <f t="shared" si="2"/>
        <v>330</v>
      </c>
      <c r="O25" s="459" t="s">
        <v>190</v>
      </c>
      <c r="P25" s="459" t="str">
        <f t="shared" si="3"/>
        <v>--</v>
      </c>
      <c r="Q25" s="460">
        <v>40</v>
      </c>
      <c r="R25" s="459" t="s">
        <v>217</v>
      </c>
      <c r="S25" s="269">
        <f t="shared" si="4"/>
        <v>0.30000000000000004</v>
      </c>
      <c r="T25" s="273" t="str">
        <f t="shared" si="5"/>
        <v>--</v>
      </c>
      <c r="U25" s="279">
        <f t="shared" si="6"/>
        <v>7.6032</v>
      </c>
      <c r="V25" s="226" t="str">
        <f t="shared" si="7"/>
        <v>--</v>
      </c>
      <c r="W25" s="287" t="str">
        <f t="shared" si="8"/>
        <v>--</v>
      </c>
      <c r="X25" s="296" t="str">
        <f t="shared" si="9"/>
        <v>--</v>
      </c>
      <c r="Y25" s="297" t="str">
        <f t="shared" si="10"/>
        <v>--</v>
      </c>
      <c r="Z25" s="304" t="str">
        <f t="shared" si="11"/>
        <v>--</v>
      </c>
      <c r="AA25" s="310" t="str">
        <f t="shared" si="12"/>
        <v>--</v>
      </c>
      <c r="AB25" s="23" t="s">
        <v>170</v>
      </c>
      <c r="AC25" s="29">
        <f t="shared" si="13"/>
        <v>7.6032</v>
      </c>
      <c r="AD25" s="320"/>
    </row>
    <row r="26" spans="1:30" s="8" customFormat="1" ht="15">
      <c r="A26" s="123"/>
      <c r="B26" s="128"/>
      <c r="C26" s="449">
        <v>36</v>
      </c>
      <c r="D26" s="449">
        <v>259915</v>
      </c>
      <c r="E26" s="449">
        <v>540</v>
      </c>
      <c r="F26" s="434" t="s">
        <v>198</v>
      </c>
      <c r="G26" s="428" t="s">
        <v>187</v>
      </c>
      <c r="H26" s="454">
        <v>10</v>
      </c>
      <c r="I26" s="435" t="s">
        <v>185</v>
      </c>
      <c r="J26" s="200">
        <f t="shared" si="0"/>
        <v>7.68</v>
      </c>
      <c r="K26" s="458">
        <v>41389.399305555555</v>
      </c>
      <c r="L26" s="458">
        <v>41389.58472222222</v>
      </c>
      <c r="M26" s="24">
        <f t="shared" si="1"/>
        <v>4.4500000000116415</v>
      </c>
      <c r="N26" s="25">
        <f t="shared" si="2"/>
        <v>267</v>
      </c>
      <c r="O26" s="459" t="s">
        <v>190</v>
      </c>
      <c r="P26" s="459" t="str">
        <f t="shared" si="3"/>
        <v>--</v>
      </c>
      <c r="Q26" s="460">
        <v>60</v>
      </c>
      <c r="R26" s="459" t="s">
        <v>217</v>
      </c>
      <c r="S26" s="269">
        <f t="shared" si="4"/>
        <v>0.30000000000000004</v>
      </c>
      <c r="T26" s="273" t="str">
        <f t="shared" si="5"/>
        <v>--</v>
      </c>
      <c r="U26" s="279">
        <f t="shared" si="6"/>
        <v>6.151680000000001</v>
      </c>
      <c r="V26" s="226" t="str">
        <f t="shared" si="7"/>
        <v>--</v>
      </c>
      <c r="W26" s="287" t="str">
        <f t="shared" si="8"/>
        <v>--</v>
      </c>
      <c r="X26" s="296" t="str">
        <f t="shared" si="9"/>
        <v>--</v>
      </c>
      <c r="Y26" s="297" t="str">
        <f t="shared" si="10"/>
        <v>--</v>
      </c>
      <c r="Z26" s="304" t="str">
        <f t="shared" si="11"/>
        <v>--</v>
      </c>
      <c r="AA26" s="310" t="str">
        <f t="shared" si="12"/>
        <v>--</v>
      </c>
      <c r="AB26" s="23" t="s">
        <v>170</v>
      </c>
      <c r="AC26" s="29">
        <f t="shared" si="13"/>
        <v>6.151680000000001</v>
      </c>
      <c r="AD26" s="320"/>
    </row>
    <row r="27" spans="1:30" s="8" customFormat="1" ht="15">
      <c r="A27" s="123"/>
      <c r="B27" s="128"/>
      <c r="C27" s="449">
        <v>37</v>
      </c>
      <c r="D27" s="449">
        <v>259916</v>
      </c>
      <c r="E27" s="449">
        <v>2684</v>
      </c>
      <c r="F27" s="434" t="s">
        <v>196</v>
      </c>
      <c r="G27" s="428" t="s">
        <v>197</v>
      </c>
      <c r="H27" s="454">
        <v>15</v>
      </c>
      <c r="I27" s="435" t="s">
        <v>185</v>
      </c>
      <c r="J27" s="200">
        <f t="shared" si="0"/>
        <v>11.52</v>
      </c>
      <c r="K27" s="458">
        <v>41389.42638888889</v>
      </c>
      <c r="L27" s="458">
        <v>41389.677083333336</v>
      </c>
      <c r="M27" s="24">
        <f t="shared" si="1"/>
        <v>6.016666666720994</v>
      </c>
      <c r="N27" s="25">
        <f t="shared" si="2"/>
        <v>361</v>
      </c>
      <c r="O27" s="459" t="s">
        <v>190</v>
      </c>
      <c r="P27" s="459" t="str">
        <f t="shared" si="3"/>
        <v>--</v>
      </c>
      <c r="Q27" s="460">
        <v>40</v>
      </c>
      <c r="R27" s="459" t="s">
        <v>217</v>
      </c>
      <c r="S27" s="269">
        <f t="shared" si="4"/>
        <v>0.30000000000000004</v>
      </c>
      <c r="T27" s="273" t="str">
        <f t="shared" si="5"/>
        <v>--</v>
      </c>
      <c r="U27" s="279">
        <f t="shared" si="6"/>
        <v>8.322048</v>
      </c>
      <c r="V27" s="226" t="str">
        <f t="shared" si="7"/>
        <v>--</v>
      </c>
      <c r="W27" s="287" t="str">
        <f t="shared" si="8"/>
        <v>--</v>
      </c>
      <c r="X27" s="296" t="str">
        <f t="shared" si="9"/>
        <v>--</v>
      </c>
      <c r="Y27" s="297" t="str">
        <f t="shared" si="10"/>
        <v>--</v>
      </c>
      <c r="Z27" s="304" t="str">
        <f t="shared" si="11"/>
        <v>--</v>
      </c>
      <c r="AA27" s="310" t="str">
        <f t="shared" si="12"/>
        <v>--</v>
      </c>
      <c r="AB27" s="23" t="s">
        <v>170</v>
      </c>
      <c r="AC27" s="29">
        <f t="shared" si="13"/>
        <v>8.322048</v>
      </c>
      <c r="AD27" s="320"/>
    </row>
    <row r="28" spans="1:30" s="8" customFormat="1" ht="15">
      <c r="A28" s="123"/>
      <c r="B28" s="128"/>
      <c r="C28" s="449">
        <v>38</v>
      </c>
      <c r="D28" s="449">
        <v>259919</v>
      </c>
      <c r="E28" s="449">
        <v>540</v>
      </c>
      <c r="F28" s="434" t="s">
        <v>198</v>
      </c>
      <c r="G28" s="428" t="s">
        <v>187</v>
      </c>
      <c r="H28" s="454">
        <v>10</v>
      </c>
      <c r="I28" s="435" t="s">
        <v>185</v>
      </c>
      <c r="J28" s="200">
        <f t="shared" si="0"/>
        <v>7.68</v>
      </c>
      <c r="K28" s="458">
        <v>41390.361805555556</v>
      </c>
      <c r="L28" s="458">
        <v>41390.592361111114</v>
      </c>
      <c r="M28" s="24">
        <f t="shared" si="1"/>
        <v>5.53333333338378</v>
      </c>
      <c r="N28" s="25">
        <f t="shared" si="2"/>
        <v>332</v>
      </c>
      <c r="O28" s="459" t="s">
        <v>190</v>
      </c>
      <c r="P28" s="459" t="str">
        <f t="shared" si="3"/>
        <v>--</v>
      </c>
      <c r="Q28" s="460">
        <v>60</v>
      </c>
      <c r="R28" s="459" t="s">
        <v>217</v>
      </c>
      <c r="S28" s="269">
        <f t="shared" si="4"/>
        <v>0.30000000000000004</v>
      </c>
      <c r="T28" s="273" t="str">
        <f t="shared" si="5"/>
        <v>--</v>
      </c>
      <c r="U28" s="279">
        <f t="shared" si="6"/>
        <v>7.644672000000001</v>
      </c>
      <c r="V28" s="226" t="str">
        <f t="shared" si="7"/>
        <v>--</v>
      </c>
      <c r="W28" s="287" t="str">
        <f t="shared" si="8"/>
        <v>--</v>
      </c>
      <c r="X28" s="296" t="str">
        <f t="shared" si="9"/>
        <v>--</v>
      </c>
      <c r="Y28" s="297" t="str">
        <f t="shared" si="10"/>
        <v>--</v>
      </c>
      <c r="Z28" s="304" t="str">
        <f t="shared" si="11"/>
        <v>--</v>
      </c>
      <c r="AA28" s="310" t="str">
        <f t="shared" si="12"/>
        <v>--</v>
      </c>
      <c r="AB28" s="23" t="s">
        <v>170</v>
      </c>
      <c r="AC28" s="29">
        <f t="shared" si="13"/>
        <v>7.644672000000001</v>
      </c>
      <c r="AD28" s="320"/>
    </row>
    <row r="29" spans="1:30" s="8" customFormat="1" ht="15">
      <c r="A29" s="123"/>
      <c r="B29" s="128"/>
      <c r="C29" s="449">
        <v>39</v>
      </c>
      <c r="D29" s="449">
        <v>259923</v>
      </c>
      <c r="E29" s="449">
        <v>3580</v>
      </c>
      <c r="F29" s="434" t="s">
        <v>199</v>
      </c>
      <c r="G29" s="428" t="s">
        <v>187</v>
      </c>
      <c r="H29" s="454">
        <v>15</v>
      </c>
      <c r="I29" s="435" t="s">
        <v>185</v>
      </c>
      <c r="J29" s="200">
        <f t="shared" si="0"/>
        <v>11.52</v>
      </c>
      <c r="K29" s="458">
        <v>41392.33472222222</v>
      </c>
      <c r="L29" s="458">
        <v>41392.532638888886</v>
      </c>
      <c r="M29" s="24">
        <f t="shared" si="1"/>
        <v>4.749999999941792</v>
      </c>
      <c r="N29" s="25">
        <f t="shared" si="2"/>
        <v>285</v>
      </c>
      <c r="O29" s="459" t="s">
        <v>173</v>
      </c>
      <c r="P29" s="459" t="str">
        <f t="shared" si="3"/>
        <v>--</v>
      </c>
      <c r="Q29" s="459" t="s">
        <v>186</v>
      </c>
      <c r="R29" s="459" t="s">
        <v>170</v>
      </c>
      <c r="S29" s="269">
        <f t="shared" si="4"/>
        <v>3</v>
      </c>
      <c r="T29" s="273">
        <f t="shared" si="5"/>
        <v>164.16000000000003</v>
      </c>
      <c r="U29" s="279" t="str">
        <f t="shared" si="6"/>
        <v>--</v>
      </c>
      <c r="V29" s="226" t="str">
        <f t="shared" si="7"/>
        <v>--</v>
      </c>
      <c r="W29" s="287" t="str">
        <f t="shared" si="8"/>
        <v>--</v>
      </c>
      <c r="X29" s="296" t="str">
        <f t="shared" si="9"/>
        <v>--</v>
      </c>
      <c r="Y29" s="297" t="str">
        <f t="shared" si="10"/>
        <v>--</v>
      </c>
      <c r="Z29" s="304" t="str">
        <f t="shared" si="11"/>
        <v>--</v>
      </c>
      <c r="AA29" s="310" t="str">
        <f t="shared" si="12"/>
        <v>--</v>
      </c>
      <c r="AB29" s="23" t="s">
        <v>170</v>
      </c>
      <c r="AC29" s="29">
        <f t="shared" si="13"/>
        <v>164.16000000000003</v>
      </c>
      <c r="AD29" s="320"/>
    </row>
    <row r="30" spans="1:30" s="8" customFormat="1" ht="15">
      <c r="A30" s="123"/>
      <c r="B30" s="128"/>
      <c r="C30" s="449">
        <v>40</v>
      </c>
      <c r="D30" s="449">
        <v>259936</v>
      </c>
      <c r="E30" s="449">
        <v>3581</v>
      </c>
      <c r="F30" s="434" t="s">
        <v>199</v>
      </c>
      <c r="G30" s="428" t="s">
        <v>189</v>
      </c>
      <c r="H30" s="454">
        <v>15</v>
      </c>
      <c r="I30" s="435" t="s">
        <v>185</v>
      </c>
      <c r="J30" s="200">
        <f t="shared" si="0"/>
        <v>11.52</v>
      </c>
      <c r="K30" s="458">
        <v>41392.33472222222</v>
      </c>
      <c r="L30" s="458">
        <v>41392.532638888886</v>
      </c>
      <c r="M30" s="24">
        <f t="shared" si="1"/>
        <v>4.749999999941792</v>
      </c>
      <c r="N30" s="25">
        <f t="shared" si="2"/>
        <v>285</v>
      </c>
      <c r="O30" s="459" t="s">
        <v>173</v>
      </c>
      <c r="P30" s="459" t="str">
        <f t="shared" si="3"/>
        <v>--</v>
      </c>
      <c r="Q30" s="459" t="s">
        <v>186</v>
      </c>
      <c r="R30" s="459" t="s">
        <v>170</v>
      </c>
      <c r="S30" s="269">
        <f t="shared" si="4"/>
        <v>3</v>
      </c>
      <c r="T30" s="273">
        <f t="shared" si="5"/>
        <v>164.16000000000003</v>
      </c>
      <c r="U30" s="279" t="str">
        <f t="shared" si="6"/>
        <v>--</v>
      </c>
      <c r="V30" s="226" t="str">
        <f t="shared" si="7"/>
        <v>--</v>
      </c>
      <c r="W30" s="287" t="str">
        <f t="shared" si="8"/>
        <v>--</v>
      </c>
      <c r="X30" s="296" t="str">
        <f t="shared" si="9"/>
        <v>--</v>
      </c>
      <c r="Y30" s="297" t="str">
        <f t="shared" si="10"/>
        <v>--</v>
      </c>
      <c r="Z30" s="304" t="str">
        <f t="shared" si="11"/>
        <v>--</v>
      </c>
      <c r="AA30" s="310" t="str">
        <f t="shared" si="12"/>
        <v>--</v>
      </c>
      <c r="AB30" s="23" t="s">
        <v>170</v>
      </c>
      <c r="AC30" s="29">
        <f t="shared" si="13"/>
        <v>164.16000000000003</v>
      </c>
      <c r="AD30" s="320"/>
    </row>
    <row r="31" spans="1:30" s="8" customFormat="1" ht="15">
      <c r="A31" s="123"/>
      <c r="B31" s="128"/>
      <c r="C31" s="449">
        <v>41</v>
      </c>
      <c r="D31" s="449">
        <v>259937</v>
      </c>
      <c r="E31" s="449">
        <v>3585</v>
      </c>
      <c r="F31" s="434" t="s">
        <v>200</v>
      </c>
      <c r="G31" s="428" t="s">
        <v>187</v>
      </c>
      <c r="H31" s="454">
        <v>7.5</v>
      </c>
      <c r="I31" s="435" t="s">
        <v>185</v>
      </c>
      <c r="J31" s="200">
        <f t="shared" si="0"/>
        <v>5.76</v>
      </c>
      <c r="K31" s="458">
        <v>41392.33472222222</v>
      </c>
      <c r="L31" s="458">
        <v>41392.532638888886</v>
      </c>
      <c r="M31" s="24">
        <f t="shared" si="1"/>
        <v>4.749999999941792</v>
      </c>
      <c r="N31" s="25">
        <f t="shared" si="2"/>
        <v>285</v>
      </c>
      <c r="O31" s="459" t="s">
        <v>173</v>
      </c>
      <c r="P31" s="459" t="str">
        <f t="shared" si="3"/>
        <v>--</v>
      </c>
      <c r="Q31" s="459" t="s">
        <v>186</v>
      </c>
      <c r="R31" s="459" t="s">
        <v>170</v>
      </c>
      <c r="S31" s="269">
        <f t="shared" si="4"/>
        <v>3</v>
      </c>
      <c r="T31" s="273">
        <f t="shared" si="5"/>
        <v>82.08000000000001</v>
      </c>
      <c r="U31" s="279" t="str">
        <f t="shared" si="6"/>
        <v>--</v>
      </c>
      <c r="V31" s="226" t="str">
        <f t="shared" si="7"/>
        <v>--</v>
      </c>
      <c r="W31" s="287" t="str">
        <f t="shared" si="8"/>
        <v>--</v>
      </c>
      <c r="X31" s="296" t="str">
        <f t="shared" si="9"/>
        <v>--</v>
      </c>
      <c r="Y31" s="297" t="str">
        <f t="shared" si="10"/>
        <v>--</v>
      </c>
      <c r="Z31" s="304" t="str">
        <f t="shared" si="11"/>
        <v>--</v>
      </c>
      <c r="AA31" s="310" t="str">
        <f t="shared" si="12"/>
        <v>--</v>
      </c>
      <c r="AB31" s="23" t="s">
        <v>170</v>
      </c>
      <c r="AC31" s="29">
        <f t="shared" si="13"/>
        <v>82.08000000000001</v>
      </c>
      <c r="AD31" s="320"/>
    </row>
    <row r="32" spans="1:30" s="8" customFormat="1" ht="15">
      <c r="A32" s="123"/>
      <c r="B32" s="128"/>
      <c r="C32" s="449">
        <v>42</v>
      </c>
      <c r="D32" s="449">
        <v>259938</v>
      </c>
      <c r="E32" s="449">
        <v>3819</v>
      </c>
      <c r="F32" s="434" t="s">
        <v>200</v>
      </c>
      <c r="G32" s="428" t="s">
        <v>189</v>
      </c>
      <c r="H32" s="454">
        <v>7.5</v>
      </c>
      <c r="I32" s="435" t="s">
        <v>185</v>
      </c>
      <c r="J32" s="200">
        <f t="shared" si="0"/>
        <v>5.76</v>
      </c>
      <c r="K32" s="458">
        <v>41392.33472222222</v>
      </c>
      <c r="L32" s="458">
        <v>41392.532638888886</v>
      </c>
      <c r="M32" s="24">
        <f t="shared" si="1"/>
        <v>4.749999999941792</v>
      </c>
      <c r="N32" s="25">
        <f t="shared" si="2"/>
        <v>285</v>
      </c>
      <c r="O32" s="459" t="s">
        <v>173</v>
      </c>
      <c r="P32" s="459" t="str">
        <f t="shared" si="3"/>
        <v>--</v>
      </c>
      <c r="Q32" s="459" t="s">
        <v>186</v>
      </c>
      <c r="R32" s="459" t="s">
        <v>170</v>
      </c>
      <c r="S32" s="269">
        <f t="shared" si="4"/>
        <v>3</v>
      </c>
      <c r="T32" s="273">
        <f t="shared" si="5"/>
        <v>82.08000000000001</v>
      </c>
      <c r="U32" s="279" t="str">
        <f t="shared" si="6"/>
        <v>--</v>
      </c>
      <c r="V32" s="226" t="str">
        <f t="shared" si="7"/>
        <v>--</v>
      </c>
      <c r="W32" s="287" t="str">
        <f t="shared" si="8"/>
        <v>--</v>
      </c>
      <c r="X32" s="296" t="str">
        <f t="shared" si="9"/>
        <v>--</v>
      </c>
      <c r="Y32" s="297" t="str">
        <f t="shared" si="10"/>
        <v>--</v>
      </c>
      <c r="Z32" s="304" t="str">
        <f t="shared" si="11"/>
        <v>--</v>
      </c>
      <c r="AA32" s="310" t="str">
        <f t="shared" si="12"/>
        <v>--</v>
      </c>
      <c r="AB32" s="23" t="s">
        <v>170</v>
      </c>
      <c r="AC32" s="29">
        <f t="shared" si="13"/>
        <v>82.08000000000001</v>
      </c>
      <c r="AD32" s="320"/>
    </row>
    <row r="33" spans="1:30" s="8" customFormat="1" ht="15">
      <c r="A33" s="123"/>
      <c r="B33" s="128"/>
      <c r="C33" s="449">
        <v>43</v>
      </c>
      <c r="D33" s="449">
        <v>259939</v>
      </c>
      <c r="E33" s="449">
        <v>4903</v>
      </c>
      <c r="F33" s="434" t="s">
        <v>219</v>
      </c>
      <c r="G33" s="428" t="s">
        <v>187</v>
      </c>
      <c r="H33" s="522">
        <v>20</v>
      </c>
      <c r="I33" s="435" t="s">
        <v>185</v>
      </c>
      <c r="J33" s="200">
        <f t="shared" si="0"/>
        <v>15.36</v>
      </c>
      <c r="K33" s="458">
        <v>41392.33472222222</v>
      </c>
      <c r="L33" s="458">
        <v>41392.532638888886</v>
      </c>
      <c r="M33" s="24">
        <f t="shared" si="1"/>
        <v>4.749999999941792</v>
      </c>
      <c r="N33" s="25">
        <f t="shared" si="2"/>
        <v>285</v>
      </c>
      <c r="O33" s="459" t="s">
        <v>173</v>
      </c>
      <c r="P33" s="459" t="str">
        <f t="shared" si="3"/>
        <v>--</v>
      </c>
      <c r="Q33" s="459" t="s">
        <v>186</v>
      </c>
      <c r="R33" s="459" t="s">
        <v>170</v>
      </c>
      <c r="S33" s="269">
        <f t="shared" si="4"/>
        <v>3</v>
      </c>
      <c r="T33" s="273">
        <f t="shared" si="5"/>
        <v>218.88</v>
      </c>
      <c r="U33" s="279" t="str">
        <f t="shared" si="6"/>
        <v>--</v>
      </c>
      <c r="V33" s="226" t="str">
        <f t="shared" si="7"/>
        <v>--</v>
      </c>
      <c r="W33" s="287" t="str">
        <f t="shared" si="8"/>
        <v>--</v>
      </c>
      <c r="X33" s="296" t="str">
        <f t="shared" si="9"/>
        <v>--</v>
      </c>
      <c r="Y33" s="297" t="str">
        <f t="shared" si="10"/>
        <v>--</v>
      </c>
      <c r="Z33" s="304" t="str">
        <f t="shared" si="11"/>
        <v>--</v>
      </c>
      <c r="AA33" s="310" t="str">
        <f t="shared" si="12"/>
        <v>--</v>
      </c>
      <c r="AB33" s="23" t="s">
        <v>170</v>
      </c>
      <c r="AC33" s="29">
        <f t="shared" si="13"/>
        <v>218.88</v>
      </c>
      <c r="AD33" s="320"/>
    </row>
    <row r="34" spans="1:30" s="8" customFormat="1" ht="15">
      <c r="A34" s="123"/>
      <c r="B34" s="128"/>
      <c r="C34" s="449">
        <v>44</v>
      </c>
      <c r="D34" s="449">
        <v>259940</v>
      </c>
      <c r="E34" s="449">
        <v>4689</v>
      </c>
      <c r="F34" s="434" t="s">
        <v>201</v>
      </c>
      <c r="G34" s="428" t="s">
        <v>187</v>
      </c>
      <c r="H34" s="454">
        <v>7.5</v>
      </c>
      <c r="I34" s="435" t="s">
        <v>185</v>
      </c>
      <c r="J34" s="200">
        <f t="shared" si="0"/>
        <v>5.76</v>
      </c>
      <c r="K34" s="458">
        <v>41392.33472222222</v>
      </c>
      <c r="L34" s="458">
        <v>41392.532638888886</v>
      </c>
      <c r="M34" s="24">
        <f t="shared" si="1"/>
        <v>4.749999999941792</v>
      </c>
      <c r="N34" s="25">
        <f t="shared" si="2"/>
        <v>285</v>
      </c>
      <c r="O34" s="459" t="s">
        <v>173</v>
      </c>
      <c r="P34" s="459" t="str">
        <f t="shared" si="3"/>
        <v>--</v>
      </c>
      <c r="Q34" s="459" t="s">
        <v>186</v>
      </c>
      <c r="R34" s="459" t="s">
        <v>170</v>
      </c>
      <c r="S34" s="269">
        <f t="shared" si="4"/>
        <v>3</v>
      </c>
      <c r="T34" s="273">
        <f t="shared" si="5"/>
        <v>82.08000000000001</v>
      </c>
      <c r="U34" s="279" t="str">
        <f t="shared" si="6"/>
        <v>--</v>
      </c>
      <c r="V34" s="226" t="str">
        <f t="shared" si="7"/>
        <v>--</v>
      </c>
      <c r="W34" s="287" t="str">
        <f t="shared" si="8"/>
        <v>--</v>
      </c>
      <c r="X34" s="296" t="str">
        <f t="shared" si="9"/>
        <v>--</v>
      </c>
      <c r="Y34" s="297" t="str">
        <f t="shared" si="10"/>
        <v>--</v>
      </c>
      <c r="Z34" s="304" t="str">
        <f t="shared" si="11"/>
        <v>--</v>
      </c>
      <c r="AA34" s="310" t="str">
        <f t="shared" si="12"/>
        <v>--</v>
      </c>
      <c r="AB34" s="23" t="s">
        <v>170</v>
      </c>
      <c r="AC34" s="29">
        <f t="shared" si="13"/>
        <v>82.08000000000001</v>
      </c>
      <c r="AD34" s="320"/>
    </row>
    <row r="35" spans="1:30" s="8" customFormat="1" ht="15">
      <c r="A35" s="123"/>
      <c r="B35" s="128"/>
      <c r="C35" s="449">
        <v>45</v>
      </c>
      <c r="D35" s="449">
        <v>259944</v>
      </c>
      <c r="E35" s="449">
        <v>4575</v>
      </c>
      <c r="F35" s="434" t="s">
        <v>202</v>
      </c>
      <c r="G35" s="428" t="s">
        <v>187</v>
      </c>
      <c r="H35" s="454">
        <v>30</v>
      </c>
      <c r="I35" s="435" t="s">
        <v>185</v>
      </c>
      <c r="J35" s="200">
        <f t="shared" si="0"/>
        <v>23.04</v>
      </c>
      <c r="K35" s="458">
        <v>41392.350694444445</v>
      </c>
      <c r="L35" s="458">
        <v>41392.54305555556</v>
      </c>
      <c r="M35" s="24">
        <f t="shared" si="1"/>
        <v>4.616666666697711</v>
      </c>
      <c r="N35" s="25">
        <f t="shared" si="2"/>
        <v>277</v>
      </c>
      <c r="O35" s="459" t="s">
        <v>173</v>
      </c>
      <c r="P35" s="459" t="str">
        <f t="shared" si="3"/>
        <v>--</v>
      </c>
      <c r="Q35" s="459" t="s">
        <v>186</v>
      </c>
      <c r="R35" s="459" t="s">
        <v>217</v>
      </c>
      <c r="S35" s="269">
        <f t="shared" si="4"/>
        <v>0.30000000000000004</v>
      </c>
      <c r="T35" s="273">
        <f t="shared" si="5"/>
        <v>31.933440000000004</v>
      </c>
      <c r="U35" s="279" t="str">
        <f t="shared" si="6"/>
        <v>--</v>
      </c>
      <c r="V35" s="226" t="str">
        <f t="shared" si="7"/>
        <v>--</v>
      </c>
      <c r="W35" s="287" t="str">
        <f t="shared" si="8"/>
        <v>--</v>
      </c>
      <c r="X35" s="296" t="str">
        <f t="shared" si="9"/>
        <v>--</v>
      </c>
      <c r="Y35" s="297" t="str">
        <f t="shared" si="10"/>
        <v>--</v>
      </c>
      <c r="Z35" s="304" t="str">
        <f t="shared" si="11"/>
        <v>--</v>
      </c>
      <c r="AA35" s="310" t="str">
        <f t="shared" si="12"/>
        <v>--</v>
      </c>
      <c r="AB35" s="23" t="s">
        <v>170</v>
      </c>
      <c r="AC35" s="29">
        <f t="shared" si="13"/>
        <v>31.933440000000004</v>
      </c>
      <c r="AD35" s="320"/>
    </row>
    <row r="36" spans="1:30" s="8" customFormat="1" ht="15">
      <c r="A36" s="123"/>
      <c r="B36" s="128"/>
      <c r="C36" s="449">
        <v>46</v>
      </c>
      <c r="D36" s="449">
        <v>259945</v>
      </c>
      <c r="E36" s="449">
        <v>565</v>
      </c>
      <c r="F36" s="434" t="s">
        <v>193</v>
      </c>
      <c r="G36" s="428" t="s">
        <v>187</v>
      </c>
      <c r="H36" s="454">
        <v>30</v>
      </c>
      <c r="I36" s="435" t="s">
        <v>185</v>
      </c>
      <c r="J36" s="200">
        <f t="shared" si="0"/>
        <v>23.04</v>
      </c>
      <c r="K36" s="458">
        <v>41392.38333333333</v>
      </c>
      <c r="L36" s="458">
        <v>41392.64097222222</v>
      </c>
      <c r="M36" s="24">
        <f t="shared" si="1"/>
        <v>6.183333333407063</v>
      </c>
      <c r="N36" s="25">
        <f t="shared" si="2"/>
        <v>371</v>
      </c>
      <c r="O36" s="459" t="s">
        <v>173</v>
      </c>
      <c r="P36" s="459" t="str">
        <f t="shared" si="3"/>
        <v>--</v>
      </c>
      <c r="Q36" s="459" t="s">
        <v>186</v>
      </c>
      <c r="R36" s="459" t="s">
        <v>217</v>
      </c>
      <c r="S36" s="269">
        <f t="shared" si="4"/>
        <v>0.30000000000000004</v>
      </c>
      <c r="T36" s="273">
        <f t="shared" si="5"/>
        <v>42.71616</v>
      </c>
      <c r="U36" s="279" t="str">
        <f t="shared" si="6"/>
        <v>--</v>
      </c>
      <c r="V36" s="226" t="str">
        <f t="shared" si="7"/>
        <v>--</v>
      </c>
      <c r="W36" s="287" t="str">
        <f t="shared" si="8"/>
        <v>--</v>
      </c>
      <c r="X36" s="296" t="str">
        <f t="shared" si="9"/>
        <v>--</v>
      </c>
      <c r="Y36" s="297" t="str">
        <f t="shared" si="10"/>
        <v>--</v>
      </c>
      <c r="Z36" s="304" t="str">
        <f t="shared" si="11"/>
        <v>--</v>
      </c>
      <c r="AA36" s="310" t="str">
        <f t="shared" si="12"/>
        <v>--</v>
      </c>
      <c r="AB36" s="23" t="s">
        <v>170</v>
      </c>
      <c r="AC36" s="29">
        <f t="shared" si="13"/>
        <v>42.71616</v>
      </c>
      <c r="AD36" s="320"/>
    </row>
    <row r="37" spans="1:30" s="8" customFormat="1" ht="15">
      <c r="A37" s="123"/>
      <c r="B37" s="128"/>
      <c r="C37" s="449"/>
      <c r="D37" s="449"/>
      <c r="E37" s="449"/>
      <c r="F37" s="434"/>
      <c r="G37" s="428"/>
      <c r="H37" s="454"/>
      <c r="I37" s="455"/>
      <c r="J37" s="200">
        <f t="shared" si="0"/>
        <v>0</v>
      </c>
      <c r="K37" s="458"/>
      <c r="L37" s="458"/>
      <c r="M37" s="24">
        <f t="shared" si="1"/>
      </c>
      <c r="N37" s="25">
        <f t="shared" si="2"/>
      </c>
      <c r="O37" s="459"/>
      <c r="P37" s="459">
        <f t="shared" si="3"/>
      </c>
      <c r="Q37" s="460">
        <f aca="true" t="shared" si="14" ref="Q37:Q43">IF(F37="","","--")</f>
      </c>
      <c r="R37" s="459"/>
      <c r="S37" s="269">
        <f t="shared" si="4"/>
        <v>3</v>
      </c>
      <c r="T37" s="273" t="str">
        <f t="shared" si="5"/>
        <v>--</v>
      </c>
      <c r="U37" s="279" t="str">
        <f t="shared" si="6"/>
        <v>--</v>
      </c>
      <c r="V37" s="226" t="str">
        <f t="shared" si="7"/>
        <v>--</v>
      </c>
      <c r="W37" s="287" t="str">
        <f t="shared" si="8"/>
        <v>--</v>
      </c>
      <c r="X37" s="296" t="str">
        <f t="shared" si="9"/>
        <v>--</v>
      </c>
      <c r="Y37" s="297" t="str">
        <f t="shared" si="10"/>
        <v>--</v>
      </c>
      <c r="Z37" s="304" t="str">
        <f t="shared" si="11"/>
        <v>--</v>
      </c>
      <c r="AA37" s="310" t="str">
        <f t="shared" si="12"/>
        <v>--</v>
      </c>
      <c r="AB37" s="23">
        <f aca="true" t="shared" si="15" ref="AB37:AB43">IF(F37="","","SI")</f>
      </c>
      <c r="AC37" s="29">
        <f t="shared" si="13"/>
      </c>
      <c r="AD37" s="33"/>
    </row>
    <row r="38" spans="1:30" s="8" customFormat="1" ht="15">
      <c r="A38" s="123"/>
      <c r="B38" s="128"/>
      <c r="C38" s="449"/>
      <c r="D38" s="449"/>
      <c r="E38" s="449"/>
      <c r="F38" s="434"/>
      <c r="G38" s="428"/>
      <c r="H38" s="454"/>
      <c r="I38" s="455"/>
      <c r="J38" s="200">
        <f t="shared" si="0"/>
        <v>0</v>
      </c>
      <c r="K38" s="458"/>
      <c r="L38" s="458"/>
      <c r="M38" s="24">
        <f t="shared" si="1"/>
      </c>
      <c r="N38" s="25">
        <f t="shared" si="2"/>
      </c>
      <c r="O38" s="459"/>
      <c r="P38" s="459">
        <f t="shared" si="3"/>
      </c>
      <c r="Q38" s="460">
        <f t="shared" si="14"/>
      </c>
      <c r="R38" s="459"/>
      <c r="S38" s="269">
        <f t="shared" si="4"/>
        <v>3</v>
      </c>
      <c r="T38" s="273" t="str">
        <f t="shared" si="5"/>
        <v>--</v>
      </c>
      <c r="U38" s="279" t="str">
        <f t="shared" si="6"/>
        <v>--</v>
      </c>
      <c r="V38" s="226" t="str">
        <f t="shared" si="7"/>
        <v>--</v>
      </c>
      <c r="W38" s="287" t="str">
        <f t="shared" si="8"/>
        <v>--</v>
      </c>
      <c r="X38" s="296" t="str">
        <f t="shared" si="9"/>
        <v>--</v>
      </c>
      <c r="Y38" s="297" t="str">
        <f t="shared" si="10"/>
        <v>--</v>
      </c>
      <c r="Z38" s="304" t="str">
        <f t="shared" si="11"/>
        <v>--</v>
      </c>
      <c r="AA38" s="310" t="str">
        <f t="shared" si="12"/>
        <v>--</v>
      </c>
      <c r="AB38" s="23">
        <f t="shared" si="15"/>
      </c>
      <c r="AC38" s="29">
        <f t="shared" si="13"/>
      </c>
      <c r="AD38" s="33"/>
    </row>
    <row r="39" spans="1:30" s="8" customFormat="1" ht="15">
      <c r="A39" s="123"/>
      <c r="B39" s="128"/>
      <c r="C39" s="449"/>
      <c r="D39" s="449"/>
      <c r="E39" s="449"/>
      <c r="F39" s="434"/>
      <c r="G39" s="428"/>
      <c r="H39" s="454"/>
      <c r="I39" s="455"/>
      <c r="J39" s="200">
        <f t="shared" si="0"/>
        <v>0</v>
      </c>
      <c r="K39" s="458"/>
      <c r="L39" s="458"/>
      <c r="M39" s="24">
        <f t="shared" si="1"/>
      </c>
      <c r="N39" s="25">
        <f t="shared" si="2"/>
      </c>
      <c r="O39" s="459"/>
      <c r="P39" s="459">
        <f t="shared" si="3"/>
      </c>
      <c r="Q39" s="460">
        <f t="shared" si="14"/>
      </c>
      <c r="R39" s="459"/>
      <c r="S39" s="269">
        <f t="shared" si="4"/>
        <v>3</v>
      </c>
      <c r="T39" s="273" t="str">
        <f t="shared" si="5"/>
        <v>--</v>
      </c>
      <c r="U39" s="279" t="str">
        <f t="shared" si="6"/>
        <v>--</v>
      </c>
      <c r="V39" s="226" t="str">
        <f t="shared" si="7"/>
        <v>--</v>
      </c>
      <c r="W39" s="287" t="str">
        <f t="shared" si="8"/>
        <v>--</v>
      </c>
      <c r="X39" s="296" t="str">
        <f t="shared" si="9"/>
        <v>--</v>
      </c>
      <c r="Y39" s="297" t="str">
        <f t="shared" si="10"/>
        <v>--</v>
      </c>
      <c r="Z39" s="304" t="str">
        <f t="shared" si="11"/>
        <v>--</v>
      </c>
      <c r="AA39" s="310" t="str">
        <f t="shared" si="12"/>
        <v>--</v>
      </c>
      <c r="AB39" s="23">
        <f t="shared" si="15"/>
      </c>
      <c r="AC39" s="29">
        <f t="shared" si="13"/>
      </c>
      <c r="AD39" s="33"/>
    </row>
    <row r="40" spans="1:30" s="8" customFormat="1" ht="15">
      <c r="A40" s="123"/>
      <c r="B40" s="128"/>
      <c r="C40" s="449"/>
      <c r="D40" s="449"/>
      <c r="E40" s="449"/>
      <c r="F40" s="434"/>
      <c r="G40" s="428"/>
      <c r="H40" s="454"/>
      <c r="I40" s="455"/>
      <c r="J40" s="200">
        <f t="shared" si="0"/>
        <v>0</v>
      </c>
      <c r="K40" s="458"/>
      <c r="L40" s="458"/>
      <c r="M40" s="24">
        <f t="shared" si="1"/>
      </c>
      <c r="N40" s="25">
        <f t="shared" si="2"/>
      </c>
      <c r="O40" s="459"/>
      <c r="P40" s="459">
        <f t="shared" si="3"/>
      </c>
      <c r="Q40" s="460">
        <f t="shared" si="14"/>
      </c>
      <c r="R40" s="459"/>
      <c r="S40" s="269">
        <f t="shared" si="4"/>
        <v>3</v>
      </c>
      <c r="T40" s="273" t="str">
        <f t="shared" si="5"/>
        <v>--</v>
      </c>
      <c r="U40" s="279" t="str">
        <f t="shared" si="6"/>
        <v>--</v>
      </c>
      <c r="V40" s="226" t="str">
        <f t="shared" si="7"/>
        <v>--</v>
      </c>
      <c r="W40" s="287" t="str">
        <f t="shared" si="8"/>
        <v>--</v>
      </c>
      <c r="X40" s="296" t="str">
        <f t="shared" si="9"/>
        <v>--</v>
      </c>
      <c r="Y40" s="297" t="str">
        <f t="shared" si="10"/>
        <v>--</v>
      </c>
      <c r="Z40" s="304" t="str">
        <f t="shared" si="11"/>
        <v>--</v>
      </c>
      <c r="AA40" s="310" t="str">
        <f t="shared" si="12"/>
        <v>--</v>
      </c>
      <c r="AB40" s="23">
        <f t="shared" si="15"/>
      </c>
      <c r="AC40" s="29">
        <f t="shared" si="13"/>
      </c>
      <c r="AD40" s="33"/>
    </row>
    <row r="41" spans="1:30" s="8" customFormat="1" ht="15">
      <c r="A41" s="123"/>
      <c r="B41" s="128"/>
      <c r="C41" s="449"/>
      <c r="D41" s="449"/>
      <c r="E41" s="449"/>
      <c r="F41" s="434"/>
      <c r="G41" s="428"/>
      <c r="H41" s="454"/>
      <c r="I41" s="455"/>
      <c r="J41" s="200">
        <f t="shared" si="0"/>
        <v>0</v>
      </c>
      <c r="K41" s="458"/>
      <c r="L41" s="458"/>
      <c r="M41" s="24">
        <f t="shared" si="1"/>
      </c>
      <c r="N41" s="25">
        <f t="shared" si="2"/>
      </c>
      <c r="O41" s="459"/>
      <c r="P41" s="459">
        <f t="shared" si="3"/>
      </c>
      <c r="Q41" s="460">
        <f t="shared" si="14"/>
      </c>
      <c r="R41" s="459"/>
      <c r="S41" s="269">
        <f t="shared" si="4"/>
        <v>3</v>
      </c>
      <c r="T41" s="273" t="str">
        <f t="shared" si="5"/>
        <v>--</v>
      </c>
      <c r="U41" s="279" t="str">
        <f t="shared" si="6"/>
        <v>--</v>
      </c>
      <c r="V41" s="226" t="str">
        <f t="shared" si="7"/>
        <v>--</v>
      </c>
      <c r="W41" s="287" t="str">
        <f t="shared" si="8"/>
        <v>--</v>
      </c>
      <c r="X41" s="296" t="str">
        <f t="shared" si="9"/>
        <v>--</v>
      </c>
      <c r="Y41" s="297" t="str">
        <f t="shared" si="10"/>
        <v>--</v>
      </c>
      <c r="Z41" s="304" t="str">
        <f t="shared" si="11"/>
        <v>--</v>
      </c>
      <c r="AA41" s="310" t="str">
        <f t="shared" si="12"/>
        <v>--</v>
      </c>
      <c r="AB41" s="23">
        <f t="shared" si="15"/>
      </c>
      <c r="AC41" s="29">
        <f t="shared" si="13"/>
      </c>
      <c r="AD41" s="33"/>
    </row>
    <row r="42" spans="1:30" s="8" customFormat="1" ht="15">
      <c r="A42" s="123"/>
      <c r="B42" s="128"/>
      <c r="C42" s="449"/>
      <c r="D42" s="449"/>
      <c r="E42" s="449"/>
      <c r="F42" s="434"/>
      <c r="G42" s="428"/>
      <c r="H42" s="454"/>
      <c r="I42" s="455"/>
      <c r="J42" s="200">
        <f t="shared" si="0"/>
        <v>0</v>
      </c>
      <c r="K42" s="458"/>
      <c r="L42" s="458"/>
      <c r="M42" s="24">
        <f t="shared" si="1"/>
      </c>
      <c r="N42" s="25">
        <f t="shared" si="2"/>
      </c>
      <c r="O42" s="459"/>
      <c r="P42" s="459">
        <f t="shared" si="3"/>
      </c>
      <c r="Q42" s="460">
        <f t="shared" si="14"/>
      </c>
      <c r="R42" s="459"/>
      <c r="S42" s="269">
        <f t="shared" si="4"/>
        <v>3</v>
      </c>
      <c r="T42" s="273" t="str">
        <f t="shared" si="5"/>
        <v>--</v>
      </c>
      <c r="U42" s="279" t="str">
        <f t="shared" si="6"/>
        <v>--</v>
      </c>
      <c r="V42" s="226" t="str">
        <f t="shared" si="7"/>
        <v>--</v>
      </c>
      <c r="W42" s="287" t="str">
        <f t="shared" si="8"/>
        <v>--</v>
      </c>
      <c r="X42" s="296" t="str">
        <f t="shared" si="9"/>
        <v>--</v>
      </c>
      <c r="Y42" s="297" t="str">
        <f t="shared" si="10"/>
        <v>--</v>
      </c>
      <c r="Z42" s="304" t="str">
        <f t="shared" si="11"/>
        <v>--</v>
      </c>
      <c r="AA42" s="310" t="str">
        <f t="shared" si="12"/>
        <v>--</v>
      </c>
      <c r="AB42" s="23">
        <f t="shared" si="15"/>
      </c>
      <c r="AC42" s="29">
        <f t="shared" si="13"/>
      </c>
      <c r="AD42" s="33"/>
    </row>
    <row r="43" spans="1:30" s="8" customFormat="1" ht="15">
      <c r="A43" s="123"/>
      <c r="B43" s="128"/>
      <c r="C43" s="449"/>
      <c r="D43" s="449"/>
      <c r="E43" s="449"/>
      <c r="F43" s="434"/>
      <c r="G43" s="428"/>
      <c r="H43" s="454"/>
      <c r="I43" s="455"/>
      <c r="J43" s="200">
        <f t="shared" si="0"/>
        <v>0</v>
      </c>
      <c r="K43" s="458"/>
      <c r="L43" s="458"/>
      <c r="M43" s="24">
        <f t="shared" si="1"/>
      </c>
      <c r="N43" s="25">
        <f t="shared" si="2"/>
      </c>
      <c r="O43" s="459"/>
      <c r="P43" s="459">
        <f t="shared" si="3"/>
      </c>
      <c r="Q43" s="460">
        <f t="shared" si="14"/>
      </c>
      <c r="R43" s="459"/>
      <c r="S43" s="269">
        <f t="shared" si="4"/>
        <v>3</v>
      </c>
      <c r="T43" s="273" t="str">
        <f t="shared" si="5"/>
        <v>--</v>
      </c>
      <c r="U43" s="279" t="str">
        <f t="shared" si="6"/>
        <v>--</v>
      </c>
      <c r="V43" s="226" t="str">
        <f t="shared" si="7"/>
        <v>--</v>
      </c>
      <c r="W43" s="287" t="str">
        <f t="shared" si="8"/>
        <v>--</v>
      </c>
      <c r="X43" s="296" t="str">
        <f t="shared" si="9"/>
        <v>--</v>
      </c>
      <c r="Y43" s="297" t="str">
        <f t="shared" si="10"/>
        <v>--</v>
      </c>
      <c r="Z43" s="304" t="str">
        <f t="shared" si="11"/>
        <v>--</v>
      </c>
      <c r="AA43" s="310" t="str">
        <f t="shared" si="12"/>
        <v>--</v>
      </c>
      <c r="AB43" s="23">
        <f t="shared" si="15"/>
      </c>
      <c r="AC43" s="29">
        <f t="shared" si="13"/>
      </c>
      <c r="AD43" s="33"/>
    </row>
    <row r="44" spans="1:30" s="8" customFormat="1" ht="15.75" thickBot="1">
      <c r="A44" s="123"/>
      <c r="B44" s="128"/>
      <c r="C44" s="456"/>
      <c r="D44" s="456"/>
      <c r="E44" s="456"/>
      <c r="F44" s="456"/>
      <c r="G44" s="456"/>
      <c r="H44" s="456"/>
      <c r="I44" s="456"/>
      <c r="J44" s="204"/>
      <c r="K44" s="456"/>
      <c r="L44" s="456"/>
      <c r="M44" s="26"/>
      <c r="N44" s="26"/>
      <c r="O44" s="456"/>
      <c r="P44" s="456"/>
      <c r="Q44" s="456"/>
      <c r="R44" s="456"/>
      <c r="S44" s="265"/>
      <c r="T44" s="274"/>
      <c r="U44" s="280"/>
      <c r="V44" s="283"/>
      <c r="W44" s="284"/>
      <c r="X44" s="298"/>
      <c r="Y44" s="299"/>
      <c r="Z44" s="305"/>
      <c r="AA44" s="311"/>
      <c r="AB44" s="26"/>
      <c r="AC44" s="207"/>
      <c r="AD44" s="33"/>
    </row>
    <row r="45" spans="1:30" s="8" customFormat="1" ht="17.25" thickBot="1" thickTop="1">
      <c r="A45" s="123"/>
      <c r="B45" s="128"/>
      <c r="C45" s="524" t="s">
        <v>222</v>
      </c>
      <c r="D45" s="523" t="s">
        <v>224</v>
      </c>
      <c r="E45" s="188"/>
      <c r="F45" s="18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5">
        <f aca="true" t="shared" si="16" ref="T45:AA45">SUM(T22:T44)</f>
        <v>868.0896000000002</v>
      </c>
      <c r="U45" s="281">
        <f t="shared" si="16"/>
        <v>47.471616000000004</v>
      </c>
      <c r="V45" s="285">
        <f t="shared" si="16"/>
        <v>0</v>
      </c>
      <c r="W45" s="285">
        <f t="shared" si="16"/>
        <v>0</v>
      </c>
      <c r="X45" s="300">
        <f t="shared" si="16"/>
        <v>0</v>
      </c>
      <c r="Y45" s="300">
        <f t="shared" si="16"/>
        <v>0</v>
      </c>
      <c r="Z45" s="306">
        <f t="shared" si="16"/>
        <v>0</v>
      </c>
      <c r="AA45" s="312">
        <f t="shared" si="16"/>
        <v>0</v>
      </c>
      <c r="AB45" s="208"/>
      <c r="AC45" s="135">
        <f>ROUND(SUM(AC22:AC44),2)</f>
        <v>1268.61</v>
      </c>
      <c r="AD45" s="33"/>
    </row>
    <row r="46" spans="1:30" s="8" customFormat="1" ht="13.5" thickTop="1">
      <c r="A46" s="123"/>
      <c r="B46" s="128"/>
      <c r="C46" s="188"/>
      <c r="D46" s="188"/>
      <c r="E46" s="188"/>
      <c r="F46" s="189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33"/>
    </row>
    <row r="47" spans="1:30" s="8" customFormat="1" ht="13.5" thickBot="1">
      <c r="A47" s="123"/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8"/>
    </row>
    <row r="48" spans="1:30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2"/>
    </row>
    <row r="49" ht="16.5" customHeight="1"/>
  </sheetData>
  <sheetProtection/>
  <printOptions/>
  <pageMargins left="0.44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2:W36"/>
  <sheetViews>
    <sheetView zoomScale="75" zoomScaleNormal="75" zoomScalePageLayoutView="0" workbookViewId="0" topLeftCell="A1">
      <selection activeCell="G18" sqref="G18"/>
    </sheetView>
  </sheetViews>
  <sheetFormatPr defaultColWidth="11.421875" defaultRowHeight="12.75"/>
  <cols>
    <col min="1" max="1" width="0.85546875" style="0" customWidth="1"/>
    <col min="2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35.7109375" style="0" customWidth="1"/>
    <col min="8" max="8" width="10.7109375" style="0" customWidth="1"/>
    <col min="9" max="9" width="14.7109375" style="0" hidden="1" customWidth="1"/>
    <col min="10" max="10" width="17.28125" style="0" customWidth="1"/>
    <col min="11" max="11" width="17.8515625" style="0" customWidth="1"/>
    <col min="12" max="14" width="9.7109375" style="0" customWidth="1"/>
    <col min="15" max="15" width="8.140625" style="0" customWidth="1"/>
    <col min="16" max="16" width="13.8515625" style="0" hidden="1" customWidth="1"/>
    <col min="17" max="20" width="16.57421875" style="0" hidden="1" customWidth="1"/>
    <col min="21" max="21" width="16.57421875" style="0" customWidth="1"/>
    <col min="22" max="22" width="15.7109375" style="0" customWidth="1"/>
    <col min="23" max="23" width="4.140625" style="0" customWidth="1"/>
  </cols>
  <sheetData>
    <row r="1" s="36" customFormat="1" ht="26.25"/>
    <row r="2" spans="2:23" s="36" customFormat="1" ht="26.25">
      <c r="B2" s="507" t="str">
        <f>+'TOT-0413'!B2</f>
        <v>ANEXO I al Memorandum D.T.E.E. N°  475 / 2014</v>
      </c>
      <c r="C2" s="39"/>
      <c r="D2" s="39"/>
      <c r="E2" s="39"/>
      <c r="F2" s="39"/>
      <c r="G2" s="114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="8" customFormat="1" ht="12.75"/>
    <row r="4" spans="1:3" s="43" customFormat="1" ht="11.25">
      <c r="A4" s="508" t="s">
        <v>152</v>
      </c>
      <c r="B4" s="116"/>
      <c r="C4" s="508"/>
    </row>
    <row r="5" spans="1:3" s="43" customFormat="1" ht="11.25">
      <c r="A5" s="508" t="s">
        <v>153</v>
      </c>
      <c r="B5" s="116"/>
      <c r="C5" s="116"/>
    </row>
    <row r="6" s="8" customFormat="1" ht="16.5" customHeight="1" thickBot="1"/>
    <row r="7" spans="2:23" s="8" customFormat="1" ht="16.5" customHeight="1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3"/>
    </row>
    <row r="8" spans="2:23" s="47" customFormat="1" ht="20.25">
      <c r="B8" s="103"/>
      <c r="C8" s="48"/>
      <c r="D8" s="48"/>
      <c r="E8" s="48"/>
      <c r="F8" s="19" t="s">
        <v>57</v>
      </c>
      <c r="G8" s="19"/>
      <c r="P8" s="48"/>
      <c r="Q8" s="48"/>
      <c r="R8" s="48"/>
      <c r="S8" s="48"/>
      <c r="T8" s="48"/>
      <c r="U8" s="48"/>
      <c r="V8" s="48"/>
      <c r="W8" s="104"/>
    </row>
    <row r="9" spans="2:23" s="8" customFormat="1" ht="16.5" customHeight="1">
      <c r="B9" s="69"/>
      <c r="C9" s="7"/>
      <c r="D9" s="7"/>
      <c r="E9" s="7"/>
      <c r="F9" s="7"/>
      <c r="G9" s="7"/>
      <c r="H9" s="7"/>
      <c r="I9" s="99"/>
      <c r="J9" s="99"/>
      <c r="K9" s="99"/>
      <c r="L9" s="99"/>
      <c r="M9" s="99"/>
      <c r="P9" s="7"/>
      <c r="Q9" s="7"/>
      <c r="R9" s="7"/>
      <c r="S9" s="7"/>
      <c r="T9" s="7"/>
      <c r="U9" s="7"/>
      <c r="V9" s="7"/>
      <c r="W9" s="9"/>
    </row>
    <row r="10" spans="2:23" s="47" customFormat="1" ht="20.25">
      <c r="B10" s="103"/>
      <c r="C10" s="48"/>
      <c r="D10" s="48"/>
      <c r="E10" s="48"/>
      <c r="F10" s="19" t="s">
        <v>58</v>
      </c>
      <c r="G10" s="19"/>
      <c r="H10" s="48"/>
      <c r="I10" s="19"/>
      <c r="J10" s="19"/>
      <c r="K10" s="19"/>
      <c r="L10" s="19"/>
      <c r="M10" s="19"/>
      <c r="P10" s="48"/>
      <c r="Q10" s="48"/>
      <c r="R10" s="48"/>
      <c r="S10" s="48"/>
      <c r="T10" s="48"/>
      <c r="U10" s="48"/>
      <c r="V10" s="48"/>
      <c r="W10" s="104"/>
    </row>
    <row r="11" spans="2:23" s="8" customFormat="1" ht="16.5" customHeight="1">
      <c r="B11" s="69"/>
      <c r="C11" s="7"/>
      <c r="D11" s="7"/>
      <c r="E11" s="7"/>
      <c r="F11" s="7"/>
      <c r="G11" s="7"/>
      <c r="H11" s="7"/>
      <c r="I11" s="99"/>
      <c r="J11" s="99"/>
      <c r="K11" s="99"/>
      <c r="L11" s="99"/>
      <c r="M11" s="99"/>
      <c r="P11" s="7"/>
      <c r="Q11" s="7"/>
      <c r="R11" s="7"/>
      <c r="S11" s="7"/>
      <c r="T11" s="7"/>
      <c r="U11" s="7"/>
      <c r="V11" s="7"/>
      <c r="W11" s="9"/>
    </row>
    <row r="12" spans="2:23" s="47" customFormat="1" ht="20.25">
      <c r="B12" s="103"/>
      <c r="C12" s="48"/>
      <c r="D12" s="48"/>
      <c r="E12" s="48"/>
      <c r="F12" s="19" t="s">
        <v>59</v>
      </c>
      <c r="G12" s="19"/>
      <c r="H12" s="48"/>
      <c r="I12" s="19"/>
      <c r="J12" s="19"/>
      <c r="K12" s="19"/>
      <c r="L12" s="19"/>
      <c r="M12" s="19"/>
      <c r="P12" s="48"/>
      <c r="Q12" s="48"/>
      <c r="R12" s="48"/>
      <c r="S12" s="48"/>
      <c r="T12" s="48"/>
      <c r="U12" s="48"/>
      <c r="V12" s="48"/>
      <c r="W12" s="104"/>
    </row>
    <row r="13" spans="2:23" s="8" customFormat="1" ht="16.5" customHeight="1">
      <c r="B13" s="69"/>
      <c r="C13" s="7"/>
      <c r="D13" s="7"/>
      <c r="E13" s="7"/>
      <c r="F13" s="101"/>
      <c r="G13" s="99"/>
      <c r="H13" s="7"/>
      <c r="I13" s="99"/>
      <c r="J13" s="99"/>
      <c r="K13" s="99"/>
      <c r="L13" s="99"/>
      <c r="M13" s="99"/>
      <c r="P13" s="7"/>
      <c r="Q13" s="7"/>
      <c r="R13" s="7"/>
      <c r="S13" s="7"/>
      <c r="T13" s="7"/>
      <c r="U13" s="7"/>
      <c r="V13" s="7"/>
      <c r="W13" s="9"/>
    </row>
    <row r="14" spans="2:23" s="54" customFormat="1" ht="19.5">
      <c r="B14" s="55" t="str">
        <f>'TOT-0413'!B14</f>
        <v>Desde el 01 al 30 de abril de 2013</v>
      </c>
      <c r="C14" s="59"/>
      <c r="D14" s="59"/>
      <c r="E14" s="59"/>
      <c r="F14" s="59"/>
      <c r="G14" s="59"/>
      <c r="H14" s="59"/>
      <c r="I14" s="59"/>
      <c r="J14" s="164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0"/>
    </row>
    <row r="15" spans="2:23" s="8" customFormat="1" ht="16.5" customHeight="1" thickBot="1">
      <c r="B15" s="69"/>
      <c r="C15" s="7"/>
      <c r="D15" s="7"/>
      <c r="E15" s="7"/>
      <c r="I15" s="94"/>
      <c r="K15" s="7"/>
      <c r="L15" s="7"/>
      <c r="M15" s="7"/>
      <c r="N15" s="94"/>
      <c r="O15" s="94"/>
      <c r="P15" s="94"/>
      <c r="Q15" s="7"/>
      <c r="R15" s="7"/>
      <c r="S15" s="7"/>
      <c r="T15" s="7"/>
      <c r="U15" s="7"/>
      <c r="V15" s="7"/>
      <c r="W15" s="9"/>
    </row>
    <row r="16" spans="2:23" s="8" customFormat="1" ht="16.5" customHeight="1" thickBot="1" thickTop="1">
      <c r="B16" s="69"/>
      <c r="C16" s="7"/>
      <c r="D16" s="7"/>
      <c r="E16" s="7"/>
      <c r="F16" s="165" t="s">
        <v>60</v>
      </c>
      <c r="G16" s="166">
        <v>10.254</v>
      </c>
      <c r="H16" s="167">
        <f>50*'TOT-0413'!B13</f>
        <v>50</v>
      </c>
      <c r="J16" s="194" t="str">
        <f>IF(H16=50," ",IF(H16=100,"  Coeficiente duplicado por tasa de falla &gt;4 Sal. x año/100 km.","REVISAR COEFICIENTE"))</f>
        <v> </v>
      </c>
      <c r="S16" s="7"/>
      <c r="T16" s="7"/>
      <c r="U16" s="7"/>
      <c r="V16" s="161"/>
      <c r="W16" s="9"/>
    </row>
    <row r="17" spans="2:23" s="8" customFormat="1" ht="16.5" customHeight="1" thickBot="1" thickTop="1">
      <c r="B17" s="69"/>
      <c r="C17" s="7"/>
      <c r="D17" s="7"/>
      <c r="E17" s="7"/>
      <c r="F17" s="168" t="s">
        <v>61</v>
      </c>
      <c r="G17" s="169">
        <v>7.693</v>
      </c>
      <c r="H17" s="170">
        <f>25*'TOT-0413'!B13</f>
        <v>25</v>
      </c>
      <c r="J17" s="194" t="str">
        <f>IF(H17=25," ",IF(H17=50,"  Coeficiente duplicado por tasa de falla &gt;4 Sal. x año/100 km.","REVISAR COEFICIENTE"))</f>
        <v> </v>
      </c>
      <c r="K17" s="95"/>
      <c r="L17" s="95"/>
      <c r="M17" s="7"/>
      <c r="P17" s="162"/>
      <c r="Q17" s="163"/>
      <c r="R17" s="87"/>
      <c r="S17" s="7"/>
      <c r="T17" s="7"/>
      <c r="U17" s="7"/>
      <c r="V17" s="161"/>
      <c r="W17" s="9"/>
    </row>
    <row r="18" spans="2:23" s="8" customFormat="1" ht="16.5" customHeight="1" thickBot="1" thickTop="1">
      <c r="B18" s="69"/>
      <c r="C18" s="7"/>
      <c r="D18" s="7"/>
      <c r="E18" s="7"/>
      <c r="F18" s="171" t="s">
        <v>62</v>
      </c>
      <c r="G18" s="169">
        <v>7.693</v>
      </c>
      <c r="H18" s="172">
        <f>20*'TOT-0413'!B13</f>
        <v>20</v>
      </c>
      <c r="J18" s="194" t="str">
        <f>IF(H18=20," ",IF(H18=40,"  Coeficiente duplicado por tasa de falla &gt;4 Sal. x año/100 km.","REVISAR COEFICIENTE"))</f>
        <v> </v>
      </c>
      <c r="K18" s="95"/>
      <c r="L18" s="95"/>
      <c r="M18" s="7"/>
      <c r="N18" s="419"/>
      <c r="O18" s="419"/>
      <c r="P18" s="417"/>
      <c r="Q18" s="418"/>
      <c r="R18" s="419"/>
      <c r="S18" s="420"/>
      <c r="T18" s="420"/>
      <c r="U18" s="421"/>
      <c r="V18" s="161"/>
      <c r="W18" s="9"/>
    </row>
    <row r="19" spans="2:23" s="8" customFormat="1" ht="16.5" customHeight="1" thickBot="1" thickTop="1">
      <c r="B19" s="69"/>
      <c r="C19" s="520">
        <v>3</v>
      </c>
      <c r="D19" s="520">
        <v>4</v>
      </c>
      <c r="E19" s="520">
        <v>5</v>
      </c>
      <c r="F19" s="520">
        <v>6</v>
      </c>
      <c r="G19" s="520">
        <v>7</v>
      </c>
      <c r="H19" s="520">
        <v>8</v>
      </c>
      <c r="I19" s="520">
        <v>9</v>
      </c>
      <c r="J19" s="520">
        <v>10</v>
      </c>
      <c r="K19" s="520">
        <v>11</v>
      </c>
      <c r="L19" s="520">
        <v>12</v>
      </c>
      <c r="M19" s="520">
        <v>13</v>
      </c>
      <c r="N19" s="520">
        <v>14</v>
      </c>
      <c r="O19" s="520">
        <v>15</v>
      </c>
      <c r="P19" s="520">
        <v>16</v>
      </c>
      <c r="Q19" s="520">
        <v>17</v>
      </c>
      <c r="R19" s="520">
        <v>18</v>
      </c>
      <c r="S19" s="520">
        <v>19</v>
      </c>
      <c r="T19" s="520">
        <v>20</v>
      </c>
      <c r="U19" s="520">
        <v>21</v>
      </c>
      <c r="V19" s="520">
        <v>22</v>
      </c>
      <c r="W19" s="9"/>
    </row>
    <row r="20" spans="2:23" s="8" customFormat="1" ht="33.75" customHeight="1" thickBot="1" thickTop="1">
      <c r="B20" s="69"/>
      <c r="C20" s="117" t="s">
        <v>24</v>
      </c>
      <c r="D20" s="117" t="s">
        <v>151</v>
      </c>
      <c r="E20" s="117" t="s">
        <v>150</v>
      </c>
      <c r="F20" s="176" t="s">
        <v>47</v>
      </c>
      <c r="G20" s="180" t="s">
        <v>48</v>
      </c>
      <c r="H20" s="181" t="s">
        <v>25</v>
      </c>
      <c r="I20" s="198" t="s">
        <v>27</v>
      </c>
      <c r="J20" s="175" t="s">
        <v>28</v>
      </c>
      <c r="K20" s="180" t="s">
        <v>29</v>
      </c>
      <c r="L20" s="182" t="s">
        <v>63</v>
      </c>
      <c r="M20" s="182" t="s">
        <v>51</v>
      </c>
      <c r="N20" s="121" t="s">
        <v>32</v>
      </c>
      <c r="O20" s="179" t="s">
        <v>52</v>
      </c>
      <c r="P20" s="313" t="s">
        <v>64</v>
      </c>
      <c r="Q20" s="314" t="s">
        <v>34</v>
      </c>
      <c r="R20" s="315" t="s">
        <v>55</v>
      </c>
      <c r="S20" s="316"/>
      <c r="T20" s="251" t="s">
        <v>38</v>
      </c>
      <c r="U20" s="178" t="s">
        <v>40</v>
      </c>
      <c r="V20" s="178" t="s">
        <v>41</v>
      </c>
      <c r="W20" s="33"/>
    </row>
    <row r="21" spans="2:23" s="8" customFormat="1" ht="16.5" customHeight="1" thickTop="1">
      <c r="B21" s="69"/>
      <c r="C21" s="452"/>
      <c r="D21" s="449"/>
      <c r="E21" s="449"/>
      <c r="F21" s="462"/>
      <c r="G21" s="463"/>
      <c r="H21" s="464"/>
      <c r="I21" s="205"/>
      <c r="J21" s="468"/>
      <c r="K21" s="470"/>
      <c r="L21" s="28"/>
      <c r="M21" s="25"/>
      <c r="N21" s="471"/>
      <c r="O21" s="471"/>
      <c r="P21" s="472"/>
      <c r="Q21" s="473"/>
      <c r="R21" s="474"/>
      <c r="S21" s="475"/>
      <c r="T21" s="476"/>
      <c r="U21" s="477"/>
      <c r="V21" s="35"/>
      <c r="W21" s="33"/>
    </row>
    <row r="22" spans="2:23" s="8" customFormat="1" ht="16.5" customHeight="1">
      <c r="B22" s="69"/>
      <c r="C22" s="452"/>
      <c r="D22" s="449"/>
      <c r="E22" s="449"/>
      <c r="F22" s="463"/>
      <c r="G22" s="463"/>
      <c r="H22" s="464"/>
      <c r="I22" s="205"/>
      <c r="J22" s="468"/>
      <c r="K22" s="470"/>
      <c r="L22" s="28"/>
      <c r="M22" s="25"/>
      <c r="N22" s="471"/>
      <c r="O22" s="471"/>
      <c r="P22" s="478"/>
      <c r="Q22" s="479"/>
      <c r="R22" s="480"/>
      <c r="S22" s="481"/>
      <c r="T22" s="482"/>
      <c r="U22" s="459"/>
      <c r="V22" s="173"/>
      <c r="W22" s="33"/>
    </row>
    <row r="23" spans="2:23" s="8" customFormat="1" ht="16.5" customHeight="1">
      <c r="B23" s="69"/>
      <c r="C23" s="452">
        <v>47</v>
      </c>
      <c r="D23" s="449">
        <v>259921</v>
      </c>
      <c r="E23" s="449">
        <v>3582</v>
      </c>
      <c r="F23" s="463" t="s">
        <v>199</v>
      </c>
      <c r="G23" s="463" t="s">
        <v>203</v>
      </c>
      <c r="H23" s="464">
        <v>13.199999809265137</v>
      </c>
      <c r="I23" s="205">
        <f aca="true" t="shared" si="0" ref="I23:I31">IF(OR(H23=132,H23=66),$G$16,IF(H23=33,$G$17,$G$18))</f>
        <v>7.693</v>
      </c>
      <c r="J23" s="468">
        <v>41392.33472222222</v>
      </c>
      <c r="K23" s="470">
        <v>41392.532638888886</v>
      </c>
      <c r="L23" s="28">
        <f aca="true" t="shared" si="1" ref="L23:L31">IF(F23="","",(K23-J23)*24)</f>
        <v>4.749999999941792</v>
      </c>
      <c r="M23" s="25">
        <f aca="true" t="shared" si="2" ref="M23:M31">IF(F23="","",ROUND((K23-J23)*24*60,0))</f>
        <v>285</v>
      </c>
      <c r="N23" s="471" t="s">
        <v>173</v>
      </c>
      <c r="O23" s="471" t="str">
        <f aca="true" t="shared" si="3" ref="O23:O31">IF(F23="","",IF(OR(N23="P",N23="RP"),"--","NO"))</f>
        <v>--</v>
      </c>
      <c r="P23" s="478">
        <f aca="true" t="shared" si="4" ref="P23:P31">IF(H23&gt;33,$H$16,IF(H23=33,$H$17,$H$18))</f>
        <v>20</v>
      </c>
      <c r="Q23" s="479">
        <f aca="true" t="shared" si="5" ref="Q23:Q31">IF(N23="P",I23*P23*ROUND(M23/60,2)*0.1,"--")</f>
        <v>73.0835</v>
      </c>
      <c r="R23" s="480" t="str">
        <f aca="true" t="shared" si="6" ref="R23:R31">IF(AND(N23="F",O23="NO"),I23*P23,"--")</f>
        <v>--</v>
      </c>
      <c r="S23" s="481" t="str">
        <f aca="true" t="shared" si="7" ref="S23:S31">IF(N23="F",I23*P23*ROUND(M23/60,2),"--")</f>
        <v>--</v>
      </c>
      <c r="T23" s="482" t="str">
        <f aca="true" t="shared" si="8" ref="T23:T31">IF(N23="RF",I23*P23*ROUND(M23/60,2),"--")</f>
        <v>--</v>
      </c>
      <c r="U23" s="459" t="s">
        <v>170</v>
      </c>
      <c r="V23" s="30">
        <f aca="true" t="shared" si="9" ref="V23:V31">IF(F23="","",SUM(Q23:T23)*IF(U23="SI",1,2)*IF(H23="500/220",0,1))</f>
        <v>73.0835</v>
      </c>
      <c r="W23" s="33"/>
    </row>
    <row r="24" spans="2:23" s="8" customFormat="1" ht="16.5" customHeight="1">
      <c r="B24" s="69"/>
      <c r="C24" s="452">
        <v>48</v>
      </c>
      <c r="D24" s="449">
        <v>259922</v>
      </c>
      <c r="E24" s="449">
        <v>3583</v>
      </c>
      <c r="F24" s="463" t="s">
        <v>199</v>
      </c>
      <c r="G24" s="463" t="s">
        <v>204</v>
      </c>
      <c r="H24" s="464">
        <v>13.199999809265137</v>
      </c>
      <c r="I24" s="205">
        <f t="shared" si="0"/>
        <v>7.693</v>
      </c>
      <c r="J24" s="468">
        <v>41392.33472222222</v>
      </c>
      <c r="K24" s="470">
        <v>41392.532638888886</v>
      </c>
      <c r="L24" s="28">
        <f t="shared" si="1"/>
        <v>4.749999999941792</v>
      </c>
      <c r="M24" s="25">
        <f t="shared" si="2"/>
        <v>285</v>
      </c>
      <c r="N24" s="471" t="s">
        <v>173</v>
      </c>
      <c r="O24" s="471" t="str">
        <f t="shared" si="3"/>
        <v>--</v>
      </c>
      <c r="P24" s="478">
        <f t="shared" si="4"/>
        <v>20</v>
      </c>
      <c r="Q24" s="479">
        <f t="shared" si="5"/>
        <v>73.0835</v>
      </c>
      <c r="R24" s="480" t="str">
        <f t="shared" si="6"/>
        <v>--</v>
      </c>
      <c r="S24" s="481" t="str">
        <f t="shared" si="7"/>
        <v>--</v>
      </c>
      <c r="T24" s="482" t="str">
        <f t="shared" si="8"/>
        <v>--</v>
      </c>
      <c r="U24" s="459" t="s">
        <v>170</v>
      </c>
      <c r="V24" s="30">
        <f t="shared" si="9"/>
        <v>73.0835</v>
      </c>
      <c r="W24" s="33"/>
    </row>
    <row r="25" spans="2:23" s="8" customFormat="1" ht="16.5" customHeight="1">
      <c r="B25" s="69"/>
      <c r="C25" s="452">
        <v>49</v>
      </c>
      <c r="D25" s="449">
        <v>259925</v>
      </c>
      <c r="E25" s="449">
        <v>3584</v>
      </c>
      <c r="F25" s="463" t="s">
        <v>199</v>
      </c>
      <c r="G25" s="463" t="s">
        <v>205</v>
      </c>
      <c r="H25" s="464">
        <v>13.199999809265137</v>
      </c>
      <c r="I25" s="205">
        <f t="shared" si="0"/>
        <v>7.693</v>
      </c>
      <c r="J25" s="468">
        <v>41392.33472222222</v>
      </c>
      <c r="K25" s="470">
        <v>41392.532638888886</v>
      </c>
      <c r="L25" s="28">
        <f t="shared" si="1"/>
        <v>4.749999999941792</v>
      </c>
      <c r="M25" s="25">
        <f t="shared" si="2"/>
        <v>285</v>
      </c>
      <c r="N25" s="471" t="s">
        <v>173</v>
      </c>
      <c r="O25" s="471" t="str">
        <f t="shared" si="3"/>
        <v>--</v>
      </c>
      <c r="P25" s="478">
        <f t="shared" si="4"/>
        <v>20</v>
      </c>
      <c r="Q25" s="479">
        <f t="shared" si="5"/>
        <v>73.0835</v>
      </c>
      <c r="R25" s="480" t="str">
        <f t="shared" si="6"/>
        <v>--</v>
      </c>
      <c r="S25" s="481" t="str">
        <f t="shared" si="7"/>
        <v>--</v>
      </c>
      <c r="T25" s="482" t="str">
        <f t="shared" si="8"/>
        <v>--</v>
      </c>
      <c r="U25" s="459" t="s">
        <v>170</v>
      </c>
      <c r="V25" s="30">
        <f t="shared" si="9"/>
        <v>73.0835</v>
      </c>
      <c r="W25" s="33"/>
    </row>
    <row r="26" spans="2:23" s="8" customFormat="1" ht="16.5" customHeight="1">
      <c r="B26" s="69"/>
      <c r="C26" s="452">
        <v>50</v>
      </c>
      <c r="D26" s="449">
        <v>259926</v>
      </c>
      <c r="E26" s="449">
        <v>3735</v>
      </c>
      <c r="F26" s="463" t="s">
        <v>199</v>
      </c>
      <c r="G26" s="463" t="s">
        <v>206</v>
      </c>
      <c r="H26" s="464">
        <v>33</v>
      </c>
      <c r="I26" s="205">
        <f t="shared" si="0"/>
        <v>7.693</v>
      </c>
      <c r="J26" s="468">
        <v>41392.33472222222</v>
      </c>
      <c r="K26" s="470">
        <v>41392.532638888886</v>
      </c>
      <c r="L26" s="28">
        <f t="shared" si="1"/>
        <v>4.749999999941792</v>
      </c>
      <c r="M26" s="25">
        <f t="shared" si="2"/>
        <v>285</v>
      </c>
      <c r="N26" s="471" t="s">
        <v>173</v>
      </c>
      <c r="O26" s="471" t="str">
        <f t="shared" si="3"/>
        <v>--</v>
      </c>
      <c r="P26" s="478">
        <f t="shared" si="4"/>
        <v>25</v>
      </c>
      <c r="Q26" s="479">
        <f t="shared" si="5"/>
        <v>91.354375</v>
      </c>
      <c r="R26" s="480" t="str">
        <f t="shared" si="6"/>
        <v>--</v>
      </c>
      <c r="S26" s="481" t="str">
        <f t="shared" si="7"/>
        <v>--</v>
      </c>
      <c r="T26" s="482" t="str">
        <f t="shared" si="8"/>
        <v>--</v>
      </c>
      <c r="U26" s="459" t="s">
        <v>170</v>
      </c>
      <c r="V26" s="30">
        <f t="shared" si="9"/>
        <v>91.354375</v>
      </c>
      <c r="W26" s="33"/>
    </row>
    <row r="27" spans="2:23" s="8" customFormat="1" ht="16.5" customHeight="1">
      <c r="B27" s="69"/>
      <c r="C27" s="452">
        <v>51</v>
      </c>
      <c r="D27" s="449">
        <v>259927</v>
      </c>
      <c r="E27" s="449">
        <v>3588</v>
      </c>
      <c r="F27" s="463" t="s">
        <v>200</v>
      </c>
      <c r="G27" s="463" t="s">
        <v>207</v>
      </c>
      <c r="H27" s="464">
        <v>13.199999809265137</v>
      </c>
      <c r="I27" s="205">
        <f t="shared" si="0"/>
        <v>7.693</v>
      </c>
      <c r="J27" s="468">
        <v>41392.33472222222</v>
      </c>
      <c r="K27" s="470">
        <v>41392.532638888886</v>
      </c>
      <c r="L27" s="28">
        <f t="shared" si="1"/>
        <v>4.749999999941792</v>
      </c>
      <c r="M27" s="25">
        <f t="shared" si="2"/>
        <v>285</v>
      </c>
      <c r="N27" s="471" t="s">
        <v>173</v>
      </c>
      <c r="O27" s="471" t="str">
        <f t="shared" si="3"/>
        <v>--</v>
      </c>
      <c r="P27" s="478">
        <f t="shared" si="4"/>
        <v>20</v>
      </c>
      <c r="Q27" s="479">
        <f t="shared" si="5"/>
        <v>73.0835</v>
      </c>
      <c r="R27" s="480" t="str">
        <f t="shared" si="6"/>
        <v>--</v>
      </c>
      <c r="S27" s="481" t="str">
        <f t="shared" si="7"/>
        <v>--</v>
      </c>
      <c r="T27" s="482" t="str">
        <f t="shared" si="8"/>
        <v>--</v>
      </c>
      <c r="U27" s="459" t="s">
        <v>170</v>
      </c>
      <c r="V27" s="30">
        <f t="shared" si="9"/>
        <v>73.0835</v>
      </c>
      <c r="W27" s="33"/>
    </row>
    <row r="28" spans="2:23" s="8" customFormat="1" ht="16.5" customHeight="1">
      <c r="B28" s="69"/>
      <c r="C28" s="452">
        <v>52</v>
      </c>
      <c r="D28" s="449">
        <v>259928</v>
      </c>
      <c r="E28" s="449">
        <v>3586</v>
      </c>
      <c r="F28" s="463" t="s">
        <v>200</v>
      </c>
      <c r="G28" s="463" t="s">
        <v>208</v>
      </c>
      <c r="H28" s="464">
        <v>13.199999809265137</v>
      </c>
      <c r="I28" s="205">
        <f t="shared" si="0"/>
        <v>7.693</v>
      </c>
      <c r="J28" s="468">
        <v>41392.33472222222</v>
      </c>
      <c r="K28" s="470">
        <v>41392.532638888886</v>
      </c>
      <c r="L28" s="28">
        <f t="shared" si="1"/>
        <v>4.749999999941792</v>
      </c>
      <c r="M28" s="25">
        <f t="shared" si="2"/>
        <v>285</v>
      </c>
      <c r="N28" s="471" t="s">
        <v>173</v>
      </c>
      <c r="O28" s="471" t="str">
        <f t="shared" si="3"/>
        <v>--</v>
      </c>
      <c r="P28" s="478">
        <f t="shared" si="4"/>
        <v>20</v>
      </c>
      <c r="Q28" s="479">
        <f t="shared" si="5"/>
        <v>73.0835</v>
      </c>
      <c r="R28" s="480" t="str">
        <f t="shared" si="6"/>
        <v>--</v>
      </c>
      <c r="S28" s="481" t="str">
        <f t="shared" si="7"/>
        <v>--</v>
      </c>
      <c r="T28" s="482" t="str">
        <f t="shared" si="8"/>
        <v>--</v>
      </c>
      <c r="U28" s="459" t="s">
        <v>170</v>
      </c>
      <c r="V28" s="30">
        <f t="shared" si="9"/>
        <v>73.0835</v>
      </c>
      <c r="W28" s="33"/>
    </row>
    <row r="29" spans="2:23" s="8" customFormat="1" ht="16.5" customHeight="1">
      <c r="B29" s="69"/>
      <c r="C29" s="452">
        <v>53</v>
      </c>
      <c r="D29" s="449">
        <v>259929</v>
      </c>
      <c r="E29" s="449">
        <v>3587</v>
      </c>
      <c r="F29" s="463" t="s">
        <v>200</v>
      </c>
      <c r="G29" s="463" t="s">
        <v>209</v>
      </c>
      <c r="H29" s="464">
        <v>13.199999809265137</v>
      </c>
      <c r="I29" s="205">
        <f t="shared" si="0"/>
        <v>7.693</v>
      </c>
      <c r="J29" s="468">
        <v>41392.33472222222</v>
      </c>
      <c r="K29" s="470">
        <v>41392.532638888886</v>
      </c>
      <c r="L29" s="28">
        <f t="shared" si="1"/>
        <v>4.749999999941792</v>
      </c>
      <c r="M29" s="25">
        <f t="shared" si="2"/>
        <v>285</v>
      </c>
      <c r="N29" s="471" t="s">
        <v>173</v>
      </c>
      <c r="O29" s="471" t="str">
        <f t="shared" si="3"/>
        <v>--</v>
      </c>
      <c r="P29" s="478">
        <f t="shared" si="4"/>
        <v>20</v>
      </c>
      <c r="Q29" s="479">
        <f t="shared" si="5"/>
        <v>73.0835</v>
      </c>
      <c r="R29" s="480" t="str">
        <f t="shared" si="6"/>
        <v>--</v>
      </c>
      <c r="S29" s="481" t="str">
        <f t="shared" si="7"/>
        <v>--</v>
      </c>
      <c r="T29" s="482" t="str">
        <f t="shared" si="8"/>
        <v>--</v>
      </c>
      <c r="U29" s="459" t="s">
        <v>170</v>
      </c>
      <c r="V29" s="30">
        <f t="shared" si="9"/>
        <v>73.0835</v>
      </c>
      <c r="W29" s="33"/>
    </row>
    <row r="30" spans="2:23" s="8" customFormat="1" ht="16.5" customHeight="1">
      <c r="B30" s="69"/>
      <c r="C30" s="452">
        <v>54</v>
      </c>
      <c r="D30" s="449">
        <v>259930</v>
      </c>
      <c r="E30" s="449">
        <v>3814</v>
      </c>
      <c r="F30" s="463" t="s">
        <v>199</v>
      </c>
      <c r="G30" s="463" t="s">
        <v>210</v>
      </c>
      <c r="H30" s="464">
        <v>33</v>
      </c>
      <c r="I30" s="205">
        <f t="shared" si="0"/>
        <v>7.693</v>
      </c>
      <c r="J30" s="468">
        <v>41392.33472222222</v>
      </c>
      <c r="K30" s="470">
        <v>41392.532638888886</v>
      </c>
      <c r="L30" s="28">
        <f t="shared" si="1"/>
        <v>4.749999999941792</v>
      </c>
      <c r="M30" s="25">
        <f t="shared" si="2"/>
        <v>285</v>
      </c>
      <c r="N30" s="471" t="s">
        <v>173</v>
      </c>
      <c r="O30" s="471" t="str">
        <f t="shared" si="3"/>
        <v>--</v>
      </c>
      <c r="P30" s="478">
        <f t="shared" si="4"/>
        <v>25</v>
      </c>
      <c r="Q30" s="479">
        <f t="shared" si="5"/>
        <v>91.354375</v>
      </c>
      <c r="R30" s="480" t="str">
        <f t="shared" si="6"/>
        <v>--</v>
      </c>
      <c r="S30" s="481" t="str">
        <f t="shared" si="7"/>
        <v>--</v>
      </c>
      <c r="T30" s="482" t="str">
        <f t="shared" si="8"/>
        <v>--</v>
      </c>
      <c r="U30" s="459" t="s">
        <v>170</v>
      </c>
      <c r="V30" s="30">
        <f t="shared" si="9"/>
        <v>91.354375</v>
      </c>
      <c r="W30" s="33"/>
    </row>
    <row r="31" spans="2:23" s="8" customFormat="1" ht="16.5" customHeight="1">
      <c r="B31" s="69"/>
      <c r="C31" s="452"/>
      <c r="D31" s="449"/>
      <c r="E31" s="449"/>
      <c r="F31" s="463"/>
      <c r="G31" s="463"/>
      <c r="H31" s="464"/>
      <c r="I31" s="205">
        <f t="shared" si="0"/>
        <v>7.693</v>
      </c>
      <c r="J31" s="468"/>
      <c r="K31" s="470"/>
      <c r="L31" s="28">
        <f t="shared" si="1"/>
      </c>
      <c r="M31" s="25">
        <f t="shared" si="2"/>
      </c>
      <c r="N31" s="471"/>
      <c r="O31" s="471">
        <f t="shared" si="3"/>
      </c>
      <c r="P31" s="478">
        <f t="shared" si="4"/>
        <v>20</v>
      </c>
      <c r="Q31" s="479" t="str">
        <f t="shared" si="5"/>
        <v>--</v>
      </c>
      <c r="R31" s="480" t="str">
        <f t="shared" si="6"/>
        <v>--</v>
      </c>
      <c r="S31" s="481" t="str">
        <f t="shared" si="7"/>
        <v>--</v>
      </c>
      <c r="T31" s="482" t="str">
        <f t="shared" si="8"/>
        <v>--</v>
      </c>
      <c r="U31" s="459">
        <f>IF(F31="","","SI")</f>
      </c>
      <c r="V31" s="30">
        <f t="shared" si="9"/>
      </c>
      <c r="W31" s="33"/>
    </row>
    <row r="32" spans="2:23" s="8" customFormat="1" ht="16.5" customHeight="1" thickBot="1">
      <c r="B32" s="69"/>
      <c r="C32" s="465"/>
      <c r="D32" s="506"/>
      <c r="E32" s="506"/>
      <c r="F32" s="466"/>
      <c r="G32" s="466"/>
      <c r="H32" s="467"/>
      <c r="I32" s="206"/>
      <c r="J32" s="469"/>
      <c r="K32" s="469"/>
      <c r="L32" s="34"/>
      <c r="M32" s="34"/>
      <c r="N32" s="483"/>
      <c r="O32" s="483"/>
      <c r="P32" s="484"/>
      <c r="Q32" s="485"/>
      <c r="R32" s="486"/>
      <c r="S32" s="487"/>
      <c r="T32" s="488"/>
      <c r="U32" s="489"/>
      <c r="V32" s="174"/>
      <c r="W32" s="33"/>
    </row>
    <row r="33" spans="2:23" s="8" customFormat="1" ht="16.5" customHeight="1" thickBot="1" thickTop="1">
      <c r="B33" s="69"/>
      <c r="C33" s="524" t="s">
        <v>222</v>
      </c>
      <c r="D33" s="523" t="s">
        <v>225</v>
      </c>
      <c r="E33" s="188"/>
      <c r="F33" s="187"/>
      <c r="Q33" s="317">
        <f>SUM(Q21:Q32)</f>
        <v>621.20975</v>
      </c>
      <c r="R33" s="318">
        <f>SUM(R21:R32)</f>
        <v>0</v>
      </c>
      <c r="S33" s="318">
        <f>SUM(S21:S32)</f>
        <v>0</v>
      </c>
      <c r="T33" s="263">
        <f>SUM(T21:T32)</f>
        <v>0</v>
      </c>
      <c r="V33" s="197">
        <f>ROUND(SUM(V21:V32),2)</f>
        <v>621.21</v>
      </c>
      <c r="W33" s="33"/>
    </row>
    <row r="34" spans="2:23" s="192" customFormat="1" ht="9.75" thickTop="1">
      <c r="B34" s="191"/>
      <c r="C34" s="188"/>
      <c r="D34" s="188"/>
      <c r="E34" s="188"/>
      <c r="F34" s="189"/>
      <c r="V34" s="196"/>
      <c r="W34" s="195"/>
    </row>
    <row r="35" spans="2:23" s="8" customFormat="1" ht="16.5" customHeight="1" thickBot="1">
      <c r="B35" s="96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138"/>
    </row>
    <row r="36" spans="1:23" ht="16.5" customHeight="1" thickTop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</sheetData>
  <sheetProtection/>
  <printOptions/>
  <pageMargins left="0.53" right="0.45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2:W47"/>
  <sheetViews>
    <sheetView zoomScale="75" zoomScaleNormal="75" zoomScalePageLayoutView="0" workbookViewId="0" topLeftCell="A1">
      <selection activeCell="K17" sqref="K17"/>
    </sheetView>
  </sheetViews>
  <sheetFormatPr defaultColWidth="11.421875" defaultRowHeight="12.75"/>
  <cols>
    <col min="1" max="1" width="1.57421875" style="0" customWidth="1"/>
    <col min="2" max="2" width="4.140625" style="0" customWidth="1"/>
    <col min="3" max="3" width="4.7109375" style="0" customWidth="1"/>
    <col min="4" max="5" width="13.7109375" style="0" customWidth="1"/>
    <col min="6" max="6" width="25.7109375" style="0" customWidth="1"/>
    <col min="7" max="7" width="35.7109375" style="0" customWidth="1"/>
    <col min="8" max="8" width="10.7109375" style="0" customWidth="1"/>
    <col min="9" max="9" width="14.7109375" style="0" hidden="1" customWidth="1"/>
    <col min="10" max="10" width="16.7109375" style="0" customWidth="1"/>
    <col min="11" max="11" width="17.28125" style="0" customWidth="1"/>
    <col min="12" max="14" width="9.7109375" style="0" customWidth="1"/>
    <col min="15" max="15" width="8.140625" style="0" customWidth="1"/>
    <col min="16" max="16" width="13.8515625" style="0" hidden="1" customWidth="1"/>
    <col min="17" max="20" width="16.57421875" style="0" hidden="1" customWidth="1"/>
    <col min="21" max="21" width="16.57421875" style="0" customWidth="1"/>
    <col min="22" max="22" width="15.7109375" style="0" customWidth="1"/>
    <col min="23" max="23" width="4.140625" style="0" customWidth="1"/>
  </cols>
  <sheetData>
    <row r="1" s="36" customFormat="1" ht="26.25"/>
    <row r="2" spans="2:23" s="36" customFormat="1" ht="26.25">
      <c r="B2" s="507" t="str">
        <f>+'TOT-0413'!B2</f>
        <v>ANEXO I al Memorandum D.T.E.E. N°  475 / 2014</v>
      </c>
      <c r="C2" s="39"/>
      <c r="D2" s="39"/>
      <c r="E2" s="39"/>
      <c r="F2" s="39"/>
      <c r="G2" s="114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="8" customFormat="1" ht="12.75"/>
    <row r="4" spans="1:3" s="43" customFormat="1" ht="11.25">
      <c r="A4" s="508" t="s">
        <v>152</v>
      </c>
      <c r="B4" s="116"/>
      <c r="C4" s="508"/>
    </row>
    <row r="5" spans="1:3" s="43" customFormat="1" ht="11.25">
      <c r="A5" s="508" t="s">
        <v>153</v>
      </c>
      <c r="B5" s="116"/>
      <c r="C5" s="116"/>
    </row>
    <row r="6" s="8" customFormat="1" ht="16.5" customHeight="1" thickBot="1"/>
    <row r="7" spans="2:23" s="8" customFormat="1" ht="16.5" customHeight="1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3"/>
    </row>
    <row r="8" spans="2:23" s="47" customFormat="1" ht="20.25">
      <c r="B8" s="103"/>
      <c r="C8" s="48"/>
      <c r="D8" s="48"/>
      <c r="E8" s="48"/>
      <c r="F8" s="19" t="s">
        <v>57</v>
      </c>
      <c r="G8" s="19"/>
      <c r="P8" s="48"/>
      <c r="Q8" s="48"/>
      <c r="R8" s="48"/>
      <c r="S8" s="48"/>
      <c r="T8" s="48"/>
      <c r="U8" s="48"/>
      <c r="V8" s="48"/>
      <c r="W8" s="104"/>
    </row>
    <row r="9" spans="2:23" s="8" customFormat="1" ht="16.5" customHeight="1">
      <c r="B9" s="69"/>
      <c r="C9" s="7"/>
      <c r="D9" s="7"/>
      <c r="E9" s="7"/>
      <c r="F9" s="7"/>
      <c r="G9" s="7"/>
      <c r="H9" s="7"/>
      <c r="I9" s="99"/>
      <c r="J9" s="99"/>
      <c r="K9" s="99"/>
      <c r="L9" s="99"/>
      <c r="M9" s="99"/>
      <c r="P9" s="7"/>
      <c r="Q9" s="7"/>
      <c r="R9" s="7"/>
      <c r="S9" s="7"/>
      <c r="T9" s="7"/>
      <c r="U9" s="7"/>
      <c r="V9" s="7"/>
      <c r="W9" s="9"/>
    </row>
    <row r="10" spans="2:23" s="47" customFormat="1" ht="20.25">
      <c r="B10" s="103"/>
      <c r="C10" s="48"/>
      <c r="D10" s="48"/>
      <c r="E10" s="48"/>
      <c r="F10" s="19" t="s">
        <v>58</v>
      </c>
      <c r="G10" s="19"/>
      <c r="H10" s="48"/>
      <c r="I10" s="19"/>
      <c r="J10" s="19"/>
      <c r="K10" s="19"/>
      <c r="L10" s="19"/>
      <c r="M10" s="19"/>
      <c r="P10" s="48"/>
      <c r="Q10" s="48"/>
      <c r="R10" s="48"/>
      <c r="S10" s="48"/>
      <c r="T10" s="48"/>
      <c r="U10" s="48"/>
      <c r="V10" s="48"/>
      <c r="W10" s="104"/>
    </row>
    <row r="11" spans="2:23" s="8" customFormat="1" ht="16.5" customHeight="1">
      <c r="B11" s="69"/>
      <c r="C11" s="7"/>
      <c r="D11" s="7"/>
      <c r="E11" s="7"/>
      <c r="F11" s="7"/>
      <c r="G11" s="7"/>
      <c r="H11" s="7"/>
      <c r="I11" s="99"/>
      <c r="J11" s="99"/>
      <c r="K11" s="99"/>
      <c r="L11" s="99"/>
      <c r="M11" s="99"/>
      <c r="P11" s="7"/>
      <c r="Q11" s="7"/>
      <c r="R11" s="7"/>
      <c r="S11" s="7"/>
      <c r="T11" s="7"/>
      <c r="U11" s="7"/>
      <c r="V11" s="7"/>
      <c r="W11" s="9"/>
    </row>
    <row r="12" spans="2:23" s="47" customFormat="1" ht="20.25">
      <c r="B12" s="103"/>
      <c r="C12" s="48"/>
      <c r="D12" s="48"/>
      <c r="E12" s="48"/>
      <c r="F12" s="19" t="s">
        <v>59</v>
      </c>
      <c r="G12" s="19"/>
      <c r="H12" s="48"/>
      <c r="I12" s="19"/>
      <c r="J12" s="19"/>
      <c r="K12" s="19"/>
      <c r="L12" s="19"/>
      <c r="M12" s="19"/>
      <c r="P12" s="48"/>
      <c r="Q12" s="48"/>
      <c r="R12" s="48"/>
      <c r="S12" s="48"/>
      <c r="T12" s="48"/>
      <c r="U12" s="48"/>
      <c r="V12" s="48"/>
      <c r="W12" s="104"/>
    </row>
    <row r="13" spans="2:23" s="8" customFormat="1" ht="16.5" customHeight="1">
      <c r="B13" s="69"/>
      <c r="C13" s="7"/>
      <c r="D13" s="7"/>
      <c r="E13" s="7"/>
      <c r="F13" s="101"/>
      <c r="G13" s="99"/>
      <c r="H13" s="7"/>
      <c r="I13" s="99"/>
      <c r="J13" s="99"/>
      <c r="K13" s="99"/>
      <c r="L13" s="99"/>
      <c r="M13" s="99"/>
      <c r="P13" s="7"/>
      <c r="Q13" s="7"/>
      <c r="R13" s="7"/>
      <c r="S13" s="7"/>
      <c r="T13" s="7"/>
      <c r="U13" s="7"/>
      <c r="V13" s="7"/>
      <c r="W13" s="9"/>
    </row>
    <row r="14" spans="2:23" s="54" customFormat="1" ht="19.5">
      <c r="B14" s="55" t="str">
        <f>'TOT-0413'!B14</f>
        <v>Desde el 01 al 30 de abril de 2013</v>
      </c>
      <c r="C14" s="59"/>
      <c r="D14" s="59"/>
      <c r="E14" s="59"/>
      <c r="F14" s="59"/>
      <c r="G14" s="59"/>
      <c r="H14" s="59"/>
      <c r="I14" s="59"/>
      <c r="J14" s="164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0"/>
    </row>
    <row r="15" spans="2:23" s="8" customFormat="1" ht="16.5" customHeight="1" thickBot="1">
      <c r="B15" s="69"/>
      <c r="C15" s="7"/>
      <c r="D15" s="7"/>
      <c r="E15" s="7"/>
      <c r="I15" s="94"/>
      <c r="K15" s="7"/>
      <c r="L15" s="7"/>
      <c r="M15" s="7"/>
      <c r="N15" s="94"/>
      <c r="O15" s="94"/>
      <c r="P15" s="94"/>
      <c r="Q15" s="7"/>
      <c r="R15" s="7"/>
      <c r="S15" s="7"/>
      <c r="T15" s="7"/>
      <c r="U15" s="7"/>
      <c r="V15" s="7"/>
      <c r="W15" s="9"/>
    </row>
    <row r="16" spans="2:23" s="8" customFormat="1" ht="16.5" customHeight="1" thickBot="1" thickTop="1">
      <c r="B16" s="69"/>
      <c r="C16" s="7"/>
      <c r="D16" s="7"/>
      <c r="E16" s="7"/>
      <c r="F16" s="165" t="s">
        <v>60</v>
      </c>
      <c r="G16" s="166">
        <v>10.254</v>
      </c>
      <c r="H16" s="167">
        <f>50*'TOT-0413'!B13</f>
        <v>50</v>
      </c>
      <c r="J16" s="194" t="str">
        <f>IF(H16=50," ",IF(H16=100,"  Coeficiente duplicado por tasa de falla &gt;4 Sal. x año/100 km.","REVISAR COEFICIENTE"))</f>
        <v> </v>
      </c>
      <c r="S16" s="7"/>
      <c r="T16" s="7"/>
      <c r="U16" s="7"/>
      <c r="V16" s="161"/>
      <c r="W16" s="9"/>
    </row>
    <row r="17" spans="2:23" s="8" customFormat="1" ht="16.5" customHeight="1" thickBot="1" thickTop="1">
      <c r="B17" s="69"/>
      <c r="C17" s="7"/>
      <c r="D17" s="7"/>
      <c r="E17" s="7"/>
      <c r="F17" s="168" t="s">
        <v>61</v>
      </c>
      <c r="G17" s="169">
        <v>7.693</v>
      </c>
      <c r="H17" s="170">
        <f>25*'TOT-0413'!B13</f>
        <v>25</v>
      </c>
      <c r="J17" s="194" t="str">
        <f>IF(H17=25," ",IF(H17=50,"  Coeficiente duplicado por tasa de falla &gt;4 Sal. x año/100 km.","REVISAR COEFICIENTE"))</f>
        <v> </v>
      </c>
      <c r="K17" s="95"/>
      <c r="L17" s="95"/>
      <c r="M17" s="7"/>
      <c r="P17" s="162"/>
      <c r="Q17" s="163"/>
      <c r="R17" s="87"/>
      <c r="S17" s="7"/>
      <c r="T17" s="7"/>
      <c r="U17" s="7"/>
      <c r="V17" s="161"/>
      <c r="W17" s="9"/>
    </row>
    <row r="18" spans="2:23" s="8" customFormat="1" ht="16.5" customHeight="1" thickBot="1" thickTop="1">
      <c r="B18" s="69"/>
      <c r="C18" s="7"/>
      <c r="D18" s="7"/>
      <c r="E18" s="7"/>
      <c r="F18" s="171" t="s">
        <v>62</v>
      </c>
      <c r="G18" s="169">
        <v>7.693</v>
      </c>
      <c r="H18" s="172">
        <f>20*'TOT-0413'!B13</f>
        <v>20</v>
      </c>
      <c r="J18" s="194" t="str">
        <f>IF(H18=20," ",IF(H18=40,"  Coeficiente duplicado por tasa de falla &gt;4 Sal. x año/100 km.","REVISAR COEFICIENTE"))</f>
        <v> </v>
      </c>
      <c r="K18" s="95"/>
      <c r="L18" s="95"/>
      <c r="M18" s="7"/>
      <c r="N18" s="419"/>
      <c r="O18" s="419"/>
      <c r="P18" s="417"/>
      <c r="Q18" s="418"/>
      <c r="R18" s="419"/>
      <c r="S18" s="420"/>
      <c r="T18" s="420"/>
      <c r="U18" s="421"/>
      <c r="V18" s="161"/>
      <c r="W18" s="9"/>
    </row>
    <row r="19" spans="2:23" s="8" customFormat="1" ht="16.5" customHeight="1" thickBot="1" thickTop="1">
      <c r="B19" s="69"/>
      <c r="C19" s="520">
        <v>3</v>
      </c>
      <c r="D19" s="520">
        <v>4</v>
      </c>
      <c r="E19" s="520">
        <v>5</v>
      </c>
      <c r="F19" s="520">
        <v>6</v>
      </c>
      <c r="G19" s="520">
        <v>7</v>
      </c>
      <c r="H19" s="520">
        <v>8</v>
      </c>
      <c r="I19" s="520">
        <v>9</v>
      </c>
      <c r="J19" s="520">
        <v>10</v>
      </c>
      <c r="K19" s="520">
        <v>11</v>
      </c>
      <c r="L19" s="520">
        <v>12</v>
      </c>
      <c r="M19" s="520">
        <v>13</v>
      </c>
      <c r="N19" s="520">
        <v>14</v>
      </c>
      <c r="O19" s="520">
        <v>15</v>
      </c>
      <c r="P19" s="520">
        <v>16</v>
      </c>
      <c r="Q19" s="520">
        <v>17</v>
      </c>
      <c r="R19" s="520">
        <v>18</v>
      </c>
      <c r="S19" s="520">
        <v>19</v>
      </c>
      <c r="T19" s="520">
        <v>20</v>
      </c>
      <c r="U19" s="520">
        <v>21</v>
      </c>
      <c r="V19" s="520">
        <v>22</v>
      </c>
      <c r="W19" s="9"/>
    </row>
    <row r="20" spans="2:23" s="8" customFormat="1" ht="33.75" customHeight="1" thickBot="1" thickTop="1">
      <c r="B20" s="69"/>
      <c r="C20" s="117" t="s">
        <v>24</v>
      </c>
      <c r="D20" s="117" t="s">
        <v>151</v>
      </c>
      <c r="E20" s="117" t="s">
        <v>150</v>
      </c>
      <c r="F20" s="176" t="s">
        <v>47</v>
      </c>
      <c r="G20" s="180" t="s">
        <v>48</v>
      </c>
      <c r="H20" s="181" t="s">
        <v>25</v>
      </c>
      <c r="I20" s="198" t="s">
        <v>27</v>
      </c>
      <c r="J20" s="175" t="s">
        <v>28</v>
      </c>
      <c r="K20" s="180" t="s">
        <v>29</v>
      </c>
      <c r="L20" s="182" t="s">
        <v>63</v>
      </c>
      <c r="M20" s="182" t="s">
        <v>51</v>
      </c>
      <c r="N20" s="121" t="s">
        <v>32</v>
      </c>
      <c r="O20" s="179" t="s">
        <v>52</v>
      </c>
      <c r="P20" s="313" t="s">
        <v>64</v>
      </c>
      <c r="Q20" s="314" t="s">
        <v>34</v>
      </c>
      <c r="R20" s="315" t="s">
        <v>55</v>
      </c>
      <c r="S20" s="316"/>
      <c r="T20" s="251" t="s">
        <v>38</v>
      </c>
      <c r="U20" s="178" t="s">
        <v>40</v>
      </c>
      <c r="V20" s="178" t="s">
        <v>41</v>
      </c>
      <c r="W20" s="33"/>
    </row>
    <row r="21" spans="2:23" s="8" customFormat="1" ht="16.5" customHeight="1" thickTop="1">
      <c r="B21" s="69"/>
      <c r="C21" s="452"/>
      <c r="D21" s="449"/>
      <c r="E21" s="449"/>
      <c r="F21" s="462"/>
      <c r="G21" s="463"/>
      <c r="H21" s="464"/>
      <c r="I21" s="205"/>
      <c r="J21" s="468"/>
      <c r="K21" s="470"/>
      <c r="L21" s="28"/>
      <c r="M21" s="25"/>
      <c r="N21" s="471"/>
      <c r="O21" s="471"/>
      <c r="P21" s="472"/>
      <c r="Q21" s="473"/>
      <c r="R21" s="474"/>
      <c r="S21" s="475"/>
      <c r="T21" s="476"/>
      <c r="U21" s="477"/>
      <c r="V21" s="35">
        <f>'SA-04 (1)'!V33</f>
        <v>621.21</v>
      </c>
      <c r="W21" s="33"/>
    </row>
    <row r="22" spans="2:23" s="8" customFormat="1" ht="16.5" customHeight="1">
      <c r="B22" s="69"/>
      <c r="C22" s="452"/>
      <c r="D22" s="449"/>
      <c r="E22" s="449"/>
      <c r="F22" s="463"/>
      <c r="G22" s="463"/>
      <c r="H22" s="464"/>
      <c r="I22" s="205"/>
      <c r="J22" s="468"/>
      <c r="K22" s="470"/>
      <c r="L22" s="28"/>
      <c r="M22" s="25"/>
      <c r="N22" s="471"/>
      <c r="O22" s="471"/>
      <c r="P22" s="478"/>
      <c r="Q22" s="479"/>
      <c r="R22" s="480"/>
      <c r="S22" s="481"/>
      <c r="T22" s="482"/>
      <c r="U22" s="459"/>
      <c r="V22" s="173"/>
      <c r="W22" s="33"/>
    </row>
    <row r="23" spans="2:23" s="8" customFormat="1" ht="16.5" customHeight="1">
      <c r="B23" s="69"/>
      <c r="C23" s="452">
        <v>55</v>
      </c>
      <c r="D23" s="449">
        <v>259931</v>
      </c>
      <c r="E23" s="449">
        <v>4690</v>
      </c>
      <c r="F23" s="463" t="s">
        <v>201</v>
      </c>
      <c r="G23" s="463" t="s">
        <v>220</v>
      </c>
      <c r="H23" s="464">
        <v>13.2</v>
      </c>
      <c r="I23" s="205">
        <f aca="true" t="shared" si="0" ref="I23:I42">IF(OR(H23=132,H23=66),$G$16,IF(H23=33,$G$17,$G$18))</f>
        <v>7.693</v>
      </c>
      <c r="J23" s="468">
        <v>41392.33472222222</v>
      </c>
      <c r="K23" s="470">
        <v>41392.532638888886</v>
      </c>
      <c r="L23" s="28">
        <f aca="true" t="shared" si="1" ref="L23:L42">IF(F23="","",(K23-J23)*24)</f>
        <v>4.749999999941792</v>
      </c>
      <c r="M23" s="25">
        <f aca="true" t="shared" si="2" ref="M23:M42">IF(F23="","",ROUND((K23-J23)*24*60,0))</f>
        <v>285</v>
      </c>
      <c r="N23" s="471" t="s">
        <v>173</v>
      </c>
      <c r="O23" s="471" t="str">
        <f aca="true" t="shared" si="3" ref="O23:O42">IF(F23="","",IF(OR(N23="P",N23="RP"),"--","NO"))</f>
        <v>--</v>
      </c>
      <c r="P23" s="478">
        <f aca="true" t="shared" si="4" ref="P23:P42">IF(H23&gt;33,$H$16,IF(H23=33,$H$17,$H$18))</f>
        <v>20</v>
      </c>
      <c r="Q23" s="479">
        <f aca="true" t="shared" si="5" ref="Q23:Q42">IF(N23="P",I23*P23*ROUND(M23/60,2)*0.1,"--")</f>
        <v>73.0835</v>
      </c>
      <c r="R23" s="480" t="str">
        <f aca="true" t="shared" si="6" ref="R23:R42">IF(AND(N23="F",O23="NO"),I23*P23,"--")</f>
        <v>--</v>
      </c>
      <c r="S23" s="481" t="str">
        <f aca="true" t="shared" si="7" ref="S23:S42">IF(N23="F",I23*P23*ROUND(M23/60,2),"--")</f>
        <v>--</v>
      </c>
      <c r="T23" s="482" t="str">
        <f aca="true" t="shared" si="8" ref="T23:T42">IF(N23="RF",I23*P23*ROUND(M23/60,2),"--")</f>
        <v>--</v>
      </c>
      <c r="U23" s="459" t="s">
        <v>170</v>
      </c>
      <c r="V23" s="30">
        <f aca="true" t="shared" si="9" ref="V23:V42">IF(F23="","",SUM(Q23:T23)*IF(U23="SI",1,2)*IF(H23="500/220",0,1))</f>
        <v>73.0835</v>
      </c>
      <c r="W23" s="320"/>
    </row>
    <row r="24" spans="2:23" s="8" customFormat="1" ht="16.5" customHeight="1">
      <c r="B24" s="69"/>
      <c r="C24" s="452">
        <v>56</v>
      </c>
      <c r="D24" s="449">
        <v>259932</v>
      </c>
      <c r="E24" s="449">
        <v>3679</v>
      </c>
      <c r="F24" s="463" t="s">
        <v>200</v>
      </c>
      <c r="G24" s="463" t="s">
        <v>211</v>
      </c>
      <c r="H24" s="464">
        <v>13.199999809265137</v>
      </c>
      <c r="I24" s="205">
        <f t="shared" si="0"/>
        <v>7.693</v>
      </c>
      <c r="J24" s="468">
        <v>41392.33472222222</v>
      </c>
      <c r="K24" s="470">
        <v>41392.532638888886</v>
      </c>
      <c r="L24" s="28">
        <f t="shared" si="1"/>
        <v>4.749999999941792</v>
      </c>
      <c r="M24" s="25">
        <f t="shared" si="2"/>
        <v>285</v>
      </c>
      <c r="N24" s="471" t="s">
        <v>173</v>
      </c>
      <c r="O24" s="471" t="str">
        <f t="shared" si="3"/>
        <v>--</v>
      </c>
      <c r="P24" s="478">
        <f t="shared" si="4"/>
        <v>20</v>
      </c>
      <c r="Q24" s="479">
        <f t="shared" si="5"/>
        <v>73.0835</v>
      </c>
      <c r="R24" s="480" t="str">
        <f t="shared" si="6"/>
        <v>--</v>
      </c>
      <c r="S24" s="481" t="str">
        <f t="shared" si="7"/>
        <v>--</v>
      </c>
      <c r="T24" s="482" t="str">
        <f t="shared" si="8"/>
        <v>--</v>
      </c>
      <c r="U24" s="459" t="s">
        <v>170</v>
      </c>
      <c r="V24" s="30">
        <f t="shared" si="9"/>
        <v>73.0835</v>
      </c>
      <c r="W24" s="320"/>
    </row>
    <row r="25" spans="2:23" s="8" customFormat="1" ht="16.5" customHeight="1">
      <c r="B25" s="69"/>
      <c r="C25" s="452">
        <v>57</v>
      </c>
      <c r="D25" s="449">
        <v>259933</v>
      </c>
      <c r="E25" s="449">
        <v>3680</v>
      </c>
      <c r="F25" s="463" t="s">
        <v>200</v>
      </c>
      <c r="G25" s="463" t="s">
        <v>212</v>
      </c>
      <c r="H25" s="464">
        <v>33</v>
      </c>
      <c r="I25" s="205">
        <f t="shared" si="0"/>
        <v>7.693</v>
      </c>
      <c r="J25" s="468">
        <v>41392.33472222222</v>
      </c>
      <c r="K25" s="470">
        <v>41392.532638888886</v>
      </c>
      <c r="L25" s="28">
        <f t="shared" si="1"/>
        <v>4.749999999941792</v>
      </c>
      <c r="M25" s="25">
        <f t="shared" si="2"/>
        <v>285</v>
      </c>
      <c r="N25" s="471" t="s">
        <v>173</v>
      </c>
      <c r="O25" s="471" t="str">
        <f t="shared" si="3"/>
        <v>--</v>
      </c>
      <c r="P25" s="478">
        <f t="shared" si="4"/>
        <v>25</v>
      </c>
      <c r="Q25" s="479">
        <f t="shared" si="5"/>
        <v>91.354375</v>
      </c>
      <c r="R25" s="480" t="str">
        <f t="shared" si="6"/>
        <v>--</v>
      </c>
      <c r="S25" s="481" t="str">
        <f t="shared" si="7"/>
        <v>--</v>
      </c>
      <c r="T25" s="482" t="str">
        <f t="shared" si="8"/>
        <v>--</v>
      </c>
      <c r="U25" s="459" t="s">
        <v>170</v>
      </c>
      <c r="V25" s="30">
        <f t="shared" si="9"/>
        <v>91.354375</v>
      </c>
      <c r="W25" s="320"/>
    </row>
    <row r="26" spans="2:23" s="8" customFormat="1" ht="16.5" customHeight="1">
      <c r="B26" s="69"/>
      <c r="C26" s="452">
        <v>58</v>
      </c>
      <c r="D26" s="449">
        <v>259934</v>
      </c>
      <c r="E26" s="449">
        <v>4905</v>
      </c>
      <c r="F26" s="463" t="s">
        <v>219</v>
      </c>
      <c r="G26" s="463" t="s">
        <v>220</v>
      </c>
      <c r="H26" s="464">
        <v>13.2</v>
      </c>
      <c r="I26" s="205">
        <f t="shared" si="0"/>
        <v>7.693</v>
      </c>
      <c r="J26" s="468">
        <v>41392.33472222222</v>
      </c>
      <c r="K26" s="470">
        <v>41392.532638888886</v>
      </c>
      <c r="L26" s="28">
        <f t="shared" si="1"/>
        <v>4.749999999941792</v>
      </c>
      <c r="M26" s="25">
        <f t="shared" si="2"/>
        <v>285</v>
      </c>
      <c r="N26" s="471" t="s">
        <v>173</v>
      </c>
      <c r="O26" s="471" t="str">
        <f t="shared" si="3"/>
        <v>--</v>
      </c>
      <c r="P26" s="478">
        <f t="shared" si="4"/>
        <v>20</v>
      </c>
      <c r="Q26" s="479">
        <f t="shared" si="5"/>
        <v>73.0835</v>
      </c>
      <c r="R26" s="480" t="str">
        <f t="shared" si="6"/>
        <v>--</v>
      </c>
      <c r="S26" s="481" t="str">
        <f t="shared" si="7"/>
        <v>--</v>
      </c>
      <c r="T26" s="482" t="str">
        <f t="shared" si="8"/>
        <v>--</v>
      </c>
      <c r="U26" s="459" t="s">
        <v>170</v>
      </c>
      <c r="V26" s="30">
        <f t="shared" si="9"/>
        <v>73.0835</v>
      </c>
      <c r="W26" s="33"/>
    </row>
    <row r="27" spans="2:23" s="8" customFormat="1" ht="16.5" customHeight="1">
      <c r="B27" s="69"/>
      <c r="C27" s="452">
        <v>59</v>
      </c>
      <c r="D27" s="449">
        <v>259935</v>
      </c>
      <c r="E27" s="449">
        <v>4904</v>
      </c>
      <c r="F27" s="463" t="s">
        <v>219</v>
      </c>
      <c r="G27" s="463" t="s">
        <v>220</v>
      </c>
      <c r="H27" s="464">
        <v>33</v>
      </c>
      <c r="I27" s="205">
        <f t="shared" si="0"/>
        <v>7.693</v>
      </c>
      <c r="J27" s="468">
        <v>41392.33472222222</v>
      </c>
      <c r="K27" s="470">
        <v>41392.532638888886</v>
      </c>
      <c r="L27" s="28">
        <f t="shared" si="1"/>
        <v>4.749999999941792</v>
      </c>
      <c r="M27" s="25">
        <f t="shared" si="2"/>
        <v>285</v>
      </c>
      <c r="N27" s="471" t="s">
        <v>173</v>
      </c>
      <c r="O27" s="471" t="str">
        <f t="shared" si="3"/>
        <v>--</v>
      </c>
      <c r="P27" s="478">
        <f t="shared" si="4"/>
        <v>25</v>
      </c>
      <c r="Q27" s="479">
        <f t="shared" si="5"/>
        <v>91.354375</v>
      </c>
      <c r="R27" s="480" t="str">
        <f t="shared" si="6"/>
        <v>--</v>
      </c>
      <c r="S27" s="481" t="str">
        <f t="shared" si="7"/>
        <v>--</v>
      </c>
      <c r="T27" s="482" t="str">
        <f t="shared" si="8"/>
        <v>--</v>
      </c>
      <c r="U27" s="459" t="s">
        <v>170</v>
      </c>
      <c r="V27" s="30">
        <f t="shared" si="9"/>
        <v>91.354375</v>
      </c>
      <c r="W27" s="33"/>
    </row>
    <row r="28" spans="2:23" s="8" customFormat="1" ht="16.5" customHeight="1">
      <c r="B28" s="69"/>
      <c r="C28" s="452"/>
      <c r="D28" s="449"/>
      <c r="E28" s="449"/>
      <c r="F28" s="463"/>
      <c r="G28" s="463"/>
      <c r="H28" s="464"/>
      <c r="I28" s="205">
        <f t="shared" si="0"/>
        <v>7.693</v>
      </c>
      <c r="J28" s="468"/>
      <c r="K28" s="470"/>
      <c r="L28" s="28">
        <f t="shared" si="1"/>
      </c>
      <c r="M28" s="25">
        <f t="shared" si="2"/>
      </c>
      <c r="N28" s="471"/>
      <c r="O28" s="471">
        <f t="shared" si="3"/>
      </c>
      <c r="P28" s="478">
        <f t="shared" si="4"/>
        <v>20</v>
      </c>
      <c r="Q28" s="479" t="str">
        <f t="shared" si="5"/>
        <v>--</v>
      </c>
      <c r="R28" s="480" t="str">
        <f t="shared" si="6"/>
        <v>--</v>
      </c>
      <c r="S28" s="481" t="str">
        <f t="shared" si="7"/>
        <v>--</v>
      </c>
      <c r="T28" s="482" t="str">
        <f t="shared" si="8"/>
        <v>--</v>
      </c>
      <c r="U28" s="459">
        <f aca="true" t="shared" si="10" ref="U28:U42">IF(F28="","","SI")</f>
      </c>
      <c r="V28" s="30">
        <f t="shared" si="9"/>
      </c>
      <c r="W28" s="33"/>
    </row>
    <row r="29" spans="2:23" s="8" customFormat="1" ht="16.5" customHeight="1">
      <c r="B29" s="69"/>
      <c r="C29" s="452"/>
      <c r="D29" s="449"/>
      <c r="E29" s="449"/>
      <c r="F29" s="463"/>
      <c r="G29" s="463"/>
      <c r="H29" s="464"/>
      <c r="I29" s="205">
        <f t="shared" si="0"/>
        <v>7.693</v>
      </c>
      <c r="J29" s="468"/>
      <c r="K29" s="470"/>
      <c r="L29" s="28">
        <f t="shared" si="1"/>
      </c>
      <c r="M29" s="25">
        <f t="shared" si="2"/>
      </c>
      <c r="N29" s="471"/>
      <c r="O29" s="471">
        <f t="shared" si="3"/>
      </c>
      <c r="P29" s="478">
        <f t="shared" si="4"/>
        <v>20</v>
      </c>
      <c r="Q29" s="479" t="str">
        <f t="shared" si="5"/>
        <v>--</v>
      </c>
      <c r="R29" s="480" t="str">
        <f t="shared" si="6"/>
        <v>--</v>
      </c>
      <c r="S29" s="481" t="str">
        <f t="shared" si="7"/>
        <v>--</v>
      </c>
      <c r="T29" s="482" t="str">
        <f t="shared" si="8"/>
        <v>--</v>
      </c>
      <c r="U29" s="459">
        <f t="shared" si="10"/>
      </c>
      <c r="V29" s="30">
        <f t="shared" si="9"/>
      </c>
      <c r="W29" s="33"/>
    </row>
    <row r="30" spans="2:23" s="8" customFormat="1" ht="16.5" customHeight="1">
      <c r="B30" s="69"/>
      <c r="C30" s="452"/>
      <c r="D30" s="449"/>
      <c r="E30" s="449"/>
      <c r="F30" s="463"/>
      <c r="G30" s="463"/>
      <c r="H30" s="464"/>
      <c r="I30" s="205">
        <f t="shared" si="0"/>
        <v>7.693</v>
      </c>
      <c r="J30" s="468"/>
      <c r="K30" s="470"/>
      <c r="L30" s="28">
        <f t="shared" si="1"/>
      </c>
      <c r="M30" s="25">
        <f t="shared" si="2"/>
      </c>
      <c r="N30" s="471"/>
      <c r="O30" s="471">
        <f t="shared" si="3"/>
      </c>
      <c r="P30" s="478">
        <f t="shared" si="4"/>
        <v>20</v>
      </c>
      <c r="Q30" s="479" t="str">
        <f t="shared" si="5"/>
        <v>--</v>
      </c>
      <c r="R30" s="480" t="str">
        <f t="shared" si="6"/>
        <v>--</v>
      </c>
      <c r="S30" s="481" t="str">
        <f t="shared" si="7"/>
        <v>--</v>
      </c>
      <c r="T30" s="482" t="str">
        <f t="shared" si="8"/>
        <v>--</v>
      </c>
      <c r="U30" s="459">
        <f t="shared" si="10"/>
      </c>
      <c r="V30" s="30">
        <f t="shared" si="9"/>
      </c>
      <c r="W30" s="33"/>
    </row>
    <row r="31" spans="2:23" s="8" customFormat="1" ht="16.5" customHeight="1">
      <c r="B31" s="69"/>
      <c r="C31" s="452"/>
      <c r="D31" s="449"/>
      <c r="E31" s="449"/>
      <c r="F31" s="463"/>
      <c r="G31" s="463"/>
      <c r="H31" s="464"/>
      <c r="I31" s="205">
        <f t="shared" si="0"/>
        <v>7.693</v>
      </c>
      <c r="J31" s="468"/>
      <c r="K31" s="470"/>
      <c r="L31" s="28">
        <f t="shared" si="1"/>
      </c>
      <c r="M31" s="25">
        <f t="shared" si="2"/>
      </c>
      <c r="N31" s="471"/>
      <c r="O31" s="471">
        <f t="shared" si="3"/>
      </c>
      <c r="P31" s="478">
        <f t="shared" si="4"/>
        <v>20</v>
      </c>
      <c r="Q31" s="479" t="str">
        <f t="shared" si="5"/>
        <v>--</v>
      </c>
      <c r="R31" s="480" t="str">
        <f t="shared" si="6"/>
        <v>--</v>
      </c>
      <c r="S31" s="481" t="str">
        <f t="shared" si="7"/>
        <v>--</v>
      </c>
      <c r="T31" s="482" t="str">
        <f t="shared" si="8"/>
        <v>--</v>
      </c>
      <c r="U31" s="459">
        <f t="shared" si="10"/>
      </c>
      <c r="V31" s="30">
        <f t="shared" si="9"/>
      </c>
      <c r="W31" s="33"/>
    </row>
    <row r="32" spans="2:23" s="8" customFormat="1" ht="16.5" customHeight="1">
      <c r="B32" s="69"/>
      <c r="C32" s="452"/>
      <c r="D32" s="449"/>
      <c r="E32" s="449"/>
      <c r="F32" s="463"/>
      <c r="G32" s="463"/>
      <c r="H32" s="464"/>
      <c r="I32" s="205">
        <f t="shared" si="0"/>
        <v>7.693</v>
      </c>
      <c r="J32" s="468"/>
      <c r="K32" s="470"/>
      <c r="L32" s="28">
        <f t="shared" si="1"/>
      </c>
      <c r="M32" s="25">
        <f t="shared" si="2"/>
      </c>
      <c r="N32" s="471"/>
      <c r="O32" s="471">
        <f t="shared" si="3"/>
      </c>
      <c r="P32" s="478">
        <f t="shared" si="4"/>
        <v>20</v>
      </c>
      <c r="Q32" s="479" t="str">
        <f t="shared" si="5"/>
        <v>--</v>
      </c>
      <c r="R32" s="480" t="str">
        <f t="shared" si="6"/>
        <v>--</v>
      </c>
      <c r="S32" s="481" t="str">
        <f t="shared" si="7"/>
        <v>--</v>
      </c>
      <c r="T32" s="482" t="str">
        <f t="shared" si="8"/>
        <v>--</v>
      </c>
      <c r="U32" s="459">
        <f t="shared" si="10"/>
      </c>
      <c r="V32" s="30">
        <f t="shared" si="9"/>
      </c>
      <c r="W32" s="33"/>
    </row>
    <row r="33" spans="2:23" s="8" customFormat="1" ht="16.5" customHeight="1">
      <c r="B33" s="69"/>
      <c r="C33" s="452"/>
      <c r="D33" s="449"/>
      <c r="E33" s="449"/>
      <c r="F33" s="463"/>
      <c r="G33" s="463"/>
      <c r="H33" s="464"/>
      <c r="I33" s="205">
        <f t="shared" si="0"/>
        <v>7.693</v>
      </c>
      <c r="J33" s="468"/>
      <c r="K33" s="470"/>
      <c r="L33" s="28">
        <f t="shared" si="1"/>
      </c>
      <c r="M33" s="25">
        <f t="shared" si="2"/>
      </c>
      <c r="N33" s="471"/>
      <c r="O33" s="471">
        <f t="shared" si="3"/>
      </c>
      <c r="P33" s="478">
        <f t="shared" si="4"/>
        <v>20</v>
      </c>
      <c r="Q33" s="479" t="str">
        <f t="shared" si="5"/>
        <v>--</v>
      </c>
      <c r="R33" s="480" t="str">
        <f t="shared" si="6"/>
        <v>--</v>
      </c>
      <c r="S33" s="481" t="str">
        <f t="shared" si="7"/>
        <v>--</v>
      </c>
      <c r="T33" s="482" t="str">
        <f t="shared" si="8"/>
        <v>--</v>
      </c>
      <c r="U33" s="459">
        <f t="shared" si="10"/>
      </c>
      <c r="V33" s="30">
        <f t="shared" si="9"/>
      </c>
      <c r="W33" s="33"/>
    </row>
    <row r="34" spans="2:23" s="8" customFormat="1" ht="16.5" customHeight="1">
      <c r="B34" s="69"/>
      <c r="C34" s="452"/>
      <c r="D34" s="449"/>
      <c r="E34" s="449"/>
      <c r="F34" s="463"/>
      <c r="G34" s="463"/>
      <c r="H34" s="464"/>
      <c r="I34" s="205">
        <f t="shared" si="0"/>
        <v>7.693</v>
      </c>
      <c r="J34" s="468"/>
      <c r="K34" s="470"/>
      <c r="L34" s="28">
        <f t="shared" si="1"/>
      </c>
      <c r="M34" s="25">
        <f t="shared" si="2"/>
      </c>
      <c r="N34" s="471"/>
      <c r="O34" s="471">
        <f t="shared" si="3"/>
      </c>
      <c r="P34" s="478">
        <f t="shared" si="4"/>
        <v>20</v>
      </c>
      <c r="Q34" s="479" t="str">
        <f t="shared" si="5"/>
        <v>--</v>
      </c>
      <c r="R34" s="480" t="str">
        <f t="shared" si="6"/>
        <v>--</v>
      </c>
      <c r="S34" s="481" t="str">
        <f t="shared" si="7"/>
        <v>--</v>
      </c>
      <c r="T34" s="482" t="str">
        <f t="shared" si="8"/>
        <v>--</v>
      </c>
      <c r="U34" s="459">
        <f t="shared" si="10"/>
      </c>
      <c r="V34" s="30">
        <f t="shared" si="9"/>
      </c>
      <c r="W34" s="33"/>
    </row>
    <row r="35" spans="2:23" s="8" customFormat="1" ht="16.5" customHeight="1">
      <c r="B35" s="69"/>
      <c r="C35" s="452"/>
      <c r="D35" s="449"/>
      <c r="E35" s="449"/>
      <c r="F35" s="463"/>
      <c r="G35" s="463"/>
      <c r="H35" s="464"/>
      <c r="I35" s="205">
        <f t="shared" si="0"/>
        <v>7.693</v>
      </c>
      <c r="J35" s="468"/>
      <c r="K35" s="470"/>
      <c r="L35" s="28">
        <f t="shared" si="1"/>
      </c>
      <c r="M35" s="25">
        <f t="shared" si="2"/>
      </c>
      <c r="N35" s="471"/>
      <c r="O35" s="471">
        <f t="shared" si="3"/>
      </c>
      <c r="P35" s="478">
        <f t="shared" si="4"/>
        <v>20</v>
      </c>
      <c r="Q35" s="479" t="str">
        <f t="shared" si="5"/>
        <v>--</v>
      </c>
      <c r="R35" s="480" t="str">
        <f t="shared" si="6"/>
        <v>--</v>
      </c>
      <c r="S35" s="481" t="str">
        <f t="shared" si="7"/>
        <v>--</v>
      </c>
      <c r="T35" s="482" t="str">
        <f t="shared" si="8"/>
        <v>--</v>
      </c>
      <c r="U35" s="459">
        <f t="shared" si="10"/>
      </c>
      <c r="V35" s="30">
        <f t="shared" si="9"/>
      </c>
      <c r="W35" s="33"/>
    </row>
    <row r="36" spans="2:23" s="8" customFormat="1" ht="16.5" customHeight="1">
      <c r="B36" s="69"/>
      <c r="C36" s="452"/>
      <c r="D36" s="449"/>
      <c r="E36" s="449"/>
      <c r="F36" s="463"/>
      <c r="G36" s="463"/>
      <c r="H36" s="464"/>
      <c r="I36" s="205">
        <f t="shared" si="0"/>
        <v>7.693</v>
      </c>
      <c r="J36" s="468"/>
      <c r="K36" s="470"/>
      <c r="L36" s="28">
        <f t="shared" si="1"/>
      </c>
      <c r="M36" s="25">
        <f t="shared" si="2"/>
      </c>
      <c r="N36" s="471"/>
      <c r="O36" s="471">
        <f t="shared" si="3"/>
      </c>
      <c r="P36" s="478">
        <f t="shared" si="4"/>
        <v>20</v>
      </c>
      <c r="Q36" s="479" t="str">
        <f t="shared" si="5"/>
        <v>--</v>
      </c>
      <c r="R36" s="480" t="str">
        <f t="shared" si="6"/>
        <v>--</v>
      </c>
      <c r="S36" s="481" t="str">
        <f t="shared" si="7"/>
        <v>--</v>
      </c>
      <c r="T36" s="482" t="str">
        <f t="shared" si="8"/>
        <v>--</v>
      </c>
      <c r="U36" s="459">
        <f t="shared" si="10"/>
      </c>
      <c r="V36" s="30">
        <f t="shared" si="9"/>
      </c>
      <c r="W36" s="33"/>
    </row>
    <row r="37" spans="2:23" s="8" customFormat="1" ht="16.5" customHeight="1">
      <c r="B37" s="69"/>
      <c r="C37" s="452"/>
      <c r="D37" s="449"/>
      <c r="E37" s="449"/>
      <c r="F37" s="463"/>
      <c r="G37" s="463"/>
      <c r="H37" s="464"/>
      <c r="I37" s="205">
        <f t="shared" si="0"/>
        <v>7.693</v>
      </c>
      <c r="J37" s="468"/>
      <c r="K37" s="470"/>
      <c r="L37" s="28">
        <f t="shared" si="1"/>
      </c>
      <c r="M37" s="25">
        <f t="shared" si="2"/>
      </c>
      <c r="N37" s="471"/>
      <c r="O37" s="471">
        <f t="shared" si="3"/>
      </c>
      <c r="P37" s="478">
        <f t="shared" si="4"/>
        <v>20</v>
      </c>
      <c r="Q37" s="479" t="str">
        <f t="shared" si="5"/>
        <v>--</v>
      </c>
      <c r="R37" s="480" t="str">
        <f t="shared" si="6"/>
        <v>--</v>
      </c>
      <c r="S37" s="481" t="str">
        <f t="shared" si="7"/>
        <v>--</v>
      </c>
      <c r="T37" s="482" t="str">
        <f t="shared" si="8"/>
        <v>--</v>
      </c>
      <c r="U37" s="459">
        <f t="shared" si="10"/>
      </c>
      <c r="V37" s="30">
        <f t="shared" si="9"/>
      </c>
      <c r="W37" s="33"/>
    </row>
    <row r="38" spans="2:23" s="8" customFormat="1" ht="16.5" customHeight="1">
      <c r="B38" s="69"/>
      <c r="C38" s="452"/>
      <c r="D38" s="449"/>
      <c r="E38" s="449"/>
      <c r="F38" s="463"/>
      <c r="G38" s="463"/>
      <c r="H38" s="464"/>
      <c r="I38" s="205">
        <f t="shared" si="0"/>
        <v>7.693</v>
      </c>
      <c r="J38" s="468"/>
      <c r="K38" s="470"/>
      <c r="L38" s="28">
        <f t="shared" si="1"/>
      </c>
      <c r="M38" s="25">
        <f t="shared" si="2"/>
      </c>
      <c r="N38" s="471"/>
      <c r="O38" s="471">
        <f t="shared" si="3"/>
      </c>
      <c r="P38" s="478">
        <f t="shared" si="4"/>
        <v>20</v>
      </c>
      <c r="Q38" s="479" t="str">
        <f t="shared" si="5"/>
        <v>--</v>
      </c>
      <c r="R38" s="480" t="str">
        <f t="shared" si="6"/>
        <v>--</v>
      </c>
      <c r="S38" s="481" t="str">
        <f t="shared" si="7"/>
        <v>--</v>
      </c>
      <c r="T38" s="482" t="str">
        <f t="shared" si="8"/>
        <v>--</v>
      </c>
      <c r="U38" s="459">
        <f t="shared" si="10"/>
      </c>
      <c r="V38" s="30">
        <f t="shared" si="9"/>
      </c>
      <c r="W38" s="33"/>
    </row>
    <row r="39" spans="2:23" s="8" customFormat="1" ht="16.5" customHeight="1">
      <c r="B39" s="69"/>
      <c r="C39" s="452"/>
      <c r="D39" s="449"/>
      <c r="E39" s="449"/>
      <c r="F39" s="463"/>
      <c r="G39" s="463"/>
      <c r="H39" s="464"/>
      <c r="I39" s="205">
        <f t="shared" si="0"/>
        <v>7.693</v>
      </c>
      <c r="J39" s="468"/>
      <c r="K39" s="470"/>
      <c r="L39" s="28">
        <f t="shared" si="1"/>
      </c>
      <c r="M39" s="25">
        <f t="shared" si="2"/>
      </c>
      <c r="N39" s="471"/>
      <c r="O39" s="471">
        <f t="shared" si="3"/>
      </c>
      <c r="P39" s="478">
        <f t="shared" si="4"/>
        <v>20</v>
      </c>
      <c r="Q39" s="479" t="str">
        <f t="shared" si="5"/>
        <v>--</v>
      </c>
      <c r="R39" s="480" t="str">
        <f t="shared" si="6"/>
        <v>--</v>
      </c>
      <c r="S39" s="481" t="str">
        <f t="shared" si="7"/>
        <v>--</v>
      </c>
      <c r="T39" s="482" t="str">
        <f t="shared" si="8"/>
        <v>--</v>
      </c>
      <c r="U39" s="459">
        <f t="shared" si="10"/>
      </c>
      <c r="V39" s="30">
        <f t="shared" si="9"/>
      </c>
      <c r="W39" s="33"/>
    </row>
    <row r="40" spans="2:23" s="8" customFormat="1" ht="16.5" customHeight="1">
      <c r="B40" s="69"/>
      <c r="C40" s="452"/>
      <c r="D40" s="449"/>
      <c r="E40" s="449"/>
      <c r="F40" s="463"/>
      <c r="G40" s="463"/>
      <c r="H40" s="464"/>
      <c r="I40" s="205">
        <f t="shared" si="0"/>
        <v>7.693</v>
      </c>
      <c r="J40" s="468"/>
      <c r="K40" s="470"/>
      <c r="L40" s="28">
        <f t="shared" si="1"/>
      </c>
      <c r="M40" s="25">
        <f t="shared" si="2"/>
      </c>
      <c r="N40" s="471"/>
      <c r="O40" s="471">
        <f t="shared" si="3"/>
      </c>
      <c r="P40" s="478">
        <f t="shared" si="4"/>
        <v>20</v>
      </c>
      <c r="Q40" s="479" t="str">
        <f t="shared" si="5"/>
        <v>--</v>
      </c>
      <c r="R40" s="480" t="str">
        <f t="shared" si="6"/>
        <v>--</v>
      </c>
      <c r="S40" s="481" t="str">
        <f t="shared" si="7"/>
        <v>--</v>
      </c>
      <c r="T40" s="482" t="str">
        <f t="shared" si="8"/>
        <v>--</v>
      </c>
      <c r="U40" s="459">
        <f t="shared" si="10"/>
      </c>
      <c r="V40" s="30">
        <f t="shared" si="9"/>
      </c>
      <c r="W40" s="33"/>
    </row>
    <row r="41" spans="2:23" s="8" customFormat="1" ht="16.5" customHeight="1">
      <c r="B41" s="69"/>
      <c r="C41" s="452"/>
      <c r="D41" s="449"/>
      <c r="E41" s="449"/>
      <c r="F41" s="463"/>
      <c r="G41" s="463"/>
      <c r="H41" s="464"/>
      <c r="I41" s="205">
        <f t="shared" si="0"/>
        <v>7.693</v>
      </c>
      <c r="J41" s="468"/>
      <c r="K41" s="470"/>
      <c r="L41" s="28">
        <f t="shared" si="1"/>
      </c>
      <c r="M41" s="25">
        <f t="shared" si="2"/>
      </c>
      <c r="N41" s="471"/>
      <c r="O41" s="471">
        <f t="shared" si="3"/>
      </c>
      <c r="P41" s="478">
        <f t="shared" si="4"/>
        <v>20</v>
      </c>
      <c r="Q41" s="479" t="str">
        <f t="shared" si="5"/>
        <v>--</v>
      </c>
      <c r="R41" s="480" t="str">
        <f t="shared" si="6"/>
        <v>--</v>
      </c>
      <c r="S41" s="481" t="str">
        <f t="shared" si="7"/>
        <v>--</v>
      </c>
      <c r="T41" s="482" t="str">
        <f t="shared" si="8"/>
        <v>--</v>
      </c>
      <c r="U41" s="459">
        <f t="shared" si="10"/>
      </c>
      <c r="V41" s="30">
        <f t="shared" si="9"/>
      </c>
      <c r="W41" s="33"/>
    </row>
    <row r="42" spans="2:23" s="8" customFormat="1" ht="16.5" customHeight="1">
      <c r="B42" s="69"/>
      <c r="C42" s="452"/>
      <c r="D42" s="449"/>
      <c r="E42" s="449"/>
      <c r="F42" s="463"/>
      <c r="G42" s="463"/>
      <c r="H42" s="464"/>
      <c r="I42" s="205">
        <f t="shared" si="0"/>
        <v>7.693</v>
      </c>
      <c r="J42" s="468"/>
      <c r="K42" s="470"/>
      <c r="L42" s="28">
        <f t="shared" si="1"/>
      </c>
      <c r="M42" s="25">
        <f t="shared" si="2"/>
      </c>
      <c r="N42" s="471"/>
      <c r="O42" s="471">
        <f t="shared" si="3"/>
      </c>
      <c r="P42" s="478">
        <f t="shared" si="4"/>
        <v>20</v>
      </c>
      <c r="Q42" s="479" t="str">
        <f t="shared" si="5"/>
        <v>--</v>
      </c>
      <c r="R42" s="480" t="str">
        <f t="shared" si="6"/>
        <v>--</v>
      </c>
      <c r="S42" s="481" t="str">
        <f t="shared" si="7"/>
        <v>--</v>
      </c>
      <c r="T42" s="482" t="str">
        <f t="shared" si="8"/>
        <v>--</v>
      </c>
      <c r="U42" s="459">
        <f t="shared" si="10"/>
      </c>
      <c r="V42" s="30">
        <f t="shared" si="9"/>
      </c>
      <c r="W42" s="33"/>
    </row>
    <row r="43" spans="2:23" s="8" customFormat="1" ht="16.5" customHeight="1" thickBot="1">
      <c r="B43" s="69"/>
      <c r="C43" s="465"/>
      <c r="D43" s="506"/>
      <c r="E43" s="506"/>
      <c r="F43" s="466"/>
      <c r="G43" s="466"/>
      <c r="H43" s="467"/>
      <c r="I43" s="206"/>
      <c r="J43" s="469"/>
      <c r="K43" s="469"/>
      <c r="L43" s="34"/>
      <c r="M43" s="34"/>
      <c r="N43" s="483"/>
      <c r="O43" s="483"/>
      <c r="P43" s="484"/>
      <c r="Q43" s="485"/>
      <c r="R43" s="486"/>
      <c r="S43" s="487"/>
      <c r="T43" s="488"/>
      <c r="U43" s="489"/>
      <c r="V43" s="174"/>
      <c r="W43" s="33"/>
    </row>
    <row r="44" spans="2:23" s="8" customFormat="1" ht="16.5" customHeight="1" thickBot="1" thickTop="1">
      <c r="B44" s="69"/>
      <c r="C44" s="524" t="s">
        <v>222</v>
      </c>
      <c r="D44" s="523" t="s">
        <v>225</v>
      </c>
      <c r="E44" s="188"/>
      <c r="F44" s="187"/>
      <c r="Q44" s="317">
        <f>SUM(Q21:Q43)</f>
        <v>401.95925</v>
      </c>
      <c r="R44" s="318">
        <f>SUM(R21:R43)</f>
        <v>0</v>
      </c>
      <c r="S44" s="318">
        <f>SUM(S21:S43)</f>
        <v>0</v>
      </c>
      <c r="T44" s="263">
        <f>SUM(T21:T43)</f>
        <v>0</v>
      </c>
      <c r="V44" s="197">
        <f>ROUND(SUM(V21:V43),2)</f>
        <v>1023.17</v>
      </c>
      <c r="W44" s="33"/>
    </row>
    <row r="45" spans="2:23" s="192" customFormat="1" ht="9.75" thickTop="1">
      <c r="B45" s="191"/>
      <c r="C45" s="188"/>
      <c r="D45" s="188"/>
      <c r="E45" s="188"/>
      <c r="F45" s="189"/>
      <c r="V45" s="196"/>
      <c r="W45" s="195"/>
    </row>
    <row r="46" spans="2:23" s="8" customFormat="1" ht="16.5" customHeight="1" thickBot="1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138"/>
    </row>
    <row r="47" spans="1:23" ht="16.5" customHeight="1" thickTop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</sheetData>
  <sheetProtection/>
  <printOptions/>
  <pageMargins left="0.44" right="0.1968503937007874" top="0.61" bottom="0.54" header="0.5118110236220472" footer="0.27"/>
  <pageSetup fitToHeight="1" fitToWidth="1" horizontalDpi="300" verticalDpi="300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B45"/>
  <sheetViews>
    <sheetView zoomScale="75" zoomScaleNormal="75" zoomScalePageLayoutView="0" workbookViewId="0" topLeftCell="A1">
      <selection activeCell="G17" sqref="G17"/>
    </sheetView>
  </sheetViews>
  <sheetFormatPr defaultColWidth="11.421875" defaultRowHeight="12.75"/>
  <cols>
    <col min="1" max="1" width="0.85546875" style="0" customWidth="1"/>
    <col min="2" max="2" width="4.140625" style="0" customWidth="1"/>
    <col min="3" max="3" width="4.8515625" style="0" customWidth="1"/>
    <col min="4" max="5" width="13.7109375" style="0" customWidth="1"/>
    <col min="6" max="6" width="40.7109375" style="0" customWidth="1"/>
    <col min="7" max="7" width="10.00390625" style="0" customWidth="1"/>
    <col min="8" max="8" width="8.7109375" style="0" customWidth="1"/>
    <col min="9" max="9" width="13.140625" style="0" hidden="1" customWidth="1"/>
    <col min="10" max="11" width="17.00390625" style="0" customWidth="1"/>
    <col min="12" max="14" width="9.7109375" style="0" customWidth="1"/>
    <col min="15" max="15" width="7.7109375" style="0" customWidth="1"/>
    <col min="16" max="16" width="12.28125" style="0" hidden="1" customWidth="1"/>
    <col min="17" max="17" width="17.7109375" style="0" hidden="1" customWidth="1"/>
    <col min="18" max="18" width="11.421875" style="0" hidden="1" customWidth="1"/>
    <col min="19" max="19" width="13.140625" style="0" hidden="1" customWidth="1"/>
    <col min="20" max="20" width="11.7109375" style="0" hidden="1" customWidth="1"/>
    <col min="21" max="21" width="11.421875" style="0" hidden="1" customWidth="1"/>
    <col min="22" max="22" width="15.8515625" style="0" hidden="1" customWidth="1"/>
    <col min="23" max="23" width="12.57421875" style="0" hidden="1" customWidth="1"/>
    <col min="24" max="24" width="16.00390625" style="0" hidden="1" customWidth="1"/>
    <col min="25" max="25" width="14.7109375" style="0" hidden="1" customWidth="1"/>
    <col min="26" max="26" width="9.7109375" style="0" customWidth="1"/>
    <col min="27" max="27" width="15.7109375" style="0" customWidth="1"/>
    <col min="28" max="28" width="4.140625" style="0" customWidth="1"/>
  </cols>
  <sheetData>
    <row r="1" s="36" customFormat="1" ht="26.25">
      <c r="AB1" s="414"/>
    </row>
    <row r="2" spans="2:28" s="36" customFormat="1" ht="26.25">
      <c r="B2" s="507" t="str">
        <f>+'TOT-0413'!B2</f>
        <v>ANEXO I al Memorandum D.T.E.E. N°  475 / 2014</v>
      </c>
      <c r="C2" s="39"/>
      <c r="D2" s="39"/>
      <c r="E2" s="39"/>
      <c r="F2" s="39"/>
      <c r="G2" s="114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115"/>
    </row>
    <row r="3" s="8" customFormat="1" ht="12.75">
      <c r="AB3" s="7"/>
    </row>
    <row r="4" spans="1:28" s="43" customFormat="1" ht="11.25">
      <c r="A4" s="508" t="s">
        <v>152</v>
      </c>
      <c r="B4" s="116"/>
      <c r="C4" s="508"/>
      <c r="AB4" s="44"/>
    </row>
    <row r="5" spans="1:28" s="43" customFormat="1" ht="11.25">
      <c r="A5" s="508" t="s">
        <v>153</v>
      </c>
      <c r="B5" s="116"/>
      <c r="C5" s="116"/>
      <c r="AB5" s="44"/>
    </row>
    <row r="6" spans="1:28" s="8" customFormat="1" ht="17.25" customHeight="1" thickBot="1">
      <c r="A6" s="7"/>
      <c r="B6" s="7"/>
      <c r="AB6" s="7"/>
    </row>
    <row r="7" spans="1:28" s="8" customFormat="1" ht="13.5" thickTop="1">
      <c r="A7" s="7"/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3"/>
    </row>
    <row r="8" spans="1:28" s="47" customFormat="1" ht="20.25">
      <c r="A8" s="48"/>
      <c r="B8" s="103"/>
      <c r="C8" s="48"/>
      <c r="D8" s="48"/>
      <c r="E8" s="48"/>
      <c r="F8" s="19" t="s">
        <v>19</v>
      </c>
      <c r="G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104"/>
    </row>
    <row r="9" spans="1:28" s="8" customFormat="1" ht="12.75">
      <c r="A9" s="7"/>
      <c r="B9" s="69"/>
      <c r="C9" s="7"/>
      <c r="D9" s="7"/>
      <c r="E9" s="7"/>
      <c r="F9" s="100"/>
      <c r="G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9"/>
    </row>
    <row r="10" spans="1:28" s="47" customFormat="1" ht="20.25">
      <c r="A10" s="48"/>
      <c r="B10" s="103"/>
      <c r="C10" s="48"/>
      <c r="D10" s="48"/>
      <c r="E10" s="48"/>
      <c r="F10" s="19" t="s">
        <v>20</v>
      </c>
      <c r="G10" s="19"/>
      <c r="H10" s="48"/>
      <c r="I10" s="105"/>
      <c r="J10" s="105"/>
      <c r="K10" s="105"/>
      <c r="L10" s="105"/>
      <c r="M10" s="105"/>
      <c r="N10" s="105"/>
      <c r="O10" s="105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104"/>
    </row>
    <row r="11" spans="1:28" s="8" customFormat="1" ht="12.75">
      <c r="A11" s="7"/>
      <c r="B11" s="69"/>
      <c r="C11" s="7"/>
      <c r="D11" s="7"/>
      <c r="E11" s="7"/>
      <c r="F11" s="100"/>
      <c r="G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9"/>
    </row>
    <row r="12" spans="1:28" s="47" customFormat="1" ht="20.25">
      <c r="A12" s="48"/>
      <c r="B12" s="461"/>
      <c r="C12" s="48"/>
      <c r="D12" s="48"/>
      <c r="E12" s="48"/>
      <c r="F12" s="19" t="s">
        <v>230</v>
      </c>
      <c r="G12" s="19"/>
      <c r="H12" s="48"/>
      <c r="I12" s="105"/>
      <c r="J12" s="105"/>
      <c r="K12" s="105"/>
      <c r="L12" s="105"/>
      <c r="M12" s="105"/>
      <c r="N12" s="105"/>
      <c r="O12" s="105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104"/>
    </row>
    <row r="13" spans="1:28" s="8" customFormat="1" ht="12.75">
      <c r="A13" s="7"/>
      <c r="B13" s="69"/>
      <c r="C13" s="7"/>
      <c r="D13" s="7"/>
      <c r="E13" s="7"/>
      <c r="F13" s="101"/>
      <c r="G13" s="99"/>
      <c r="H13" s="7"/>
      <c r="I13" s="94"/>
      <c r="J13" s="94"/>
      <c r="K13" s="94"/>
      <c r="L13" s="94"/>
      <c r="M13" s="94"/>
      <c r="N13" s="94"/>
      <c r="O13" s="94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9"/>
    </row>
    <row r="14" spans="1:28" s="54" customFormat="1" ht="19.5">
      <c r="A14" s="61"/>
      <c r="B14" s="448" t="str">
        <f>'TOT-0413'!B14</f>
        <v>Desde el 01 al 30 de abril de 2013</v>
      </c>
      <c r="C14" s="59"/>
      <c r="D14" s="59"/>
      <c r="E14" s="59"/>
      <c r="F14" s="59"/>
      <c r="G14" s="111"/>
      <c r="H14" s="112"/>
      <c r="I14" s="113"/>
      <c r="J14" s="113"/>
      <c r="K14" s="113"/>
      <c r="L14" s="113"/>
      <c r="M14" s="113"/>
      <c r="N14" s="113"/>
      <c r="O14" s="113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60"/>
    </row>
    <row r="15" spans="1:28" s="8" customFormat="1" ht="13.5" thickBot="1">
      <c r="A15" s="7"/>
      <c r="B15" s="69"/>
      <c r="C15" s="7"/>
      <c r="D15" s="7"/>
      <c r="E15" s="7"/>
      <c r="F15" s="7"/>
      <c r="G15" s="7"/>
      <c r="H15" s="102"/>
      <c r="I15" s="94"/>
      <c r="J15" s="94"/>
      <c r="K15" s="94"/>
      <c r="L15" s="94"/>
      <c r="M15" s="94"/>
      <c r="N15" s="94"/>
      <c r="O15" s="9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9"/>
    </row>
    <row r="16" spans="1:28" s="8" customFormat="1" ht="14.25" thickBot="1" thickTop="1">
      <c r="A16" s="7"/>
      <c r="B16" s="69"/>
      <c r="C16" s="7"/>
      <c r="D16" s="7"/>
      <c r="E16" s="7"/>
      <c r="F16" s="106" t="s">
        <v>22</v>
      </c>
      <c r="G16" s="525">
        <v>62.8386</v>
      </c>
      <c r="H16" s="211"/>
      <c r="I16" s="7"/>
      <c r="J16"/>
      <c r="K16" s="107" t="s">
        <v>23</v>
      </c>
      <c r="L16" s="108">
        <f>30*'TOT-0413'!B13</f>
        <v>30</v>
      </c>
      <c r="M16" s="194" t="str">
        <f>IF(L16=30," ",IF(L16=60,"Coeficiente duplicado por tasa de falla &gt;4 Sal. x año/100 km.","REVISAR COEFICIENTE"))</f>
        <v> 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/>
    </row>
    <row r="17" spans="1:28" s="8" customFormat="1" ht="14.25" thickBot="1" thickTop="1">
      <c r="A17" s="7"/>
      <c r="B17" s="69"/>
      <c r="C17" s="520">
        <v>3</v>
      </c>
      <c r="D17" s="520">
        <v>4</v>
      </c>
      <c r="E17" s="520">
        <v>5</v>
      </c>
      <c r="F17" s="520">
        <v>6</v>
      </c>
      <c r="G17" s="520">
        <v>7</v>
      </c>
      <c r="H17" s="520">
        <v>8</v>
      </c>
      <c r="I17" s="520">
        <v>9</v>
      </c>
      <c r="J17" s="520">
        <v>10</v>
      </c>
      <c r="K17" s="520">
        <v>11</v>
      </c>
      <c r="L17" s="520">
        <v>12</v>
      </c>
      <c r="M17" s="520">
        <v>13</v>
      </c>
      <c r="N17" s="520">
        <v>14</v>
      </c>
      <c r="O17" s="520">
        <v>15</v>
      </c>
      <c r="P17" s="520">
        <v>16</v>
      </c>
      <c r="Q17" s="520">
        <v>17</v>
      </c>
      <c r="R17" s="520">
        <v>18</v>
      </c>
      <c r="S17" s="520">
        <v>19</v>
      </c>
      <c r="T17" s="520">
        <v>20</v>
      </c>
      <c r="U17" s="520">
        <v>21</v>
      </c>
      <c r="V17" s="520">
        <v>22</v>
      </c>
      <c r="W17" s="520">
        <v>23</v>
      </c>
      <c r="X17" s="520">
        <v>24</v>
      </c>
      <c r="Y17" s="520">
        <v>25</v>
      </c>
      <c r="Z17" s="520">
        <v>26</v>
      </c>
      <c r="AA17" s="520">
        <v>27</v>
      </c>
      <c r="AB17" s="9"/>
    </row>
    <row r="18" spans="1:28" s="8" customFormat="1" ht="33.75" customHeight="1" thickBot="1" thickTop="1">
      <c r="A18" s="7"/>
      <c r="B18" s="69"/>
      <c r="C18" s="117" t="s">
        <v>24</v>
      </c>
      <c r="D18" s="117" t="s">
        <v>151</v>
      </c>
      <c r="E18" s="117" t="s">
        <v>150</v>
      </c>
      <c r="F18" s="118" t="s">
        <v>3</v>
      </c>
      <c r="G18" s="119" t="s">
        <v>25</v>
      </c>
      <c r="H18" s="120" t="s">
        <v>26</v>
      </c>
      <c r="I18" s="198" t="s">
        <v>27</v>
      </c>
      <c r="J18" s="118" t="s">
        <v>28</v>
      </c>
      <c r="K18" s="118" t="s">
        <v>29</v>
      </c>
      <c r="L18" s="119" t="s">
        <v>30</v>
      </c>
      <c r="M18" s="119" t="s">
        <v>31</v>
      </c>
      <c r="N18" s="121" t="s">
        <v>32</v>
      </c>
      <c r="O18" s="119" t="s">
        <v>33</v>
      </c>
      <c r="P18" s="213" t="s">
        <v>34</v>
      </c>
      <c r="Q18" s="218" t="s">
        <v>35</v>
      </c>
      <c r="R18" s="223" t="s">
        <v>36</v>
      </c>
      <c r="S18" s="224"/>
      <c r="T18" s="225"/>
      <c r="U18" s="236" t="s">
        <v>37</v>
      </c>
      <c r="V18" s="237"/>
      <c r="W18" s="238"/>
      <c r="X18" s="251" t="s">
        <v>38</v>
      </c>
      <c r="Y18" s="256" t="s">
        <v>39</v>
      </c>
      <c r="Z18" s="122" t="s">
        <v>40</v>
      </c>
      <c r="AA18" s="209" t="s">
        <v>41</v>
      </c>
      <c r="AB18" s="9"/>
    </row>
    <row r="19" spans="1:28" s="8" customFormat="1" ht="15.75" thickTop="1">
      <c r="A19" s="7"/>
      <c r="B19" s="69"/>
      <c r="C19" s="424"/>
      <c r="D19" s="505"/>
      <c r="E19" s="505"/>
      <c r="F19" s="425"/>
      <c r="G19" s="432"/>
      <c r="H19" s="433"/>
      <c r="I19" s="212"/>
      <c r="J19" s="438"/>
      <c r="K19" s="438"/>
      <c r="L19" s="10"/>
      <c r="M19" s="10"/>
      <c r="N19" s="425"/>
      <c r="O19" s="10"/>
      <c r="P19" s="214"/>
      <c r="Q19" s="219"/>
      <c r="R19" s="226"/>
      <c r="S19" s="232"/>
      <c r="T19" s="233"/>
      <c r="U19" s="239"/>
      <c r="V19" s="243"/>
      <c r="W19" s="247"/>
      <c r="X19" s="252"/>
      <c r="Y19" s="257"/>
      <c r="Z19" s="444"/>
      <c r="AA19" s="210"/>
      <c r="AB19" s="9"/>
    </row>
    <row r="20" spans="1:28" s="8" customFormat="1" ht="15">
      <c r="A20" s="7"/>
      <c r="B20" s="69"/>
      <c r="C20" s="426"/>
      <c r="D20" s="427"/>
      <c r="E20" s="427"/>
      <c r="F20" s="427"/>
      <c r="G20" s="426"/>
      <c r="H20" s="426"/>
      <c r="I20" s="199"/>
      <c r="J20" s="426"/>
      <c r="K20" s="434"/>
      <c r="L20" s="12"/>
      <c r="M20" s="12"/>
      <c r="N20" s="427"/>
      <c r="O20" s="11"/>
      <c r="P20" s="215"/>
      <c r="Q20" s="220"/>
      <c r="R20" s="226"/>
      <c r="S20" s="232"/>
      <c r="T20" s="233"/>
      <c r="U20" s="240"/>
      <c r="V20" s="244"/>
      <c r="W20" s="248"/>
      <c r="X20" s="253"/>
      <c r="Y20" s="258"/>
      <c r="Z20" s="445"/>
      <c r="AA20" s="109"/>
      <c r="AB20" s="9"/>
    </row>
    <row r="21" spans="1:28" s="8" customFormat="1" ht="15">
      <c r="A21" s="7"/>
      <c r="B21" s="69"/>
      <c r="C21" s="428">
        <v>60</v>
      </c>
      <c r="D21" s="425">
        <v>259917</v>
      </c>
      <c r="E21" s="425">
        <v>4941</v>
      </c>
      <c r="F21" s="429" t="s">
        <v>213</v>
      </c>
      <c r="G21" s="434">
        <v>132</v>
      </c>
      <c r="H21" s="435">
        <v>40</v>
      </c>
      <c r="I21" s="200">
        <f aca="true" t="shared" si="0" ref="I21:I40">$G$16/100*IF(H21&gt;25,H21,25)</f>
        <v>25.13544</v>
      </c>
      <c r="J21" s="439">
        <v>41390.31805555556</v>
      </c>
      <c r="K21" s="439">
        <v>41390.32430555556</v>
      </c>
      <c r="L21" s="13">
        <f aca="true" t="shared" si="1" ref="L21:L40">IF(F21="","",(K21-J21)*24)</f>
        <v>0.1499999999650754</v>
      </c>
      <c r="M21" s="14">
        <f aca="true" t="shared" si="2" ref="M21:M40">IF(F21="","",ROUND((K21-J21)*24*60,0))</f>
        <v>9</v>
      </c>
      <c r="N21" s="441" t="s">
        <v>169</v>
      </c>
      <c r="O21" s="15" t="str">
        <f aca="true" t="shared" si="3" ref="O21:O40">IF(F21="","","--")</f>
        <v>--</v>
      </c>
      <c r="P21" s="216" t="str">
        <f aca="true" t="shared" si="4" ref="P21:P40">IF(N21="P",ROUND(M21/60,2)*I21*$L$16*0.01,"--")</f>
        <v>--</v>
      </c>
      <c r="Q21" s="221" t="str">
        <f aca="true" t="shared" si="5" ref="Q21:Q40">IF(N21="RP",I21*O21*ROUND(L21/60,2)*0.01*M21/100,"--")</f>
        <v>--</v>
      </c>
      <c r="R21" s="226">
        <f aca="true" t="shared" si="6" ref="R21:R40">IF(N21="F",I21*$L$16,"--")</f>
        <v>754.0631999999999</v>
      </c>
      <c r="S21" s="227" t="str">
        <f aca="true" t="shared" si="7" ref="S21:S40">IF(AND(M21&gt;10,N21="F"),I21*$L$16*IF(M21&gt;180,3,ROUND((M21)/60,2)),"--")</f>
        <v>--</v>
      </c>
      <c r="T21" s="228" t="str">
        <f aca="true" t="shared" si="8" ref="T21:T40">IF(AND(M21&gt;180,N21="F"),(ROUND(M21/60,2)-3)*I21*$L$16*0.1,"--")</f>
        <v>--</v>
      </c>
      <c r="U21" s="241" t="str">
        <f aca="true" t="shared" si="9" ref="U21:U40">IF(N21="R",I21*$L$16*O21/100,"--")</f>
        <v>--</v>
      </c>
      <c r="V21" s="245" t="str">
        <f aca="true" t="shared" si="10" ref="V21:V40">IF(AND(M21&gt;10,N21="R"),I21*$L$16*O21/100*IF(M21&gt;180,3,ROUND(M21/60,2)),"--")</f>
        <v>--</v>
      </c>
      <c r="W21" s="249" t="str">
        <f aca="true" t="shared" si="11" ref="W21:W40">IF(AND(M21&gt;180,N21="R"),(ROUND(M21/60,2)-3)*I21*$L$16*0.1*O21/100,"--")</f>
        <v>--</v>
      </c>
      <c r="X21" s="254" t="str">
        <f aca="true" t="shared" si="12" ref="X21:X40">IF(N21="RF",ROUND(M21/60,2)*I21*$L$16*0.1,"--")</f>
        <v>--</v>
      </c>
      <c r="Y21" s="259" t="str">
        <f aca="true" t="shared" si="13" ref="Y21:Y40">IF(N21="RR",ROUND(M21/60,2)*I21*$L$16*0.1*O21/100,"--")</f>
        <v>--</v>
      </c>
      <c r="Z21" s="446" t="s">
        <v>170</v>
      </c>
      <c r="AA21" s="31">
        <f aca="true" t="shared" si="14" ref="AA21:AA40">IF(F21="","",SUM(P21:Y21)*IF(Z21="SI",1,2))</f>
        <v>754.0631999999999</v>
      </c>
      <c r="AB21" s="319"/>
    </row>
    <row r="22" spans="1:28" s="8" customFormat="1" ht="15">
      <c r="A22" s="7"/>
      <c r="B22" s="69"/>
      <c r="C22" s="428"/>
      <c r="D22" s="425"/>
      <c r="E22" s="425"/>
      <c r="F22" s="429"/>
      <c r="G22" s="434"/>
      <c r="H22" s="435"/>
      <c r="I22" s="200">
        <f t="shared" si="0"/>
        <v>15.70965</v>
      </c>
      <c r="J22" s="439"/>
      <c r="K22" s="439"/>
      <c r="L22" s="13">
        <f t="shared" si="1"/>
      </c>
      <c r="M22" s="14">
        <f t="shared" si="2"/>
      </c>
      <c r="N22" s="441"/>
      <c r="O22" s="15">
        <f t="shared" si="3"/>
      </c>
      <c r="P22" s="216" t="str">
        <f t="shared" si="4"/>
        <v>--</v>
      </c>
      <c r="Q22" s="221" t="str">
        <f t="shared" si="5"/>
        <v>--</v>
      </c>
      <c r="R22" s="226" t="str">
        <f t="shared" si="6"/>
        <v>--</v>
      </c>
      <c r="S22" s="227" t="str">
        <f t="shared" si="7"/>
        <v>--</v>
      </c>
      <c r="T22" s="228" t="str">
        <f t="shared" si="8"/>
        <v>--</v>
      </c>
      <c r="U22" s="241" t="str">
        <f t="shared" si="9"/>
        <v>--</v>
      </c>
      <c r="V22" s="245" t="str">
        <f t="shared" si="10"/>
        <v>--</v>
      </c>
      <c r="W22" s="249" t="str">
        <f t="shared" si="11"/>
        <v>--</v>
      </c>
      <c r="X22" s="254" t="str">
        <f t="shared" si="12"/>
        <v>--</v>
      </c>
      <c r="Y22" s="259" t="str">
        <f t="shared" si="13"/>
        <v>--</v>
      </c>
      <c r="Z22" s="446">
        <f aca="true" t="shared" si="15" ref="Z22:Z40">IF(F22="","","SI")</f>
      </c>
      <c r="AA22" s="31">
        <f t="shared" si="14"/>
      </c>
      <c r="AB22" s="319"/>
    </row>
    <row r="23" spans="1:28" s="8" customFormat="1" ht="15">
      <c r="A23" s="7"/>
      <c r="B23" s="69"/>
      <c r="C23" s="428"/>
      <c r="D23" s="425"/>
      <c r="E23" s="425"/>
      <c r="F23" s="429"/>
      <c r="G23" s="434"/>
      <c r="H23" s="435"/>
      <c r="I23" s="200">
        <f t="shared" si="0"/>
        <v>15.70965</v>
      </c>
      <c r="J23" s="439"/>
      <c r="K23" s="439"/>
      <c r="L23" s="13">
        <f t="shared" si="1"/>
      </c>
      <c r="M23" s="14">
        <f t="shared" si="2"/>
      </c>
      <c r="N23" s="441"/>
      <c r="O23" s="15">
        <f t="shared" si="3"/>
      </c>
      <c r="P23" s="216" t="str">
        <f t="shared" si="4"/>
        <v>--</v>
      </c>
      <c r="Q23" s="221" t="str">
        <f t="shared" si="5"/>
        <v>--</v>
      </c>
      <c r="R23" s="226" t="str">
        <f t="shared" si="6"/>
        <v>--</v>
      </c>
      <c r="S23" s="227" t="str">
        <f t="shared" si="7"/>
        <v>--</v>
      </c>
      <c r="T23" s="228" t="str">
        <f t="shared" si="8"/>
        <v>--</v>
      </c>
      <c r="U23" s="241" t="str">
        <f t="shared" si="9"/>
        <v>--</v>
      </c>
      <c r="V23" s="245" t="str">
        <f t="shared" si="10"/>
        <v>--</v>
      </c>
      <c r="W23" s="249" t="str">
        <f t="shared" si="11"/>
        <v>--</v>
      </c>
      <c r="X23" s="254" t="str">
        <f t="shared" si="12"/>
        <v>--</v>
      </c>
      <c r="Y23" s="259" t="str">
        <f t="shared" si="13"/>
        <v>--</v>
      </c>
      <c r="Z23" s="446">
        <f t="shared" si="15"/>
      </c>
      <c r="AA23" s="31">
        <f t="shared" si="14"/>
      </c>
      <c r="AB23" s="319"/>
    </row>
    <row r="24" spans="1:28" s="8" customFormat="1" ht="15">
      <c r="A24" s="7"/>
      <c r="B24" s="69"/>
      <c r="C24" s="428"/>
      <c r="D24" s="425"/>
      <c r="E24" s="425"/>
      <c r="F24" s="429"/>
      <c r="G24" s="434"/>
      <c r="H24" s="435"/>
      <c r="I24" s="200">
        <f t="shared" si="0"/>
        <v>15.70965</v>
      </c>
      <c r="J24" s="439"/>
      <c r="K24" s="439"/>
      <c r="L24" s="13">
        <f t="shared" si="1"/>
      </c>
      <c r="M24" s="14">
        <f t="shared" si="2"/>
      </c>
      <c r="N24" s="441"/>
      <c r="O24" s="15">
        <f t="shared" si="3"/>
      </c>
      <c r="P24" s="216" t="str">
        <f t="shared" si="4"/>
        <v>--</v>
      </c>
      <c r="Q24" s="221" t="str">
        <f t="shared" si="5"/>
        <v>--</v>
      </c>
      <c r="R24" s="226" t="str">
        <f t="shared" si="6"/>
        <v>--</v>
      </c>
      <c r="S24" s="227" t="str">
        <f t="shared" si="7"/>
        <v>--</v>
      </c>
      <c r="T24" s="228" t="str">
        <f t="shared" si="8"/>
        <v>--</v>
      </c>
      <c r="U24" s="241" t="str">
        <f t="shared" si="9"/>
        <v>--</v>
      </c>
      <c r="V24" s="245" t="str">
        <f t="shared" si="10"/>
        <v>--</v>
      </c>
      <c r="W24" s="249" t="str">
        <f t="shared" si="11"/>
        <v>--</v>
      </c>
      <c r="X24" s="254" t="str">
        <f t="shared" si="12"/>
        <v>--</v>
      </c>
      <c r="Y24" s="259" t="str">
        <f t="shared" si="13"/>
        <v>--</v>
      </c>
      <c r="Z24" s="446">
        <f t="shared" si="15"/>
      </c>
      <c r="AA24" s="31">
        <f t="shared" si="14"/>
      </c>
      <c r="AB24" s="319"/>
    </row>
    <row r="25" spans="1:28" s="8" customFormat="1" ht="15">
      <c r="A25" s="7"/>
      <c r="B25" s="69"/>
      <c r="C25" s="428"/>
      <c r="D25" s="425"/>
      <c r="E25" s="425"/>
      <c r="F25" s="429"/>
      <c r="G25" s="434"/>
      <c r="H25" s="435"/>
      <c r="I25" s="200">
        <f t="shared" si="0"/>
        <v>15.70965</v>
      </c>
      <c r="J25" s="439"/>
      <c r="K25" s="439"/>
      <c r="L25" s="13">
        <f t="shared" si="1"/>
      </c>
      <c r="M25" s="14">
        <f t="shared" si="2"/>
      </c>
      <c r="N25" s="441"/>
      <c r="O25" s="15">
        <f t="shared" si="3"/>
      </c>
      <c r="P25" s="216" t="str">
        <f t="shared" si="4"/>
        <v>--</v>
      </c>
      <c r="Q25" s="221" t="str">
        <f t="shared" si="5"/>
        <v>--</v>
      </c>
      <c r="R25" s="226" t="str">
        <f t="shared" si="6"/>
        <v>--</v>
      </c>
      <c r="S25" s="227" t="str">
        <f t="shared" si="7"/>
        <v>--</v>
      </c>
      <c r="T25" s="228" t="str">
        <f t="shared" si="8"/>
        <v>--</v>
      </c>
      <c r="U25" s="241" t="str">
        <f t="shared" si="9"/>
        <v>--</v>
      </c>
      <c r="V25" s="245" t="str">
        <f t="shared" si="10"/>
        <v>--</v>
      </c>
      <c r="W25" s="249" t="str">
        <f t="shared" si="11"/>
        <v>--</v>
      </c>
      <c r="X25" s="254" t="str">
        <f t="shared" si="12"/>
        <v>--</v>
      </c>
      <c r="Y25" s="259" t="str">
        <f t="shared" si="13"/>
        <v>--</v>
      </c>
      <c r="Z25" s="446">
        <f t="shared" si="15"/>
      </c>
      <c r="AA25" s="31">
        <f t="shared" si="14"/>
      </c>
      <c r="AB25" s="319"/>
    </row>
    <row r="26" spans="1:28" s="8" customFormat="1" ht="15">
      <c r="A26" s="7"/>
      <c r="B26" s="69"/>
      <c r="C26" s="428"/>
      <c r="D26" s="425"/>
      <c r="E26" s="425"/>
      <c r="F26" s="429"/>
      <c r="G26" s="434"/>
      <c r="H26" s="435"/>
      <c r="I26" s="200">
        <f t="shared" si="0"/>
        <v>15.70965</v>
      </c>
      <c r="J26" s="439"/>
      <c r="K26" s="439"/>
      <c r="L26" s="13">
        <f t="shared" si="1"/>
      </c>
      <c r="M26" s="14">
        <f t="shared" si="2"/>
      </c>
      <c r="N26" s="441"/>
      <c r="O26" s="15">
        <f t="shared" si="3"/>
      </c>
      <c r="P26" s="216" t="str">
        <f t="shared" si="4"/>
        <v>--</v>
      </c>
      <c r="Q26" s="221" t="str">
        <f t="shared" si="5"/>
        <v>--</v>
      </c>
      <c r="R26" s="226" t="str">
        <f t="shared" si="6"/>
        <v>--</v>
      </c>
      <c r="S26" s="227" t="str">
        <f t="shared" si="7"/>
        <v>--</v>
      </c>
      <c r="T26" s="228" t="str">
        <f t="shared" si="8"/>
        <v>--</v>
      </c>
      <c r="U26" s="241" t="str">
        <f t="shared" si="9"/>
        <v>--</v>
      </c>
      <c r="V26" s="245" t="str">
        <f t="shared" si="10"/>
        <v>--</v>
      </c>
      <c r="W26" s="249" t="str">
        <f t="shared" si="11"/>
        <v>--</v>
      </c>
      <c r="X26" s="254" t="str">
        <f t="shared" si="12"/>
        <v>--</v>
      </c>
      <c r="Y26" s="259" t="str">
        <f t="shared" si="13"/>
        <v>--</v>
      </c>
      <c r="Z26" s="446">
        <f t="shared" si="15"/>
      </c>
      <c r="AA26" s="31">
        <f t="shared" si="14"/>
      </c>
      <c r="AB26" s="319"/>
    </row>
    <row r="27" spans="1:28" s="8" customFormat="1" ht="15">
      <c r="A27" s="7"/>
      <c r="B27" s="69"/>
      <c r="C27" s="428"/>
      <c r="D27" s="425"/>
      <c r="E27" s="425"/>
      <c r="F27" s="429"/>
      <c r="G27" s="434"/>
      <c r="H27" s="435"/>
      <c r="I27" s="200">
        <f t="shared" si="0"/>
        <v>15.70965</v>
      </c>
      <c r="J27" s="439"/>
      <c r="K27" s="439"/>
      <c r="L27" s="13">
        <f t="shared" si="1"/>
      </c>
      <c r="M27" s="14">
        <f t="shared" si="2"/>
      </c>
      <c r="N27" s="441"/>
      <c r="O27" s="15">
        <f t="shared" si="3"/>
      </c>
      <c r="P27" s="216" t="str">
        <f t="shared" si="4"/>
        <v>--</v>
      </c>
      <c r="Q27" s="221" t="str">
        <f t="shared" si="5"/>
        <v>--</v>
      </c>
      <c r="R27" s="226" t="str">
        <f t="shared" si="6"/>
        <v>--</v>
      </c>
      <c r="S27" s="227" t="str">
        <f t="shared" si="7"/>
        <v>--</v>
      </c>
      <c r="T27" s="228" t="str">
        <f t="shared" si="8"/>
        <v>--</v>
      </c>
      <c r="U27" s="241" t="str">
        <f t="shared" si="9"/>
        <v>--</v>
      </c>
      <c r="V27" s="245" t="str">
        <f t="shared" si="10"/>
        <v>--</v>
      </c>
      <c r="W27" s="249" t="str">
        <f t="shared" si="11"/>
        <v>--</v>
      </c>
      <c r="X27" s="254" t="str">
        <f t="shared" si="12"/>
        <v>--</v>
      </c>
      <c r="Y27" s="259" t="str">
        <f t="shared" si="13"/>
        <v>--</v>
      </c>
      <c r="Z27" s="446">
        <f t="shared" si="15"/>
      </c>
      <c r="AA27" s="31">
        <f t="shared" si="14"/>
      </c>
      <c r="AB27" s="319"/>
    </row>
    <row r="28" spans="1:28" s="8" customFormat="1" ht="15">
      <c r="A28" s="7"/>
      <c r="B28" s="69"/>
      <c r="C28" s="428"/>
      <c r="D28" s="425"/>
      <c r="E28" s="425"/>
      <c r="F28" s="429"/>
      <c r="G28" s="434"/>
      <c r="H28" s="435"/>
      <c r="I28" s="200">
        <f t="shared" si="0"/>
        <v>15.70965</v>
      </c>
      <c r="J28" s="439"/>
      <c r="K28" s="439"/>
      <c r="L28" s="13">
        <f t="shared" si="1"/>
      </c>
      <c r="M28" s="14">
        <f t="shared" si="2"/>
      </c>
      <c r="N28" s="441"/>
      <c r="O28" s="15">
        <f t="shared" si="3"/>
      </c>
      <c r="P28" s="216" t="str">
        <f t="shared" si="4"/>
        <v>--</v>
      </c>
      <c r="Q28" s="221" t="str">
        <f t="shared" si="5"/>
        <v>--</v>
      </c>
      <c r="R28" s="226" t="str">
        <f t="shared" si="6"/>
        <v>--</v>
      </c>
      <c r="S28" s="227" t="str">
        <f t="shared" si="7"/>
        <v>--</v>
      </c>
      <c r="T28" s="228" t="str">
        <f t="shared" si="8"/>
        <v>--</v>
      </c>
      <c r="U28" s="241" t="str">
        <f t="shared" si="9"/>
        <v>--</v>
      </c>
      <c r="V28" s="245" t="str">
        <f t="shared" si="10"/>
        <v>--</v>
      </c>
      <c r="W28" s="249" t="str">
        <f t="shared" si="11"/>
        <v>--</v>
      </c>
      <c r="X28" s="254" t="str">
        <f t="shared" si="12"/>
        <v>--</v>
      </c>
      <c r="Y28" s="259" t="str">
        <f t="shared" si="13"/>
        <v>--</v>
      </c>
      <c r="Z28" s="446">
        <f t="shared" si="15"/>
      </c>
      <c r="AA28" s="31">
        <f t="shared" si="14"/>
      </c>
      <c r="AB28" s="9"/>
    </row>
    <row r="29" spans="1:28" s="8" customFormat="1" ht="15">
      <c r="A29" s="7"/>
      <c r="B29" s="69"/>
      <c r="C29" s="428"/>
      <c r="D29" s="425"/>
      <c r="E29" s="425"/>
      <c r="F29" s="429"/>
      <c r="G29" s="434"/>
      <c r="H29" s="435"/>
      <c r="I29" s="200">
        <f t="shared" si="0"/>
        <v>15.70965</v>
      </c>
      <c r="J29" s="439"/>
      <c r="K29" s="439"/>
      <c r="L29" s="13">
        <f t="shared" si="1"/>
      </c>
      <c r="M29" s="14">
        <f t="shared" si="2"/>
      </c>
      <c r="N29" s="441"/>
      <c r="O29" s="15">
        <f t="shared" si="3"/>
      </c>
      <c r="P29" s="216" t="str">
        <f t="shared" si="4"/>
        <v>--</v>
      </c>
      <c r="Q29" s="221" t="str">
        <f t="shared" si="5"/>
        <v>--</v>
      </c>
      <c r="R29" s="226" t="str">
        <f t="shared" si="6"/>
        <v>--</v>
      </c>
      <c r="S29" s="227" t="str">
        <f t="shared" si="7"/>
        <v>--</v>
      </c>
      <c r="T29" s="228" t="str">
        <f t="shared" si="8"/>
        <v>--</v>
      </c>
      <c r="U29" s="241" t="str">
        <f t="shared" si="9"/>
        <v>--</v>
      </c>
      <c r="V29" s="245" t="str">
        <f t="shared" si="10"/>
        <v>--</v>
      </c>
      <c r="W29" s="249" t="str">
        <f t="shared" si="11"/>
        <v>--</v>
      </c>
      <c r="X29" s="254" t="str">
        <f t="shared" si="12"/>
        <v>--</v>
      </c>
      <c r="Y29" s="259" t="str">
        <f t="shared" si="13"/>
        <v>--</v>
      </c>
      <c r="Z29" s="446">
        <f t="shared" si="15"/>
      </c>
      <c r="AA29" s="31">
        <f t="shared" si="14"/>
      </c>
      <c r="AB29" s="9"/>
    </row>
    <row r="30" spans="1:28" s="8" customFormat="1" ht="15">
      <c r="A30" s="7"/>
      <c r="B30" s="69"/>
      <c r="C30" s="428"/>
      <c r="D30" s="425"/>
      <c r="E30" s="425"/>
      <c r="F30" s="429"/>
      <c r="G30" s="434"/>
      <c r="H30" s="435"/>
      <c r="I30" s="200">
        <f t="shared" si="0"/>
        <v>15.70965</v>
      </c>
      <c r="J30" s="439"/>
      <c r="K30" s="439"/>
      <c r="L30" s="13">
        <f t="shared" si="1"/>
      </c>
      <c r="M30" s="14">
        <f t="shared" si="2"/>
      </c>
      <c r="N30" s="441"/>
      <c r="O30" s="15">
        <f t="shared" si="3"/>
      </c>
      <c r="P30" s="216" t="str">
        <f t="shared" si="4"/>
        <v>--</v>
      </c>
      <c r="Q30" s="221" t="str">
        <f t="shared" si="5"/>
        <v>--</v>
      </c>
      <c r="R30" s="226" t="str">
        <f t="shared" si="6"/>
        <v>--</v>
      </c>
      <c r="S30" s="227" t="str">
        <f t="shared" si="7"/>
        <v>--</v>
      </c>
      <c r="T30" s="228" t="str">
        <f t="shared" si="8"/>
        <v>--</v>
      </c>
      <c r="U30" s="241" t="str">
        <f t="shared" si="9"/>
        <v>--</v>
      </c>
      <c r="V30" s="245" t="str">
        <f t="shared" si="10"/>
        <v>--</v>
      </c>
      <c r="W30" s="249" t="str">
        <f t="shared" si="11"/>
        <v>--</v>
      </c>
      <c r="X30" s="254" t="str">
        <f t="shared" si="12"/>
        <v>--</v>
      </c>
      <c r="Y30" s="259" t="str">
        <f t="shared" si="13"/>
        <v>--</v>
      </c>
      <c r="Z30" s="446">
        <f t="shared" si="15"/>
      </c>
      <c r="AA30" s="31">
        <f t="shared" si="14"/>
      </c>
      <c r="AB30" s="9"/>
    </row>
    <row r="31" spans="1:28" s="8" customFormat="1" ht="15">
      <c r="A31" s="7"/>
      <c r="B31" s="69"/>
      <c r="C31" s="428"/>
      <c r="D31" s="425"/>
      <c r="E31" s="425"/>
      <c r="F31" s="429"/>
      <c r="G31" s="434"/>
      <c r="H31" s="435"/>
      <c r="I31" s="200">
        <f t="shared" si="0"/>
        <v>15.70965</v>
      </c>
      <c r="J31" s="439"/>
      <c r="K31" s="439"/>
      <c r="L31" s="13">
        <f t="shared" si="1"/>
      </c>
      <c r="M31" s="14">
        <f t="shared" si="2"/>
      </c>
      <c r="N31" s="441"/>
      <c r="O31" s="15">
        <f t="shared" si="3"/>
      </c>
      <c r="P31" s="216" t="str">
        <f t="shared" si="4"/>
        <v>--</v>
      </c>
      <c r="Q31" s="221" t="str">
        <f t="shared" si="5"/>
        <v>--</v>
      </c>
      <c r="R31" s="226" t="str">
        <f t="shared" si="6"/>
        <v>--</v>
      </c>
      <c r="S31" s="227" t="str">
        <f t="shared" si="7"/>
        <v>--</v>
      </c>
      <c r="T31" s="228" t="str">
        <f t="shared" si="8"/>
        <v>--</v>
      </c>
      <c r="U31" s="241" t="str">
        <f t="shared" si="9"/>
        <v>--</v>
      </c>
      <c r="V31" s="245" t="str">
        <f t="shared" si="10"/>
        <v>--</v>
      </c>
      <c r="W31" s="249" t="str">
        <f t="shared" si="11"/>
        <v>--</v>
      </c>
      <c r="X31" s="254" t="str">
        <f t="shared" si="12"/>
        <v>--</v>
      </c>
      <c r="Y31" s="259" t="str">
        <f t="shared" si="13"/>
        <v>--</v>
      </c>
      <c r="Z31" s="446">
        <f t="shared" si="15"/>
      </c>
      <c r="AA31" s="31">
        <f t="shared" si="14"/>
      </c>
      <c r="AB31" s="9"/>
    </row>
    <row r="32" spans="1:28" s="8" customFormat="1" ht="15">
      <c r="A32" s="7"/>
      <c r="B32" s="69"/>
      <c r="C32" s="428"/>
      <c r="D32" s="425"/>
      <c r="E32" s="425"/>
      <c r="F32" s="429"/>
      <c r="G32" s="434"/>
      <c r="H32" s="435"/>
      <c r="I32" s="200">
        <f t="shared" si="0"/>
        <v>15.70965</v>
      </c>
      <c r="J32" s="439"/>
      <c r="K32" s="439"/>
      <c r="L32" s="13">
        <f t="shared" si="1"/>
      </c>
      <c r="M32" s="14">
        <f t="shared" si="2"/>
      </c>
      <c r="N32" s="441"/>
      <c r="O32" s="15">
        <f t="shared" si="3"/>
      </c>
      <c r="P32" s="216" t="str">
        <f t="shared" si="4"/>
        <v>--</v>
      </c>
      <c r="Q32" s="221" t="str">
        <f t="shared" si="5"/>
        <v>--</v>
      </c>
      <c r="R32" s="226" t="str">
        <f t="shared" si="6"/>
        <v>--</v>
      </c>
      <c r="S32" s="227" t="str">
        <f t="shared" si="7"/>
        <v>--</v>
      </c>
      <c r="T32" s="228" t="str">
        <f t="shared" si="8"/>
        <v>--</v>
      </c>
      <c r="U32" s="241" t="str">
        <f t="shared" si="9"/>
        <v>--</v>
      </c>
      <c r="V32" s="245" t="str">
        <f t="shared" si="10"/>
        <v>--</v>
      </c>
      <c r="W32" s="249" t="str">
        <f t="shared" si="11"/>
        <v>--</v>
      </c>
      <c r="X32" s="254" t="str">
        <f t="shared" si="12"/>
        <v>--</v>
      </c>
      <c r="Y32" s="259" t="str">
        <f t="shared" si="13"/>
        <v>--</v>
      </c>
      <c r="Z32" s="446">
        <f t="shared" si="15"/>
      </c>
      <c r="AA32" s="31">
        <f t="shared" si="14"/>
      </c>
      <c r="AB32" s="9"/>
    </row>
    <row r="33" spans="1:28" s="8" customFormat="1" ht="15">
      <c r="A33" s="7"/>
      <c r="B33" s="69"/>
      <c r="C33" s="428"/>
      <c r="D33" s="425"/>
      <c r="E33" s="425"/>
      <c r="F33" s="429"/>
      <c r="G33" s="434"/>
      <c r="H33" s="435"/>
      <c r="I33" s="200">
        <f t="shared" si="0"/>
        <v>15.70965</v>
      </c>
      <c r="J33" s="439"/>
      <c r="K33" s="439"/>
      <c r="L33" s="13">
        <f t="shared" si="1"/>
      </c>
      <c r="M33" s="14">
        <f t="shared" si="2"/>
      </c>
      <c r="N33" s="441"/>
      <c r="O33" s="15">
        <f t="shared" si="3"/>
      </c>
      <c r="P33" s="216" t="str">
        <f t="shared" si="4"/>
        <v>--</v>
      </c>
      <c r="Q33" s="221" t="str">
        <f t="shared" si="5"/>
        <v>--</v>
      </c>
      <c r="R33" s="226" t="str">
        <f t="shared" si="6"/>
        <v>--</v>
      </c>
      <c r="S33" s="227" t="str">
        <f t="shared" si="7"/>
        <v>--</v>
      </c>
      <c r="T33" s="228" t="str">
        <f t="shared" si="8"/>
        <v>--</v>
      </c>
      <c r="U33" s="241" t="str">
        <f t="shared" si="9"/>
        <v>--</v>
      </c>
      <c r="V33" s="245" t="str">
        <f t="shared" si="10"/>
        <v>--</v>
      </c>
      <c r="W33" s="249" t="str">
        <f t="shared" si="11"/>
        <v>--</v>
      </c>
      <c r="X33" s="254" t="str">
        <f t="shared" si="12"/>
        <v>--</v>
      </c>
      <c r="Y33" s="259" t="str">
        <f t="shared" si="13"/>
        <v>--</v>
      </c>
      <c r="Z33" s="446">
        <f t="shared" si="15"/>
      </c>
      <c r="AA33" s="31">
        <f t="shared" si="14"/>
      </c>
      <c r="AB33" s="9"/>
    </row>
    <row r="34" spans="1:28" s="8" customFormat="1" ht="15">
      <c r="A34" s="7"/>
      <c r="B34" s="69"/>
      <c r="C34" s="428"/>
      <c r="D34" s="425"/>
      <c r="E34" s="425"/>
      <c r="F34" s="429"/>
      <c r="G34" s="434"/>
      <c r="H34" s="435"/>
      <c r="I34" s="200">
        <f t="shared" si="0"/>
        <v>15.70965</v>
      </c>
      <c r="J34" s="439"/>
      <c r="K34" s="439"/>
      <c r="L34" s="13">
        <f t="shared" si="1"/>
      </c>
      <c r="M34" s="14">
        <f t="shared" si="2"/>
      </c>
      <c r="N34" s="441"/>
      <c r="O34" s="15">
        <f t="shared" si="3"/>
      </c>
      <c r="P34" s="216" t="str">
        <f t="shared" si="4"/>
        <v>--</v>
      </c>
      <c r="Q34" s="221" t="str">
        <f t="shared" si="5"/>
        <v>--</v>
      </c>
      <c r="R34" s="226" t="str">
        <f t="shared" si="6"/>
        <v>--</v>
      </c>
      <c r="S34" s="227" t="str">
        <f t="shared" si="7"/>
        <v>--</v>
      </c>
      <c r="T34" s="228" t="str">
        <f t="shared" si="8"/>
        <v>--</v>
      </c>
      <c r="U34" s="241" t="str">
        <f t="shared" si="9"/>
        <v>--</v>
      </c>
      <c r="V34" s="245" t="str">
        <f t="shared" si="10"/>
        <v>--</v>
      </c>
      <c r="W34" s="249" t="str">
        <f t="shared" si="11"/>
        <v>--</v>
      </c>
      <c r="X34" s="254" t="str">
        <f t="shared" si="12"/>
        <v>--</v>
      </c>
      <c r="Y34" s="259" t="str">
        <f t="shared" si="13"/>
        <v>--</v>
      </c>
      <c r="Z34" s="446">
        <f t="shared" si="15"/>
      </c>
      <c r="AA34" s="31">
        <f t="shared" si="14"/>
      </c>
      <c r="AB34" s="9"/>
    </row>
    <row r="35" spans="1:28" s="8" customFormat="1" ht="15">
      <c r="A35" s="7"/>
      <c r="B35" s="69"/>
      <c r="C35" s="428"/>
      <c r="D35" s="425"/>
      <c r="E35" s="425"/>
      <c r="F35" s="429"/>
      <c r="G35" s="434"/>
      <c r="H35" s="435"/>
      <c r="I35" s="200">
        <f t="shared" si="0"/>
        <v>15.70965</v>
      </c>
      <c r="J35" s="439"/>
      <c r="K35" s="439"/>
      <c r="L35" s="13">
        <f t="shared" si="1"/>
      </c>
      <c r="M35" s="14">
        <f t="shared" si="2"/>
      </c>
      <c r="N35" s="441"/>
      <c r="O35" s="15">
        <f t="shared" si="3"/>
      </c>
      <c r="P35" s="216" t="str">
        <f t="shared" si="4"/>
        <v>--</v>
      </c>
      <c r="Q35" s="221" t="str">
        <f t="shared" si="5"/>
        <v>--</v>
      </c>
      <c r="R35" s="226" t="str">
        <f t="shared" si="6"/>
        <v>--</v>
      </c>
      <c r="S35" s="227" t="str">
        <f t="shared" si="7"/>
        <v>--</v>
      </c>
      <c r="T35" s="228" t="str">
        <f t="shared" si="8"/>
        <v>--</v>
      </c>
      <c r="U35" s="241" t="str">
        <f t="shared" si="9"/>
        <v>--</v>
      </c>
      <c r="V35" s="245" t="str">
        <f t="shared" si="10"/>
        <v>--</v>
      </c>
      <c r="W35" s="249" t="str">
        <f t="shared" si="11"/>
        <v>--</v>
      </c>
      <c r="X35" s="254" t="str">
        <f t="shared" si="12"/>
        <v>--</v>
      </c>
      <c r="Y35" s="259" t="str">
        <f t="shared" si="13"/>
        <v>--</v>
      </c>
      <c r="Z35" s="446">
        <f t="shared" si="15"/>
      </c>
      <c r="AA35" s="31">
        <f t="shared" si="14"/>
      </c>
      <c r="AB35" s="9"/>
    </row>
    <row r="36" spans="1:28" s="8" customFormat="1" ht="15">
      <c r="A36" s="7"/>
      <c r="B36" s="69"/>
      <c r="C36" s="428"/>
      <c r="D36" s="425"/>
      <c r="E36" s="425"/>
      <c r="F36" s="429"/>
      <c r="G36" s="434"/>
      <c r="H36" s="435"/>
      <c r="I36" s="200">
        <f t="shared" si="0"/>
        <v>15.70965</v>
      </c>
      <c r="J36" s="439"/>
      <c r="K36" s="439"/>
      <c r="L36" s="13">
        <f t="shared" si="1"/>
      </c>
      <c r="M36" s="14">
        <f t="shared" si="2"/>
      </c>
      <c r="N36" s="441"/>
      <c r="O36" s="15">
        <f t="shared" si="3"/>
      </c>
      <c r="P36" s="216" t="str">
        <f t="shared" si="4"/>
        <v>--</v>
      </c>
      <c r="Q36" s="221" t="str">
        <f t="shared" si="5"/>
        <v>--</v>
      </c>
      <c r="R36" s="226" t="str">
        <f t="shared" si="6"/>
        <v>--</v>
      </c>
      <c r="S36" s="227" t="str">
        <f t="shared" si="7"/>
        <v>--</v>
      </c>
      <c r="T36" s="228" t="str">
        <f t="shared" si="8"/>
        <v>--</v>
      </c>
      <c r="U36" s="241" t="str">
        <f t="shared" si="9"/>
        <v>--</v>
      </c>
      <c r="V36" s="245" t="str">
        <f t="shared" si="10"/>
        <v>--</v>
      </c>
      <c r="W36" s="249" t="str">
        <f t="shared" si="11"/>
        <v>--</v>
      </c>
      <c r="X36" s="254" t="str">
        <f t="shared" si="12"/>
        <v>--</v>
      </c>
      <c r="Y36" s="259" t="str">
        <f t="shared" si="13"/>
        <v>--</v>
      </c>
      <c r="Z36" s="446">
        <f t="shared" si="15"/>
      </c>
      <c r="AA36" s="31">
        <f t="shared" si="14"/>
      </c>
      <c r="AB36" s="9"/>
    </row>
    <row r="37" spans="1:28" s="8" customFormat="1" ht="15">
      <c r="A37" s="7"/>
      <c r="B37" s="69"/>
      <c r="C37" s="428"/>
      <c r="D37" s="425"/>
      <c r="E37" s="425"/>
      <c r="F37" s="429"/>
      <c r="G37" s="434"/>
      <c r="H37" s="435"/>
      <c r="I37" s="200">
        <f t="shared" si="0"/>
        <v>15.70965</v>
      </c>
      <c r="J37" s="439"/>
      <c r="K37" s="439"/>
      <c r="L37" s="13">
        <f t="shared" si="1"/>
      </c>
      <c r="M37" s="14">
        <f t="shared" si="2"/>
      </c>
      <c r="N37" s="441"/>
      <c r="O37" s="15">
        <f t="shared" si="3"/>
      </c>
      <c r="P37" s="216" t="str">
        <f t="shared" si="4"/>
        <v>--</v>
      </c>
      <c r="Q37" s="221" t="str">
        <f t="shared" si="5"/>
        <v>--</v>
      </c>
      <c r="R37" s="226" t="str">
        <f t="shared" si="6"/>
        <v>--</v>
      </c>
      <c r="S37" s="227" t="str">
        <f t="shared" si="7"/>
        <v>--</v>
      </c>
      <c r="T37" s="228" t="str">
        <f t="shared" si="8"/>
        <v>--</v>
      </c>
      <c r="U37" s="241" t="str">
        <f t="shared" si="9"/>
        <v>--</v>
      </c>
      <c r="V37" s="245" t="str">
        <f t="shared" si="10"/>
        <v>--</v>
      </c>
      <c r="W37" s="249" t="str">
        <f t="shared" si="11"/>
        <v>--</v>
      </c>
      <c r="X37" s="254" t="str">
        <f t="shared" si="12"/>
        <v>--</v>
      </c>
      <c r="Y37" s="259" t="str">
        <f t="shared" si="13"/>
        <v>--</v>
      </c>
      <c r="Z37" s="446">
        <f t="shared" si="15"/>
      </c>
      <c r="AA37" s="31">
        <f t="shared" si="14"/>
      </c>
      <c r="AB37" s="9"/>
    </row>
    <row r="38" spans="1:28" s="8" customFormat="1" ht="15">
      <c r="A38" s="7"/>
      <c r="B38" s="69"/>
      <c r="C38" s="428"/>
      <c r="D38" s="425"/>
      <c r="E38" s="425"/>
      <c r="F38" s="429"/>
      <c r="G38" s="434"/>
      <c r="H38" s="435"/>
      <c r="I38" s="200">
        <f t="shared" si="0"/>
        <v>15.70965</v>
      </c>
      <c r="J38" s="439"/>
      <c r="K38" s="439"/>
      <c r="L38" s="13">
        <f t="shared" si="1"/>
      </c>
      <c r="M38" s="14">
        <f t="shared" si="2"/>
      </c>
      <c r="N38" s="441"/>
      <c r="O38" s="15">
        <f t="shared" si="3"/>
      </c>
      <c r="P38" s="216" t="str">
        <f t="shared" si="4"/>
        <v>--</v>
      </c>
      <c r="Q38" s="221" t="str">
        <f t="shared" si="5"/>
        <v>--</v>
      </c>
      <c r="R38" s="226" t="str">
        <f t="shared" si="6"/>
        <v>--</v>
      </c>
      <c r="S38" s="227" t="str">
        <f t="shared" si="7"/>
        <v>--</v>
      </c>
      <c r="T38" s="228" t="str">
        <f t="shared" si="8"/>
        <v>--</v>
      </c>
      <c r="U38" s="241" t="str">
        <f t="shared" si="9"/>
        <v>--</v>
      </c>
      <c r="V38" s="245" t="str">
        <f t="shared" si="10"/>
        <v>--</v>
      </c>
      <c r="W38" s="249" t="str">
        <f t="shared" si="11"/>
        <v>--</v>
      </c>
      <c r="X38" s="254" t="str">
        <f t="shared" si="12"/>
        <v>--</v>
      </c>
      <c r="Y38" s="259" t="str">
        <f t="shared" si="13"/>
        <v>--</v>
      </c>
      <c r="Z38" s="446">
        <f t="shared" si="15"/>
      </c>
      <c r="AA38" s="31">
        <f t="shared" si="14"/>
      </c>
      <c r="AB38" s="9"/>
    </row>
    <row r="39" spans="1:28" s="8" customFormat="1" ht="15">
      <c r="A39" s="7"/>
      <c r="B39" s="69"/>
      <c r="C39" s="428"/>
      <c r="D39" s="425"/>
      <c r="E39" s="425"/>
      <c r="F39" s="429"/>
      <c r="G39" s="434"/>
      <c r="H39" s="435"/>
      <c r="I39" s="200">
        <f t="shared" si="0"/>
        <v>15.70965</v>
      </c>
      <c r="J39" s="439"/>
      <c r="K39" s="439"/>
      <c r="L39" s="13">
        <f t="shared" si="1"/>
      </c>
      <c r="M39" s="14">
        <f t="shared" si="2"/>
      </c>
      <c r="N39" s="441"/>
      <c r="O39" s="15">
        <f t="shared" si="3"/>
      </c>
      <c r="P39" s="216" t="str">
        <f t="shared" si="4"/>
        <v>--</v>
      </c>
      <c r="Q39" s="221" t="str">
        <f t="shared" si="5"/>
        <v>--</v>
      </c>
      <c r="R39" s="226" t="str">
        <f t="shared" si="6"/>
        <v>--</v>
      </c>
      <c r="S39" s="227" t="str">
        <f t="shared" si="7"/>
        <v>--</v>
      </c>
      <c r="T39" s="228" t="str">
        <f t="shared" si="8"/>
        <v>--</v>
      </c>
      <c r="U39" s="241" t="str">
        <f t="shared" si="9"/>
        <v>--</v>
      </c>
      <c r="V39" s="245" t="str">
        <f t="shared" si="10"/>
        <v>--</v>
      </c>
      <c r="W39" s="249" t="str">
        <f t="shared" si="11"/>
        <v>--</v>
      </c>
      <c r="X39" s="254" t="str">
        <f t="shared" si="12"/>
        <v>--</v>
      </c>
      <c r="Y39" s="259" t="str">
        <f t="shared" si="13"/>
        <v>--</v>
      </c>
      <c r="Z39" s="446">
        <f t="shared" si="15"/>
      </c>
      <c r="AA39" s="31">
        <f t="shared" si="14"/>
      </c>
      <c r="AB39" s="9"/>
    </row>
    <row r="40" spans="1:28" s="8" customFormat="1" ht="15">
      <c r="A40" s="7"/>
      <c r="B40" s="69"/>
      <c r="C40" s="428"/>
      <c r="D40" s="425"/>
      <c r="E40" s="425"/>
      <c r="F40" s="429"/>
      <c r="G40" s="434"/>
      <c r="H40" s="435"/>
      <c r="I40" s="200">
        <f t="shared" si="0"/>
        <v>15.70965</v>
      </c>
      <c r="J40" s="439"/>
      <c r="K40" s="439"/>
      <c r="L40" s="13">
        <f t="shared" si="1"/>
      </c>
      <c r="M40" s="14">
        <f t="shared" si="2"/>
      </c>
      <c r="N40" s="441"/>
      <c r="O40" s="15">
        <f t="shared" si="3"/>
      </c>
      <c r="P40" s="216" t="str">
        <f t="shared" si="4"/>
        <v>--</v>
      </c>
      <c r="Q40" s="221" t="str">
        <f t="shared" si="5"/>
        <v>--</v>
      </c>
      <c r="R40" s="226" t="str">
        <f t="shared" si="6"/>
        <v>--</v>
      </c>
      <c r="S40" s="227" t="str">
        <f t="shared" si="7"/>
        <v>--</v>
      </c>
      <c r="T40" s="228" t="str">
        <f t="shared" si="8"/>
        <v>--</v>
      </c>
      <c r="U40" s="241" t="str">
        <f t="shared" si="9"/>
        <v>--</v>
      </c>
      <c r="V40" s="245" t="str">
        <f t="shared" si="10"/>
        <v>--</v>
      </c>
      <c r="W40" s="249" t="str">
        <f t="shared" si="11"/>
        <v>--</v>
      </c>
      <c r="X40" s="254" t="str">
        <f t="shared" si="12"/>
        <v>--</v>
      </c>
      <c r="Y40" s="259" t="str">
        <f t="shared" si="13"/>
        <v>--</v>
      </c>
      <c r="Z40" s="446">
        <f t="shared" si="15"/>
      </c>
      <c r="AA40" s="31">
        <f t="shared" si="14"/>
      </c>
      <c r="AB40" s="9"/>
    </row>
    <row r="41" spans="1:28" s="8" customFormat="1" ht="15.75" thickBot="1">
      <c r="A41" s="7"/>
      <c r="B41" s="69"/>
      <c r="C41" s="430"/>
      <c r="D41" s="430"/>
      <c r="E41" s="430"/>
      <c r="F41" s="431"/>
      <c r="G41" s="436"/>
      <c r="H41" s="437"/>
      <c r="I41" s="201"/>
      <c r="J41" s="440"/>
      <c r="K41" s="440"/>
      <c r="L41" s="16"/>
      <c r="M41" s="16"/>
      <c r="N41" s="440"/>
      <c r="O41" s="32"/>
      <c r="P41" s="217"/>
      <c r="Q41" s="222"/>
      <c r="R41" s="229"/>
      <c r="S41" s="230"/>
      <c r="T41" s="231"/>
      <c r="U41" s="242"/>
      <c r="V41" s="246"/>
      <c r="W41" s="250"/>
      <c r="X41" s="255"/>
      <c r="Y41" s="260"/>
      <c r="Z41" s="447"/>
      <c r="AA41" s="110"/>
      <c r="AB41" s="9"/>
    </row>
    <row r="42" spans="1:28" s="8" customFormat="1" ht="17.25" thickBot="1" thickTop="1">
      <c r="A42" s="7"/>
      <c r="B42" s="69"/>
      <c r="C42" s="524" t="s">
        <v>222</v>
      </c>
      <c r="D42" s="523" t="s">
        <v>226</v>
      </c>
      <c r="E42" s="188"/>
      <c r="F42" s="187"/>
      <c r="G42" s="7"/>
      <c r="H42" s="7"/>
      <c r="I42" s="7"/>
      <c r="J42" s="7"/>
      <c r="K42" s="7"/>
      <c r="L42" s="7"/>
      <c r="M42" s="7"/>
      <c r="N42" s="7"/>
      <c r="O42" s="7"/>
      <c r="P42" s="234">
        <f aca="true" t="shared" si="16" ref="P42:Y42">SUM(P19:P41)</f>
        <v>0</v>
      </c>
      <c r="Q42" s="235">
        <f t="shared" si="16"/>
        <v>0</v>
      </c>
      <c r="R42" s="261">
        <f t="shared" si="16"/>
        <v>754.0631999999999</v>
      </c>
      <c r="S42" s="261">
        <f t="shared" si="16"/>
        <v>0</v>
      </c>
      <c r="T42" s="261">
        <f t="shared" si="16"/>
        <v>0</v>
      </c>
      <c r="U42" s="262">
        <f t="shared" si="16"/>
        <v>0</v>
      </c>
      <c r="V42" s="262">
        <f t="shared" si="16"/>
        <v>0</v>
      </c>
      <c r="W42" s="262">
        <f t="shared" si="16"/>
        <v>0</v>
      </c>
      <c r="X42" s="263">
        <f t="shared" si="16"/>
        <v>0</v>
      </c>
      <c r="Y42" s="264">
        <f t="shared" si="16"/>
        <v>0</v>
      </c>
      <c r="Z42" s="7"/>
      <c r="AA42" s="197">
        <f>ROUND(SUM(AA19:AA41),2)</f>
        <v>754.06</v>
      </c>
      <c r="AB42" s="9"/>
    </row>
    <row r="43" spans="1:28" s="192" customFormat="1" ht="13.5" thickTop="1">
      <c r="A43" s="190"/>
      <c r="B43" s="191"/>
      <c r="C43" s="188"/>
      <c r="D43" s="188"/>
      <c r="E43" s="188"/>
      <c r="F43" s="189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3"/>
    </row>
    <row r="44" spans="1:28" s="8" customFormat="1" ht="13.5" thickBot="1">
      <c r="A44" s="7"/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8"/>
    </row>
    <row r="45" spans="1:2" ht="13.5" thickTop="1">
      <c r="A45" s="1"/>
      <c r="B45" s="1"/>
    </row>
  </sheetData>
  <sheetProtection/>
  <printOptions/>
  <pageMargins left="0.49" right="0.1968503937007874" top="0.63" bottom="0.7874015748031497" header="0.5118110236220472" footer="0.5118110236220472"/>
  <pageSetup fitToHeight="1" fitToWidth="1" horizontalDpi="300" verticalDpi="300" orientation="landscape" paperSize="9" scale="72" r:id="rId3"/>
  <headerFooter alignWithMargins="0">
    <oddFooter>&amp;L&amp;"Times New Roman,Normal"&amp;8&amp;Z&amp;F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S97"/>
  <sheetViews>
    <sheetView zoomScale="75" zoomScaleNormal="75" zoomScalePageLayoutView="0" workbookViewId="0" topLeftCell="A1">
      <selection activeCell="J18" sqref="J18"/>
    </sheetView>
  </sheetViews>
  <sheetFormatPr defaultColWidth="13.421875" defaultRowHeight="12.75"/>
  <cols>
    <col min="1" max="1" width="22.28125" style="0" customWidth="1"/>
    <col min="2" max="2" width="15.7109375" style="0" customWidth="1"/>
    <col min="3" max="3" width="4.7109375" style="0" customWidth="1"/>
    <col min="4" max="4" width="41.7109375" style="0" customWidth="1"/>
    <col min="5" max="5" width="11.00390625" style="0" customWidth="1"/>
    <col min="6" max="6" width="13.28125" style="0" customWidth="1"/>
    <col min="7" max="7" width="6.7109375" style="0" customWidth="1"/>
    <col min="8" max="9" width="20.7109375" style="0" customWidth="1"/>
    <col min="10" max="10" width="13.8515625" style="0" customWidth="1"/>
    <col min="11" max="11" width="3.28125" style="0" customWidth="1"/>
    <col min="12" max="12" width="33.28125" style="0" customWidth="1"/>
    <col min="13" max="13" width="12.28125" style="0" customWidth="1"/>
    <col min="14" max="14" width="24.00390625" style="0" customWidth="1"/>
    <col min="15" max="16" width="4.7109375" style="0" customWidth="1"/>
  </cols>
  <sheetData>
    <row r="1" s="36" customFormat="1" ht="39.75" customHeight="1">
      <c r="P1" s="379"/>
    </row>
    <row r="2" spans="2:16" s="36" customFormat="1" ht="26.25">
      <c r="B2" s="37" t="str">
        <f>+'TOT-0413'!B2</f>
        <v>ANEXO I al Memorandum D.T.E.E. N°  475 / 2014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2" s="43" customFormat="1" ht="11.25">
      <c r="A3" s="116" t="s">
        <v>4</v>
      </c>
      <c r="B3" s="386"/>
    </row>
    <row r="4" spans="1:2" s="43" customFormat="1" ht="11.25">
      <c r="A4" s="116" t="s">
        <v>5</v>
      </c>
      <c r="B4" s="386"/>
    </row>
    <row r="5" s="8" customFormat="1" ht="13.5" thickBot="1"/>
    <row r="6" spans="1:16" s="8" customFormat="1" ht="13.5" thickTop="1">
      <c r="A6" s="7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16" s="47" customFormat="1" ht="20.25">
      <c r="A7" s="48"/>
      <c r="B7" s="103"/>
      <c r="C7" s="48"/>
      <c r="D7" s="19" t="s">
        <v>19</v>
      </c>
      <c r="G7" s="48"/>
      <c r="H7" s="48"/>
      <c r="I7" s="48"/>
      <c r="J7" s="48"/>
      <c r="K7" s="48"/>
      <c r="L7" s="48"/>
      <c r="M7" s="48"/>
      <c r="N7" s="48"/>
      <c r="O7" s="48"/>
      <c r="P7" s="104"/>
    </row>
    <row r="8" spans="1:16" ht="15">
      <c r="A8" s="1"/>
      <c r="B8" s="322"/>
      <c r="C8" s="323"/>
      <c r="D8" s="324"/>
      <c r="E8" s="323"/>
      <c r="F8" s="325"/>
      <c r="G8" s="323"/>
      <c r="H8" s="323"/>
      <c r="I8" s="323"/>
      <c r="J8" s="323"/>
      <c r="K8" s="323"/>
      <c r="L8" s="323"/>
      <c r="M8" s="323"/>
      <c r="N8" s="323"/>
      <c r="O8" s="323"/>
      <c r="P8" s="326"/>
    </row>
    <row r="9" spans="1:19" s="47" customFormat="1" ht="20.25">
      <c r="A9" s="48"/>
      <c r="B9" s="327"/>
      <c r="C9"/>
      <c r="D9" s="20" t="s">
        <v>231</v>
      </c>
      <c r="E9" s="328"/>
      <c r="F9" s="328"/>
      <c r="G9" s="328"/>
      <c r="H9" s="329"/>
      <c r="I9" s="328"/>
      <c r="J9" s="328"/>
      <c r="K9" s="328"/>
      <c r="L9" s="328"/>
      <c r="M9" s="328"/>
      <c r="N9" s="328"/>
      <c r="O9" s="328"/>
      <c r="P9" s="330"/>
      <c r="Q9" s="331"/>
      <c r="R9" s="129"/>
      <c r="S9" s="129"/>
    </row>
    <row r="10" spans="1:19" s="8" customFormat="1" ht="12.75">
      <c r="A10" s="7"/>
      <c r="B10" s="69"/>
      <c r="C10" s="7"/>
      <c r="D10" s="332"/>
      <c r="E10" s="27"/>
      <c r="F10" s="27"/>
      <c r="G10" s="27"/>
      <c r="H10" s="123"/>
      <c r="I10" s="27"/>
      <c r="J10" s="27"/>
      <c r="K10" s="27"/>
      <c r="L10" s="27"/>
      <c r="M10" s="27"/>
      <c r="N10" s="27"/>
      <c r="O10" s="27"/>
      <c r="P10" s="33"/>
      <c r="Q10" s="27"/>
      <c r="R10" s="27"/>
      <c r="S10" s="333"/>
    </row>
    <row r="11" spans="1:19" s="54" customFormat="1" ht="19.5">
      <c r="A11" s="61"/>
      <c r="B11" s="55" t="str">
        <f>'TOT-0413'!B14</f>
        <v>Desde el 01 al 30 de abril de 2013</v>
      </c>
      <c r="C11" s="58"/>
      <c r="D11" s="156"/>
      <c r="E11" s="156"/>
      <c r="F11" s="156"/>
      <c r="G11" s="156"/>
      <c r="H11" s="156"/>
      <c r="I11" s="58"/>
      <c r="J11" s="156"/>
      <c r="K11" s="156"/>
      <c r="L11" s="156"/>
      <c r="M11" s="156"/>
      <c r="N11" s="156"/>
      <c r="O11" s="156"/>
      <c r="P11" s="334"/>
      <c r="Q11" s="335"/>
      <c r="R11" s="335"/>
      <c r="S11" s="335"/>
    </row>
    <row r="12" spans="1:19" ht="15">
      <c r="A12" s="1"/>
      <c r="B12" s="322"/>
      <c r="C12" s="323"/>
      <c r="D12" s="336"/>
      <c r="E12" s="336"/>
      <c r="F12" s="336"/>
      <c r="G12" s="336"/>
      <c r="H12" s="337"/>
      <c r="I12" s="323"/>
      <c r="J12" s="336"/>
      <c r="K12" s="336"/>
      <c r="L12" s="336"/>
      <c r="M12" s="336"/>
      <c r="N12" s="336"/>
      <c r="O12" s="336"/>
      <c r="P12" s="338"/>
      <c r="Q12" s="2"/>
      <c r="R12" s="2"/>
      <c r="S12" s="339"/>
    </row>
    <row r="13" spans="1:19" ht="18" customHeight="1">
      <c r="A13" s="1"/>
      <c r="B13" s="322"/>
      <c r="C13" s="323"/>
      <c r="D13" s="336"/>
      <c r="E13" s="336"/>
      <c r="F13" s="336"/>
      <c r="G13" s="336"/>
      <c r="H13" s="340"/>
      <c r="I13" s="340"/>
      <c r="J13" s="336"/>
      <c r="K13" s="336"/>
      <c r="P13" s="338"/>
      <c r="Q13" s="2"/>
      <c r="R13" s="2"/>
      <c r="S13" s="339"/>
    </row>
    <row r="14" spans="1:19" ht="18" customHeight="1">
      <c r="A14" s="1"/>
      <c r="B14" s="322"/>
      <c r="C14" s="323"/>
      <c r="D14" s="341"/>
      <c r="E14" s="342"/>
      <c r="F14" s="336"/>
      <c r="G14" s="336"/>
      <c r="H14" s="340"/>
      <c r="I14" s="340"/>
      <c r="J14" s="336"/>
      <c r="K14" s="336"/>
      <c r="P14" s="338"/>
      <c r="Q14" s="2"/>
      <c r="R14" s="2"/>
      <c r="S14" s="339"/>
    </row>
    <row r="15" spans="1:16" ht="15.75">
      <c r="A15" s="1"/>
      <c r="B15" s="322"/>
      <c r="C15" s="381" t="s">
        <v>65</v>
      </c>
      <c r="D15" s="325"/>
      <c r="E15" s="344"/>
      <c r="F15" s="345"/>
      <c r="G15" s="323"/>
      <c r="H15" s="323"/>
      <c r="I15" s="323"/>
      <c r="J15" s="346"/>
      <c r="K15" s="346"/>
      <c r="L15" s="347"/>
      <c r="M15" s="323"/>
      <c r="N15" s="323"/>
      <c r="O15" s="323"/>
      <c r="P15" s="326"/>
    </row>
    <row r="16" spans="1:16" ht="16.5" thickBot="1">
      <c r="A16" s="1"/>
      <c r="B16" s="322"/>
      <c r="C16" s="343"/>
      <c r="D16" s="325"/>
      <c r="E16" s="344"/>
      <c r="F16" s="345"/>
      <c r="G16" s="323"/>
      <c r="L16" s="512" t="s">
        <v>60</v>
      </c>
      <c r="M16" s="513">
        <v>2.414</v>
      </c>
      <c r="N16" s="514"/>
      <c r="O16" s="323"/>
      <c r="P16" s="326"/>
    </row>
    <row r="17" spans="1:16" ht="16.5" thickBot="1">
      <c r="A17" s="1"/>
      <c r="B17" s="322"/>
      <c r="C17" s="343"/>
      <c r="D17" s="346" t="s">
        <v>66</v>
      </c>
      <c r="E17" s="348">
        <f>MID(B11,16,2)*24</f>
        <v>720</v>
      </c>
      <c r="F17" s="323" t="s">
        <v>67</v>
      </c>
      <c r="G17" s="336"/>
      <c r="H17" s="383"/>
      <c r="I17" s="384" t="s">
        <v>68</v>
      </c>
      <c r="J17" s="385">
        <v>220.558</v>
      </c>
      <c r="K17" s="350"/>
      <c r="L17" s="515" t="s">
        <v>61</v>
      </c>
      <c r="M17" s="516">
        <v>1.811</v>
      </c>
      <c r="N17" s="514"/>
      <c r="O17" s="323"/>
      <c r="P17" s="326"/>
    </row>
    <row r="18" spans="1:16" ht="15.75">
      <c r="A18" s="1"/>
      <c r="B18" s="322"/>
      <c r="C18" s="343"/>
      <c r="D18" s="346" t="s">
        <v>69</v>
      </c>
      <c r="E18" s="351">
        <v>0.025</v>
      </c>
      <c r="F18" s="336"/>
      <c r="G18" s="336"/>
      <c r="H18" s="422"/>
      <c r="I18" s="422"/>
      <c r="J18" s="423"/>
      <c r="K18" s="380"/>
      <c r="L18" s="517" t="s">
        <v>62</v>
      </c>
      <c r="M18" s="516">
        <v>1.811</v>
      </c>
      <c r="N18" s="514"/>
      <c r="O18" s="323"/>
      <c r="P18" s="326"/>
    </row>
    <row r="19" spans="1:16" ht="15.75">
      <c r="A19" s="1"/>
      <c r="B19" s="322"/>
      <c r="C19" s="343"/>
      <c r="D19" s="346"/>
      <c r="E19" s="351"/>
      <c r="F19" s="336"/>
      <c r="G19" s="336"/>
      <c r="H19" s="336"/>
      <c r="I19" s="336"/>
      <c r="L19" s="347"/>
      <c r="M19" s="323"/>
      <c r="N19" s="323"/>
      <c r="O19" s="323"/>
      <c r="P19" s="326"/>
    </row>
    <row r="20" spans="1:16" ht="15">
      <c r="A20" s="1"/>
      <c r="B20" s="322"/>
      <c r="C20" s="341" t="s">
        <v>70</v>
      </c>
      <c r="D20" s="352"/>
      <c r="E20" s="344"/>
      <c r="F20" s="345"/>
      <c r="G20" s="323"/>
      <c r="H20" s="323"/>
      <c r="I20" s="323"/>
      <c r="J20" s="346"/>
      <c r="K20" s="346"/>
      <c r="L20" s="347"/>
      <c r="M20" s="323"/>
      <c r="N20" s="323"/>
      <c r="O20" s="323"/>
      <c r="P20" s="326"/>
    </row>
    <row r="21" spans="1:16" ht="15">
      <c r="A21" s="1"/>
      <c r="B21" s="322"/>
      <c r="C21" s="323"/>
      <c r="D21" s="323"/>
      <c r="E21" s="323"/>
      <c r="F21" s="323"/>
      <c r="G21" s="323"/>
      <c r="H21" s="353"/>
      <c r="I21" s="323"/>
      <c r="J21" s="323"/>
      <c r="K21" s="323"/>
      <c r="L21" s="323"/>
      <c r="M21" s="323"/>
      <c r="N21" s="323"/>
      <c r="O21" s="323"/>
      <c r="P21" s="326"/>
    </row>
    <row r="22" spans="1:16" ht="15.75" thickBot="1">
      <c r="A22" s="1"/>
      <c r="B22" s="322"/>
      <c r="C22" s="323"/>
      <c r="D22" s="323"/>
      <c r="E22" s="323"/>
      <c r="F22" s="323"/>
      <c r="G22" s="323"/>
      <c r="H22" s="353"/>
      <c r="I22" s="511"/>
      <c r="J22" s="323"/>
      <c r="K22" s="323"/>
      <c r="L22" s="323"/>
      <c r="M22" s="323"/>
      <c r="N22" s="323"/>
      <c r="O22" s="323"/>
      <c r="P22" s="326"/>
    </row>
    <row r="23" spans="2:16" ht="20.25" thickBot="1" thickTop="1">
      <c r="B23" s="322"/>
      <c r="C23" s="354"/>
      <c r="D23" s="346" t="s">
        <v>71</v>
      </c>
      <c r="E23" s="323"/>
      <c r="F23" s="353" t="s">
        <v>3</v>
      </c>
      <c r="H23" s="355" t="s">
        <v>73</v>
      </c>
      <c r="I23" s="77">
        <f>'TOT-0413'!$J$20</f>
        <v>754.06</v>
      </c>
      <c r="L23" s="413" t="s">
        <v>72</v>
      </c>
      <c r="M23" s="356"/>
      <c r="N23" s="357"/>
      <c r="O23" s="358"/>
      <c r="P23" s="359"/>
    </row>
    <row r="24" spans="2:16" ht="15.75" thickTop="1">
      <c r="B24" s="322"/>
      <c r="C24" s="354"/>
      <c r="D24" s="352"/>
      <c r="E24" s="352"/>
      <c r="F24" s="360"/>
      <c r="G24" s="356"/>
      <c r="H24" s="356"/>
      <c r="I24" s="356"/>
      <c r="J24" s="356"/>
      <c r="K24" s="356"/>
      <c r="L24" s="356"/>
      <c r="M24" s="356"/>
      <c r="N24" s="357"/>
      <c r="O24" s="358"/>
      <c r="P24" s="359"/>
    </row>
    <row r="25" spans="2:16" ht="15">
      <c r="B25" s="322"/>
      <c r="C25" s="341" t="s">
        <v>74</v>
      </c>
      <c r="D25" s="352"/>
      <c r="E25" s="352"/>
      <c r="F25" s="360"/>
      <c r="G25" s="356"/>
      <c r="H25" s="356"/>
      <c r="I25" s="356"/>
      <c r="J25" s="356"/>
      <c r="K25" s="356"/>
      <c r="L25" s="356"/>
      <c r="M25" s="356"/>
      <c r="N25" s="357"/>
      <c r="O25" s="358"/>
      <c r="P25" s="359"/>
    </row>
    <row r="26" spans="2:16" ht="15">
      <c r="B26" s="322"/>
      <c r="C26" s="354"/>
      <c r="D26" s="352"/>
      <c r="E26" s="352"/>
      <c r="F26" s="360"/>
      <c r="G26" s="356"/>
      <c r="H26" s="356"/>
      <c r="I26" s="356"/>
      <c r="J26" s="356"/>
      <c r="K26" s="356"/>
      <c r="L26" s="356"/>
      <c r="M26" s="356"/>
      <c r="N26" s="357"/>
      <c r="O26" s="358"/>
      <c r="P26" s="359"/>
    </row>
    <row r="27" spans="2:16" ht="15.75">
      <c r="B27" s="322"/>
      <c r="C27" s="354"/>
      <c r="D27" s="387" t="s">
        <v>75</v>
      </c>
      <c r="E27" s="388" t="s">
        <v>76</v>
      </c>
      <c r="F27" s="389" t="s">
        <v>77</v>
      </c>
      <c r="G27" s="390"/>
      <c r="H27" s="390" t="s">
        <v>78</v>
      </c>
      <c r="I27" s="391" t="str">
        <f>"Cargo por E.E.T."</f>
        <v>Cargo por E.E.T.</v>
      </c>
      <c r="J27" s="392"/>
      <c r="K27" s="393"/>
      <c r="L27" s="394" t="s">
        <v>2</v>
      </c>
      <c r="N27" s="357"/>
      <c r="O27" s="358"/>
      <c r="P27" s="359"/>
    </row>
    <row r="28" spans="2:16" ht="15">
      <c r="B28" s="322"/>
      <c r="C28" s="354"/>
      <c r="D28" s="395" t="s">
        <v>164</v>
      </c>
      <c r="E28" s="396">
        <v>132</v>
      </c>
      <c r="F28" s="397">
        <v>40</v>
      </c>
      <c r="G28" s="398"/>
      <c r="H28" s="399">
        <f>F28*$J$17*$E$17/100</f>
        <v>63520.704</v>
      </c>
      <c r="I28" s="400">
        <v>0</v>
      </c>
      <c r="J28" s="401" t="str">
        <f>"(DTE "&amp;DATO!$G$14&amp;DATO!$H$14&amp;")"</f>
        <v>(DTE 0413)</v>
      </c>
      <c r="K28" s="402"/>
      <c r="L28" s="403">
        <f>SUM(H28:K28)</f>
        <v>63520.704</v>
      </c>
      <c r="M28" s="356"/>
      <c r="N28" s="357"/>
      <c r="O28" s="358"/>
      <c r="P28" s="359"/>
    </row>
    <row r="29" spans="2:16" ht="15">
      <c r="B29" s="322"/>
      <c r="C29" s="354"/>
      <c r="D29" s="404" t="s">
        <v>165</v>
      </c>
      <c r="E29" s="405">
        <v>132</v>
      </c>
      <c r="F29" s="406">
        <v>40</v>
      </c>
      <c r="G29" s="407"/>
      <c r="H29" s="378">
        <f>F29*$J$17*$E$17/100</f>
        <v>63520.704</v>
      </c>
      <c r="I29" s="408">
        <v>0</v>
      </c>
      <c r="J29" s="409" t="str">
        <f>"(DTE "&amp;DATO!$G$14&amp;DATO!$H$14&amp;")"</f>
        <v>(DTE 0413)</v>
      </c>
      <c r="K29" s="410"/>
      <c r="L29" s="411">
        <f>SUM(H29:K29)</f>
        <v>63520.704</v>
      </c>
      <c r="M29" s="356"/>
      <c r="N29" s="357"/>
      <c r="O29" s="358"/>
      <c r="P29" s="359"/>
    </row>
    <row r="30" spans="2:16" ht="15">
      <c r="B30" s="322"/>
      <c r="C30" s="354"/>
      <c r="D30" s="352"/>
      <c r="E30" s="352"/>
      <c r="F30" s="361"/>
      <c r="G30" s="356"/>
      <c r="I30" s="362"/>
      <c r="J30" s="349"/>
      <c r="K30" s="349"/>
      <c r="L30" s="412">
        <f>SUM(L28:L29)</f>
        <v>127041.408</v>
      </c>
      <c r="M30" s="356"/>
      <c r="N30" s="357"/>
      <c r="O30" s="358"/>
      <c r="P30" s="359"/>
    </row>
    <row r="31" spans="2:16" ht="15">
      <c r="B31" s="322"/>
      <c r="C31" s="354"/>
      <c r="D31" s="352"/>
      <c r="E31" s="352"/>
      <c r="F31" s="361"/>
      <c r="G31" s="356"/>
      <c r="H31" s="518"/>
      <c r="I31" s="362"/>
      <c r="J31" s="349"/>
      <c r="K31" s="349"/>
      <c r="L31" s="363"/>
      <c r="M31" s="356"/>
      <c r="N31" s="357"/>
      <c r="O31" s="519"/>
      <c r="P31" s="359"/>
    </row>
    <row r="32" spans="2:16" ht="12.75" customHeight="1" thickBot="1">
      <c r="B32" s="322"/>
      <c r="C32" s="354"/>
      <c r="D32" s="352"/>
      <c r="E32" s="352"/>
      <c r="F32" s="360"/>
      <c r="G32" s="356"/>
      <c r="H32" s="362"/>
      <c r="I32" s="352"/>
      <c r="J32" s="352"/>
      <c r="K32" s="352"/>
      <c r="L32" s="356"/>
      <c r="M32" s="356"/>
      <c r="N32" s="357"/>
      <c r="O32" s="358"/>
      <c r="P32" s="359"/>
    </row>
    <row r="33" spans="2:16" ht="20.25" thickBot="1" thickTop="1">
      <c r="B33" s="322"/>
      <c r="C33" s="354"/>
      <c r="D33" s="352"/>
      <c r="E33" s="352"/>
      <c r="F33" s="360"/>
      <c r="G33" s="356"/>
      <c r="H33" s="364" t="s">
        <v>79</v>
      </c>
      <c r="I33" s="365">
        <f>+L30</f>
        <v>127041.408</v>
      </c>
      <c r="J33" s="352"/>
      <c r="K33" s="352"/>
      <c r="L33" s="356"/>
      <c r="M33" s="364" t="s">
        <v>228</v>
      </c>
      <c r="N33" s="365">
        <v>71284.8384</v>
      </c>
      <c r="O33" s="358"/>
      <c r="P33" s="359"/>
    </row>
    <row r="34" spans="2:16" ht="15.75" thickTop="1">
      <c r="B34" s="322"/>
      <c r="C34" s="354"/>
      <c r="D34" s="352"/>
      <c r="E34" s="352"/>
      <c r="F34" s="360"/>
      <c r="G34" s="356"/>
      <c r="H34" s="362"/>
      <c r="I34" s="352"/>
      <c r="J34" s="352"/>
      <c r="K34" s="352"/>
      <c r="L34" s="356"/>
      <c r="M34" s="356"/>
      <c r="N34" s="357"/>
      <c r="O34" s="358"/>
      <c r="P34" s="359"/>
    </row>
    <row r="35" spans="2:16" ht="15.75">
      <c r="B35" s="322"/>
      <c r="C35" s="382" t="s">
        <v>80</v>
      </c>
      <c r="D35" s="352"/>
      <c r="E35" s="352"/>
      <c r="F35" s="360"/>
      <c r="G35" s="356"/>
      <c r="H35" s="362"/>
      <c r="I35" s="352"/>
      <c r="J35" s="352"/>
      <c r="K35" s="352"/>
      <c r="L35" s="356"/>
      <c r="M35" s="356"/>
      <c r="N35" s="357"/>
      <c r="O35" s="358"/>
      <c r="P35" s="359"/>
    </row>
    <row r="36" spans="2:16" ht="15.75" thickBot="1">
      <c r="B36" s="322"/>
      <c r="C36" s="354"/>
      <c r="D36" s="352"/>
      <c r="E36" s="352"/>
      <c r="F36" s="360"/>
      <c r="G36" s="356"/>
      <c r="H36" s="362"/>
      <c r="I36" s="352"/>
      <c r="J36" s="336"/>
      <c r="K36" s="336"/>
      <c r="O36" s="336"/>
      <c r="P36" s="359"/>
    </row>
    <row r="37" spans="2:16" ht="20.25" thickBot="1" thickTop="1">
      <c r="B37" s="322"/>
      <c r="C37" s="354"/>
      <c r="D37" s="366" t="s">
        <v>81</v>
      </c>
      <c r="F37" s="367"/>
      <c r="G37" s="323"/>
      <c r="H37" s="76" t="s">
        <v>82</v>
      </c>
      <c r="I37" s="368">
        <f>E18*N33</f>
        <v>1782.12096</v>
      </c>
      <c r="J37" s="336"/>
      <c r="K37" s="336"/>
      <c r="O37" s="336"/>
      <c r="P37" s="359"/>
    </row>
    <row r="38" spans="2:16" ht="21.75" thickTop="1">
      <c r="B38" s="322"/>
      <c r="C38" s="354"/>
      <c r="F38" s="369"/>
      <c r="G38" s="48"/>
      <c r="I38" s="336"/>
      <c r="J38" s="356"/>
      <c r="K38" s="356"/>
      <c r="L38" s="356"/>
      <c r="M38" s="356"/>
      <c r="N38" s="357"/>
      <c r="O38" s="358"/>
      <c r="P38" s="359"/>
    </row>
    <row r="39" spans="2:16" ht="15">
      <c r="B39" s="322"/>
      <c r="C39" s="341" t="s">
        <v>83</v>
      </c>
      <c r="E39" s="336"/>
      <c r="F39" s="336"/>
      <c r="G39" s="336"/>
      <c r="H39" s="336"/>
      <c r="I39" s="356"/>
      <c r="J39" s="356"/>
      <c r="K39" s="356"/>
      <c r="L39" s="356"/>
      <c r="M39" s="356"/>
      <c r="N39" s="357"/>
      <c r="O39" s="358"/>
      <c r="P39" s="359"/>
    </row>
    <row r="40" spans="2:16" ht="15">
      <c r="B40" s="322"/>
      <c r="C40" s="354"/>
      <c r="D40" s="370" t="s">
        <v>84</v>
      </c>
      <c r="E40" s="371">
        <f>10*I23*I37/I33</f>
        <v>105.77859237026088</v>
      </c>
      <c r="F40" s="372"/>
      <c r="H40" s="336"/>
      <c r="I40" s="356"/>
      <c r="J40" s="356"/>
      <c r="K40" s="356"/>
      <c r="L40" s="356"/>
      <c r="M40" s="356"/>
      <c r="N40" s="357"/>
      <c r="O40" s="358"/>
      <c r="P40" s="359"/>
    </row>
    <row r="41" spans="2:16" ht="15">
      <c r="B41" s="322"/>
      <c r="C41" s="354"/>
      <c r="D41" s="336"/>
      <c r="E41" s="336"/>
      <c r="M41" s="356"/>
      <c r="N41" s="357"/>
      <c r="O41" s="358"/>
      <c r="P41" s="359"/>
    </row>
    <row r="42" spans="2:16" ht="15">
      <c r="B42" s="322"/>
      <c r="C42" s="354"/>
      <c r="D42" s="336" t="s">
        <v>227</v>
      </c>
      <c r="E42" s="336"/>
      <c r="F42" s="336"/>
      <c r="G42" s="336"/>
      <c r="H42" s="336"/>
      <c r="M42" s="356"/>
      <c r="N42" s="357"/>
      <c r="O42" s="358"/>
      <c r="P42" s="359"/>
    </row>
    <row r="43" spans="2:16" ht="15.75" thickBot="1">
      <c r="B43" s="322"/>
      <c r="C43" s="354"/>
      <c r="D43" s="336"/>
      <c r="E43" s="336"/>
      <c r="F43" s="336"/>
      <c r="G43" s="336"/>
      <c r="H43" s="336"/>
      <c r="J43" s="356"/>
      <c r="K43" s="356"/>
      <c r="L43" s="356"/>
      <c r="M43" s="356"/>
      <c r="N43" s="357"/>
      <c r="O43" s="358"/>
      <c r="P43" s="359"/>
    </row>
    <row r="44" spans="2:16" ht="20.25" thickBot="1" thickTop="1">
      <c r="B44" s="322"/>
      <c r="C44" s="354"/>
      <c r="D44" s="352"/>
      <c r="E44" s="352"/>
      <c r="F44" s="360"/>
      <c r="G44" s="356"/>
      <c r="H44" s="373" t="s">
        <v>85</v>
      </c>
      <c r="I44" s="374">
        <f>IF($E$40&gt;3*I37,3*I37,$E$40)</f>
        <v>105.77859237026088</v>
      </c>
      <c r="J44" s="356"/>
      <c r="K44" s="356"/>
      <c r="L44" s="356"/>
      <c r="M44" s="356"/>
      <c r="N44" s="357"/>
      <c r="O44" s="358"/>
      <c r="P44" s="359"/>
    </row>
    <row r="45" spans="2:16" ht="16.5" thickBot="1" thickTop="1">
      <c r="B45" s="375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7"/>
    </row>
    <row r="46" spans="2:16" ht="13.5" thickTop="1">
      <c r="B46" s="1"/>
      <c r="P46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5" ht="12" customHeight="1"/>
    <row r="91" ht="12.75">
      <c r="B91" s="1"/>
    </row>
    <row r="97" ht="12.75">
      <c r="A97" s="1"/>
    </row>
  </sheetData>
  <sheetProtection/>
  <printOptions/>
  <pageMargins left="0.21" right="0.49" top="0.7874015748031497" bottom="0.7874015748031497" header="0.5118110236220472" footer="0.5118110236220472"/>
  <pageSetup fitToHeight="1" fitToWidth="1" orientation="landscape" paperSize="9" scale="56" r:id="rId2"/>
  <headerFooter alignWithMargins="0">
    <oddFooter>&amp;L&amp;"Times New Roman,Normal"&amp;8&amp;Z&amp;F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2014-07-17T15:09:40Z</cp:lastPrinted>
  <dcterms:created xsi:type="dcterms:W3CDTF">1998-04-21T14:04:37Z</dcterms:created>
  <dcterms:modified xsi:type="dcterms:W3CDTF">2014-08-05T18:18:46Z</dcterms:modified>
  <cp:category/>
  <cp:version/>
  <cp:contentType/>
  <cp:contentStatus/>
</cp:coreProperties>
</file>