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877" activeTab="0"/>
  </bookViews>
  <sheets>
    <sheet name="TOT-0714" sheetId="1" r:id="rId1"/>
    <sheet name="LI-07 (1)" sheetId="2" r:id="rId2"/>
    <sheet name="LI-07 (2)" sheetId="3" r:id="rId3"/>
    <sheet name="LI-07 (3)" sheetId="4" r:id="rId4"/>
    <sheet name="T-07 (1)" sheetId="5" r:id="rId5"/>
    <sheet name="T-07 (2)" sheetId="6" r:id="rId6"/>
    <sheet name="LI-RIOJA-07 (1)" sheetId="7" r:id="rId7"/>
    <sheet name="SUP-TRANSPORTEL" sheetId="8" r:id="rId8"/>
    <sheet name="Tasa de Falla" sheetId="9" r:id="rId9"/>
    <sheet name="DATO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<sst xmlns="http://schemas.openxmlformats.org/spreadsheetml/2006/main" count="690" uniqueCount="248">
  <si>
    <t>SISTEMA DE TRANSPORTE DE ENERGÍA ELÉCTRICA POR DISTRIBUCIÓN TRONCAL</t>
  </si>
  <si>
    <t>TRANSNOA S.A.</t>
  </si>
  <si>
    <t>TOTAL</t>
  </si>
  <si>
    <t>LÍNEAS</t>
  </si>
  <si>
    <t xml:space="preserve">ENTE NACIONAL REGULADOR </t>
  </si>
  <si>
    <t>DE LA ELECTRICIDAD</t>
  </si>
  <si>
    <t>Sanciones duplicadas por tasa de falla &gt; 4 Sal. x año/100km.</t>
  </si>
  <si>
    <t>1.-</t>
  </si>
  <si>
    <t>1.1.-</t>
  </si>
  <si>
    <t>Equipamiento propio</t>
  </si>
  <si>
    <t>1.2.-</t>
  </si>
  <si>
    <t>2.-</t>
  </si>
  <si>
    <t>CONEXIÓN</t>
  </si>
  <si>
    <t>2.1.-</t>
  </si>
  <si>
    <t>Transformación</t>
  </si>
  <si>
    <t>2.1.1.-</t>
  </si>
  <si>
    <t xml:space="preserve">TOTAL </t>
  </si>
  <si>
    <t>SISTEMA DE TRANSPORTE DE ENERGÍA ELÉCTRICA POR DISTRIBUCIÓN TRONCAL - TRANSNOA S.A.</t>
  </si>
  <si>
    <t>1.- LÍNEAS</t>
  </si>
  <si>
    <t>1.1.- Equipamiento propio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</si>
  <si>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</si>
  <si>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</si>
  <si>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</si>
  <si>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</si>
  <si>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</si>
  <si>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</si>
  <si>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</si>
  <si>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</si>
  <si>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</si>
  <si>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</si>
  <si>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</si>
  <si>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</si>
  <si>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</si>
  <si>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</si>
  <si>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 1ras. 3 hs.   hs. Restantes</t>
  </si>
  <si>
    <t>REDUCC. FORZADA
Por Salida     1ras. 3 hs.     hs. Restantes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</si>
  <si>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</si>
  <si>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</si>
  <si>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</si>
  <si>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</si>
  <si>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</si>
  <si>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</si>
  <si>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</si>
  <si>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</si>
  <si>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</si>
  <si>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</si>
  <si>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</si>
  <si>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</si>
  <si>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</si>
  <si>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</si>
  <si>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</si>
  <si>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</si>
  <si>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</si>
  <si>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</si>
  <si>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PENALIZAC. FORZADA
Por Salida       hs. Restantes</t>
  </si>
  <si>
    <t>REDUCC. FORZADA
Por Salida       hs. Restantes</t>
  </si>
  <si>
    <t xml:space="preserve">Salida en 132 kV o 66 kV = </t>
  </si>
  <si>
    <t xml:space="preserve">Salida en 33 kV </t>
  </si>
  <si>
    <t>Salida en 13,2 kV =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</si>
  <si>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</si>
  <si>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</si>
  <si>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</si>
  <si>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</si>
  <si>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</si>
  <si>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</si>
  <si>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</si>
  <si>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SEGÚN 1.2.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</si>
  <si>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</si>
  <si>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</si>
  <si>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</si>
  <si>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U [kV]</t>
  </si>
  <si>
    <t>Long [km]</t>
  </si>
  <si>
    <t>Cargo por C. T.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</si>
  <si>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</si>
  <si>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</si>
  <si>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</si>
  <si>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</si>
  <si>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</si>
  <si>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</si>
  <si>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SANCIÓN  =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</si>
  <si>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</si>
  <si>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</si>
  <si>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</si>
  <si>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</si>
  <si>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</si>
  <si>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</si>
  <si>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</si>
  <si>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</si>
  <si>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</si>
  <si>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</si>
  <si>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</si>
  <si>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</si>
  <si>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</si>
  <si>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Dia</t>
  </si>
  <si>
    <t>Año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</si>
  <si>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</si>
  <si>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</si>
  <si>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</si>
  <si>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</si>
  <si>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</si>
  <si>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</si>
  <si>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</si>
  <si>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</si>
  <si>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</si>
  <si>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</si>
  <si>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</si>
  <si>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</si>
  <si>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Hoja</t>
  </si>
  <si>
    <t>FilaInicio</t>
  </si>
  <si>
    <t>FilasPlantilla</t>
  </si>
  <si>
    <t>Columnas</t>
  </si>
  <si>
    <t>NombreHoja</t>
  </si>
  <si>
    <t>OrigenDeDatos</t>
  </si>
  <si>
    <t>Col00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</si>
  <si>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</si>
  <si>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</si>
  <si>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</si>
  <si>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</si>
  <si>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</si>
  <si>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</si>
  <si>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</si>
  <si>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</si>
  <si>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</si>
  <si>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</si>
  <si>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</si>
  <si>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</si>
  <si>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</si>
  <si>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</si>
  <si>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</si>
  <si>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MODELO L</t>
  </si>
  <si>
    <t>MODELO T</t>
  </si>
  <si>
    <t>MODELO S</t>
  </si>
  <si>
    <t>MODELO L EDESA</t>
  </si>
  <si>
    <t>MODELO T EDESA</t>
  </si>
  <si>
    <t>MODELO S EDESA</t>
  </si>
  <si>
    <t>MODELO VST</t>
  </si>
  <si>
    <t>TRANSNOA_CAUSAS_VST.XLS</t>
  </si>
  <si>
    <t>COL TSAL</t>
  </si>
  <si>
    <t>FILHTOTAL</t>
  </si>
  <si>
    <t>COLHTOTAL</t>
  </si>
  <si>
    <t>FILHCALC</t>
  </si>
  <si>
    <t>COLHCALC</t>
  </si>
  <si>
    <t>FILTRANSP</t>
  </si>
  <si>
    <t>COLTRANSP</t>
  </si>
  <si>
    <t>ID EQUIPO</t>
  </si>
  <si>
    <t>INDISP</t>
  </si>
  <si>
    <t xml:space="preserve"> ENTE NACIONAL REGULADOR </t>
  </si>
  <si>
    <t xml:space="preserve">       DE LA ELECTRICIDAD</t>
  </si>
  <si>
    <t>Total</t>
  </si>
  <si>
    <t>B14</t>
  </si>
  <si>
    <t>TRANSNOA_INDISPONIBILIDADES_LINEAS_TRANSNOA.XLS</t>
  </si>
  <si>
    <t>TRANSNOA_INDISPONIBILIDADES_TRAFOS_TRANSNOA.XLS</t>
  </si>
  <si>
    <t>TRANSNOA_INDISPONIBILIDADES_SALIDAS_TRANSNOA.XLS</t>
  </si>
  <si>
    <t>TRANSNOA_INDISPONIBILIDADES_LINEAS_EDESA.XLS</t>
  </si>
  <si>
    <t>TRANSNOA_INDISPONIBILIDADES_TRAFOS_EDESA.XLS</t>
  </si>
  <si>
    <t>TRANSNOA_INDISPONIBILIDADES_SALIDAS_EDESA.XLS</t>
  </si>
  <si>
    <t>1.2.- Transportista Independiente La Rioja Sur</t>
  </si>
  <si>
    <t>MODELO L RIOJA</t>
  </si>
  <si>
    <t>TRANSNOA_INDISPONIBILIDADES_LINEAS_RIOJA.XLS</t>
  </si>
  <si>
    <t>LA RIOJA SUR P.I.LA RIOJA</t>
  </si>
  <si>
    <t>LA RIOJA SUR P.I.PATQUIA</t>
  </si>
  <si>
    <t>3.1.-</t>
  </si>
  <si>
    <t>Desde el 01 al 31 de julio de 2014</t>
  </si>
  <si>
    <t>P</t>
  </si>
  <si>
    <t>SI</t>
  </si>
  <si>
    <t>LA BANDA - SANTIAGO CENTRO</t>
  </si>
  <si>
    <t>C.H. RIO HONDO - VILLA QUINTEROS</t>
  </si>
  <si>
    <t>PALPALA - JUJUY ESTE</t>
  </si>
  <si>
    <t>AGUA BLANCA - VILLA QUINTEROS</t>
  </si>
  <si>
    <t>CATAMARCA - V. VIEJO - HUACRA</t>
  </si>
  <si>
    <t>RECREO - CATAMARCA</t>
  </si>
  <si>
    <t>PAMPA GRANDE - TRANCAS</t>
  </si>
  <si>
    <t>C.H. PUEBLO VIEJO - VILLA QUINTEROS</t>
  </si>
  <si>
    <t>F</t>
  </si>
  <si>
    <t>SARMIENTO - TUCUMAN NORTE (O.F.)</t>
  </si>
  <si>
    <t>PALPALA - SAN JUANCITO</t>
  </si>
  <si>
    <t>HUACRA - LA CALERA NOA</t>
  </si>
  <si>
    <t>FRIAS - LA CALERA NOA</t>
  </si>
  <si>
    <t>AGUA BLANCA - INDEPENDENCIA TUC</t>
  </si>
  <si>
    <t>ESTATICA SUR - SARMIENTO NOA</t>
  </si>
  <si>
    <t>PAMPA GRANDE - CABRA CORRAL</t>
  </si>
  <si>
    <t>METAN - TUCUMAN NORTE</t>
  </si>
  <si>
    <t>GUEMES SALTA - MINETTI</t>
  </si>
  <si>
    <t>TRP1</t>
  </si>
  <si>
    <t>132/33/13,2</t>
  </si>
  <si>
    <t>0,000</t>
  </si>
  <si>
    <t>TRAFO 1</t>
  </si>
  <si>
    <t>SAN PEDRO JUJUY</t>
  </si>
  <si>
    <t>TRP</t>
  </si>
  <si>
    <t>132/13,2</t>
  </si>
  <si>
    <t>TRAFO 2</t>
  </si>
  <si>
    <t>TRP2</t>
  </si>
  <si>
    <t>ACONQUIJA</t>
  </si>
  <si>
    <t xml:space="preserve">CATAMARCA </t>
  </si>
  <si>
    <t>TRAFO 3</t>
  </si>
  <si>
    <t>LIBERTADOR JUJUY</t>
  </si>
  <si>
    <t>TRAFO 4</t>
  </si>
  <si>
    <t>R</t>
  </si>
  <si>
    <t xml:space="preserve">VILLA QUINTEROS </t>
  </si>
  <si>
    <t>CATAMARCA II</t>
  </si>
  <si>
    <t>SALTA (SUR)</t>
  </si>
  <si>
    <t>66/13,2</t>
  </si>
  <si>
    <t>RP</t>
  </si>
  <si>
    <t>TRANCAS</t>
  </si>
  <si>
    <t>TRAFO</t>
  </si>
  <si>
    <t xml:space="preserve">PALPALA </t>
  </si>
  <si>
    <t>AGUA BLANCA</t>
  </si>
  <si>
    <t xml:space="preserve">AGUA BLANCA </t>
  </si>
  <si>
    <t xml:space="preserve">JUJUY SUR </t>
  </si>
  <si>
    <t>SANTIAGO SUR</t>
  </si>
  <si>
    <t xml:space="preserve">SANTIAGO CENTRO </t>
  </si>
  <si>
    <t>COPO</t>
  </si>
  <si>
    <t>NO</t>
  </si>
  <si>
    <t>ESTATICA</t>
  </si>
  <si>
    <t>RF</t>
  </si>
  <si>
    <t>TERMAS NORTE</t>
  </si>
  <si>
    <t>SANTIAGO OESTE</t>
  </si>
  <si>
    <t>INDEPEND. - TUCUMAN</t>
  </si>
  <si>
    <t>LA PAZ</t>
  </si>
  <si>
    <t>PICHANAL</t>
  </si>
  <si>
    <t>SUPERVISIÓN del T.I. TRANSPORTEL La Rioja Sur</t>
  </si>
  <si>
    <t>Equipamiento del T.I. TRANSPORTEL La Rioja Sur</t>
  </si>
  <si>
    <t>TRAFO 2 (Res.SE 1/03)</t>
  </si>
  <si>
    <t xml:space="preserve">Res. SE 1/03 </t>
  </si>
  <si>
    <t>3.1- SUPERVISIÓN - Transportista Independiente TRANSPORTEL La Rioja Sur</t>
  </si>
  <si>
    <t>RM * =</t>
  </si>
  <si>
    <t>TOTAL A PENALIZAR A TRANSNOA S.A. POR SUPERVISIÓN A  SU TI</t>
  </si>
  <si>
    <r>
      <rPr>
        <b/>
        <sz val="11"/>
        <rFont val="Times New Roman"/>
        <family val="1"/>
      </rPr>
      <t>RM *</t>
    </r>
    <r>
      <rPr>
        <sz val="11"/>
        <rFont val="Times New Roman"/>
        <family val="1"/>
      </rPr>
      <t xml:space="preserve"> = VALOR EMPLEADO PARA CALCULAR </t>
    </r>
    <r>
      <rPr>
        <b/>
        <sz val="11"/>
        <rFont val="Times New Roman"/>
        <family val="1"/>
      </rPr>
      <t>CS</t>
    </r>
  </si>
  <si>
    <t>P - PROGRAMADA  ; F- FORZADA</t>
  </si>
  <si>
    <t>P - PROGRAMADA</t>
  </si>
  <si>
    <t>P - PROGRAMADA  ; F- FORZADA  ; RF - RESTANTE FORZADA  ; RP - REDUCCIÓN PROGRAMADA</t>
  </si>
  <si>
    <t>P - PROGRAMADA  ; F- FORZADA  ; R - REDUCCIÓN FORZADA</t>
  </si>
  <si>
    <t>F- FORZADA</t>
  </si>
  <si>
    <t>Valores remuneratorios según Convenio de Renovación del acuerdo Instrumental, Nota ENRE Nº 112130</t>
  </si>
  <si>
    <t>TOTAL DE PENALIZACIONES</t>
  </si>
  <si>
    <t xml:space="preserve">SISTEMA DE TRANSPORTE DE ENERGÍA ELÉCTRICA POR DISTRIBUCIÓN TRONCAL </t>
  </si>
  <si>
    <t>INDISPONIBILIDADES FORZADAS DE LÍNEAS - TASA DE FALLA</t>
  </si>
  <si>
    <t>y</t>
  </si>
  <si>
    <t xml:space="preserve">Longitud Total    </t>
  </si>
  <si>
    <t xml:space="preserve">Indisponibilidades Forzadas  </t>
  </si>
  <si>
    <t xml:space="preserve">TASA DE FALLA  </t>
  </si>
  <si>
    <t>XXX</t>
  </si>
  <si>
    <t xml:space="preserve">  Línea no computada en el mes</t>
  </si>
  <si>
    <t>TASA DE FALLA</t>
  </si>
  <si>
    <t>SALIDAS x AÑO / 100 km</t>
  </si>
  <si>
    <t>Correspondiente al mes julio de 2014</t>
  </si>
  <si>
    <t>Duplica monto de Sancion Tasa de falla supera el valor de 4</t>
  </si>
  <si>
    <t>ANEXO IV al Memorandum D.T.E.E. N°  448  / 2015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</si>
</sst>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d/m/yy\ h:mm"/>
    <numFmt numFmtId="218" formatCode="&quot;$&quot;\ #,##0.000"/>
    <numFmt numFmtId="219" formatCode="#,##0.000_);[Red]\(#,##0.000\)"/>
    <numFmt numFmtId="220" formatCode="#,##0.0000_);[Red]\(#,##0.0000\)"/>
    <numFmt numFmtId="221" formatCode="#,##0.00000_);[Red]\(#,##0.00000\)"/>
    <numFmt numFmtId="222" formatCode="#,##0.000000_);[Red]\(#,##0.000000\)"/>
    <numFmt numFmtId="223" formatCode="0.0000"/>
    <numFmt numFmtId="224" formatCode="[$€-2]\ #,##0.00_);[Red]\([$€-2]\ #,##0.00\)"/>
    <numFmt numFmtId="225" formatCode="[$-2C0A]dddd\,\ dd&quot; de &quot;mmmm&quot; de &quot;yyyy"/>
    <numFmt numFmtId="226" formatCode="[$-2C0A]hh:mm:ss\ AM/PM"/>
    <numFmt numFmtId="227" formatCode="&quot;$&quot;\ #,##0.0;[Red]&quot;$&quot;\ \-#,##0.0"/>
  </numFmts>
  <fonts count="1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sz val="11"/>
      <color indexed="5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b/>
      <u val="double"/>
      <sz val="10"/>
      <name val="Times New Roman"/>
      <family val="1"/>
    </font>
    <font>
      <sz val="11"/>
      <name val="MS Sans Serif"/>
      <family val="2"/>
    </font>
    <font>
      <sz val="11"/>
      <color indexed="8"/>
      <name val="Times New Roman"/>
      <family val="1"/>
    </font>
    <font>
      <sz val="14"/>
      <name val="MS Sans Serif"/>
      <family val="0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0"/>
      <color indexed="10"/>
      <name val="Times New Roman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6"/>
      <name val="MS Sans Serif"/>
      <family val="2"/>
    </font>
    <font>
      <b/>
      <sz val="10"/>
      <color indexed="56"/>
      <name val="Times New Roman"/>
      <family val="0"/>
    </font>
    <font>
      <sz val="11"/>
      <color indexed="58"/>
      <name val="MS Sans Serif"/>
      <family val="2"/>
    </font>
    <font>
      <b/>
      <sz val="10"/>
      <color indexed="58"/>
      <name val="Times New Roman"/>
      <family val="0"/>
    </font>
    <font>
      <sz val="11"/>
      <color indexed="9"/>
      <name val="MS Sans Serif"/>
      <family val="2"/>
    </font>
    <font>
      <sz val="10"/>
      <color indexed="9"/>
      <name val="MS Sans Serif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sz val="11"/>
      <color indexed="8"/>
      <name val="MS Sans Serif"/>
      <family val="2"/>
    </font>
    <font>
      <b/>
      <sz val="10"/>
      <color indexed="8"/>
      <name val="Times New Roman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Times New Roman"/>
      <family val="1"/>
    </font>
    <font>
      <sz val="12"/>
      <color indexed="47"/>
      <name val="Times New Roman"/>
      <family val="1"/>
    </font>
    <font>
      <sz val="8"/>
      <color indexed="47"/>
      <name val="Arial"/>
      <family val="2"/>
    </font>
    <font>
      <sz val="10"/>
      <color indexed="50"/>
      <name val="MS Sans Serif"/>
      <family val="2"/>
    </font>
    <font>
      <sz val="8"/>
      <name val="MS Sans Serif"/>
      <family val="2"/>
    </font>
    <font>
      <sz val="11"/>
      <color indexed="9"/>
      <name val="Times New Roman"/>
      <family val="1"/>
    </font>
    <font>
      <sz val="10"/>
      <color indexed="8"/>
      <name val="Arial"/>
      <family val="2"/>
    </font>
    <font>
      <sz val="16"/>
      <name val="MS Sans Serif"/>
      <family val="2"/>
    </font>
    <font>
      <sz val="9"/>
      <name val="Times New Roman"/>
      <family val="1"/>
    </font>
    <font>
      <b/>
      <i/>
      <sz val="12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b/>
      <u val="single"/>
      <sz val="20"/>
      <name val="Arial"/>
      <family val="2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2"/>
    </font>
    <font>
      <b/>
      <i/>
      <u val="single"/>
      <sz val="14"/>
      <color indexed="9"/>
      <name val="Times New Roman"/>
      <family val="1"/>
    </font>
    <font>
      <sz val="14"/>
      <name val="Arial Narrow"/>
      <family val="2"/>
    </font>
    <font>
      <b/>
      <sz val="10"/>
      <color indexed="10"/>
      <name val="MS Sans Serif"/>
      <family val="2"/>
    </font>
    <font>
      <b/>
      <u val="single"/>
      <sz val="12"/>
      <name val="Arial"/>
      <family val="2"/>
    </font>
    <font>
      <b/>
      <i/>
      <sz val="12"/>
      <name val="MS Sans Serif"/>
      <family val="2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 style="thin"/>
      <top style="double"/>
      <bottom style="double"/>
    </border>
    <border>
      <left style="double"/>
      <right style="thin"/>
      <top/>
      <bottom/>
    </border>
    <border>
      <left style="double"/>
      <right style="double"/>
      <top style="double"/>
      <bottom/>
    </border>
    <border>
      <left style="double"/>
      <right/>
      <top style="thin"/>
      <bottom style="double"/>
    </border>
    <border>
      <left style="double"/>
      <right style="double"/>
      <top style="thin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4" fillId="20" borderId="0" applyNumberFormat="0" applyBorder="0" applyAlignment="0" applyProtection="0"/>
    <xf numFmtId="0" fontId="105" fillId="21" borderId="1" applyNumberFormat="0" applyAlignment="0" applyProtection="0"/>
    <xf numFmtId="0" fontId="106" fillId="22" borderId="2" applyNumberFormat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0" applyNumberFormat="0" applyFill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3" fillId="26" borderId="0" applyNumberFormat="0" applyBorder="0" applyAlignment="0" applyProtection="0"/>
    <xf numFmtId="0" fontId="103" fillId="27" borderId="0" applyNumberFormat="0" applyBorder="0" applyAlignment="0" applyProtection="0"/>
    <xf numFmtId="0" fontId="103" fillId="28" borderId="0" applyNumberFormat="0" applyBorder="0" applyAlignment="0" applyProtection="0"/>
    <xf numFmtId="0" fontId="110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13" fillId="21" borderId="6" applyNumberFormat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7" applyNumberFormat="0" applyFill="0" applyAlignment="0" applyProtection="0"/>
    <xf numFmtId="0" fontId="109" fillId="0" borderId="8" applyNumberFormat="0" applyFill="0" applyAlignment="0" applyProtection="0"/>
    <xf numFmtId="0" fontId="118" fillId="0" borderId="9" applyNumberFormat="0" applyFill="0" applyAlignment="0" applyProtection="0"/>
  </cellStyleXfs>
  <cellXfs count="58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2" fontId="7" fillId="0" borderId="11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68" fontId="7" fillId="0" borderId="11" xfId="0" applyNumberFormat="1" applyFont="1" applyBorder="1" applyAlignment="1" applyProtection="1" quotePrefix="1">
      <alignment horizontal="center"/>
      <protection/>
    </xf>
    <xf numFmtId="168" fontId="7" fillId="0" borderId="13" xfId="0" applyNumberFormat="1" applyFont="1" applyBorder="1" applyAlignment="1" applyProtection="1">
      <alignment horizontal="center"/>
      <protection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168" fontId="7" fillId="0" borderId="11" xfId="0" applyNumberFormat="1" applyFont="1" applyFill="1" applyBorder="1" applyAlignment="1" applyProtection="1">
      <alignment horizontal="center"/>
      <protection/>
    </xf>
    <xf numFmtId="2" fontId="7" fillId="0" borderId="11" xfId="0" applyNumberFormat="1" applyFont="1" applyFill="1" applyBorder="1" applyAlignment="1" applyProtection="1">
      <alignment horizontal="center"/>
      <protection/>
    </xf>
    <xf numFmtId="3" fontId="7" fillId="0" borderId="11" xfId="0" applyNumberFormat="1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10" fillId="0" borderId="15" xfId="0" applyNumberFormat="1" applyFont="1" applyFill="1" applyBorder="1" applyAlignment="1">
      <alignment horizontal="right"/>
    </xf>
    <xf numFmtId="4" fontId="14" fillId="0" borderId="11" xfId="0" applyNumberFormat="1" applyFont="1" applyBorder="1" applyAlignment="1">
      <alignment horizontal="right"/>
    </xf>
    <xf numFmtId="168" fontId="7" fillId="0" borderId="13" xfId="0" applyNumberFormat="1" applyFont="1" applyBorder="1" applyAlignment="1" applyProtection="1" quotePrefix="1">
      <alignment horizontal="center"/>
      <protection/>
    </xf>
    <xf numFmtId="0" fontId="7" fillId="0" borderId="10" xfId="0" applyFont="1" applyFill="1" applyBorder="1" applyAlignment="1">
      <alignment/>
    </xf>
    <xf numFmtId="8" fontId="10" fillId="0" borderId="14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5" fillId="0" borderId="0" xfId="0" applyFont="1" applyFill="1" applyBorder="1" applyAlignment="1" applyProtection="1">
      <alignment horizontal="centerContinuous"/>
      <protection/>
    </xf>
    <xf numFmtId="0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Fill="1" applyBorder="1" applyAlignment="1" applyProtection="1">
      <alignment horizontal="left"/>
      <protection/>
    </xf>
    <xf numFmtId="0" fontId="16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4" fillId="0" borderId="0" xfId="0" applyFont="1" applyAlignment="1">
      <alignment/>
    </xf>
    <xf numFmtId="0" fontId="25" fillId="0" borderId="18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4" fillId="0" borderId="0" xfId="0" applyNumberFormat="1" applyFont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4" fillId="0" borderId="10" xfId="0" applyFont="1" applyBorder="1" applyAlignment="1">
      <alignment horizontal="centerContinuous"/>
    </xf>
    <xf numFmtId="0" fontId="24" fillId="0" borderId="0" xfId="0" applyFont="1" applyBorder="1" applyAlignment="1">
      <alignment/>
    </xf>
    <xf numFmtId="0" fontId="24" fillId="0" borderId="18" xfId="0" applyFont="1" applyBorder="1" applyAlignment="1">
      <alignment/>
    </xf>
    <xf numFmtId="0" fontId="26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6" fillId="0" borderId="0" xfId="0" applyNumberFormat="1" applyFont="1" applyBorder="1" applyAlignment="1">
      <alignment horizontal="right"/>
    </xf>
    <xf numFmtId="0" fontId="26" fillId="0" borderId="0" xfId="0" applyNumberFormat="1" applyFont="1" applyBorder="1" applyAlignment="1">
      <alignment/>
    </xf>
    <xf numFmtId="7" fontId="26" fillId="0" borderId="0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26" fillId="0" borderId="19" xfId="0" applyFont="1" applyBorder="1" applyAlignment="1">
      <alignment horizontal="center"/>
    </xf>
    <xf numFmtId="7" fontId="26" fillId="0" borderId="20" xfId="0" applyNumberFormat="1" applyFont="1" applyBorder="1" applyAlignment="1">
      <alignment horizontal="center"/>
    </xf>
    <xf numFmtId="0" fontId="23" fillId="0" borderId="21" xfId="0" applyFont="1" applyBorder="1" applyAlignment="1">
      <alignment/>
    </xf>
    <xf numFmtId="0" fontId="23" fillId="0" borderId="22" xfId="0" applyNumberFormat="1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0" xfId="0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7" fontId="23" fillId="0" borderId="0" xfId="0" applyNumberFormat="1" applyFont="1" applyBorder="1" applyAlignment="1">
      <alignment/>
    </xf>
    <xf numFmtId="168" fontId="23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2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2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21" fillId="0" borderId="18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4" fontId="10" fillId="0" borderId="25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25" fillId="0" borderId="0" xfId="0" applyFont="1" applyBorder="1" applyAlignment="1" applyProtection="1" quotePrefix="1">
      <alignment horizontal="centerContinuous"/>
      <protection/>
    </xf>
    <xf numFmtId="0" fontId="24" fillId="0" borderId="0" xfId="0" applyFont="1" applyBorder="1" applyAlignment="1" applyProtection="1">
      <alignment horizontal="centerContinuous"/>
      <protection/>
    </xf>
    <xf numFmtId="0" fontId="20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5" fillId="0" borderId="0" xfId="0" applyFont="1" applyBorder="1" applyAlignment="1" applyProtection="1">
      <alignment horizontal="centerContinuous"/>
      <protection/>
    </xf>
    <xf numFmtId="0" fontId="29" fillId="0" borderId="26" xfId="0" applyFont="1" applyBorder="1" applyAlignment="1">
      <alignment horizontal="center" vertical="center"/>
    </xf>
    <xf numFmtId="0" fontId="29" fillId="0" borderId="26" xfId="0" applyFont="1" applyBorder="1" applyAlignment="1" applyProtection="1">
      <alignment horizontal="center" vertical="center"/>
      <protection/>
    </xf>
    <xf numFmtId="0" fontId="29" fillId="0" borderId="26" xfId="0" applyFont="1" applyBorder="1" applyAlignment="1" applyProtection="1">
      <alignment horizontal="center" vertical="center" wrapText="1"/>
      <protection/>
    </xf>
    <xf numFmtId="0" fontId="29" fillId="0" borderId="27" xfId="0" applyFont="1" applyBorder="1" applyAlignment="1" applyProtection="1">
      <alignment horizontal="center" vertical="center" wrapTex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29" fillId="0" borderId="2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7" fontId="13" fillId="0" borderId="26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 quotePrefix="1">
      <alignment horizontal="left"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18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>
      <alignment/>
    </xf>
    <xf numFmtId="0" fontId="0" fillId="0" borderId="19" xfId="0" applyFont="1" applyFill="1" applyBorder="1" applyAlignment="1" applyProtection="1">
      <alignment horizontal="left"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19" xfId="0" applyFont="1" applyFill="1" applyBorder="1" applyAlignment="1" applyProtection="1" quotePrefix="1">
      <alignment horizontal="left"/>
      <protection/>
    </xf>
    <xf numFmtId="0" fontId="0" fillId="0" borderId="27" xfId="0" applyFont="1" applyFill="1" applyBorder="1" applyAlignment="1" applyProtection="1">
      <alignment horizontal="center"/>
      <protection/>
    </xf>
    <xf numFmtId="164" fontId="0" fillId="0" borderId="26" xfId="0" applyNumberFormat="1" applyFont="1" applyFill="1" applyBorder="1" applyAlignment="1" applyProtection="1">
      <alignment horizontal="center"/>
      <protection/>
    </xf>
    <xf numFmtId="0" fontId="25" fillId="0" borderId="18" xfId="0" applyFont="1" applyFill="1" applyBorder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25" fillId="0" borderId="0" xfId="0" applyFont="1" applyFill="1" applyBorder="1" applyAlignment="1">
      <alignment horizontal="centerContinuous"/>
    </xf>
    <xf numFmtId="0" fontId="25" fillId="0" borderId="0" xfId="0" applyFont="1" applyFill="1" applyBorder="1" applyAlignment="1" quotePrefix="1">
      <alignment horizontal="centerContinuous"/>
    </xf>
    <xf numFmtId="0" fontId="24" fillId="0" borderId="10" xfId="0" applyFont="1" applyFill="1" applyBorder="1" applyAlignment="1">
      <alignment horizontal="centerContinuous"/>
    </xf>
    <xf numFmtId="0" fontId="16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29" fillId="0" borderId="26" xfId="0" applyFont="1" applyFill="1" applyBorder="1" applyAlignment="1" applyProtection="1">
      <alignment horizontal="center" vertical="center"/>
      <protection/>
    </xf>
    <xf numFmtId="0" fontId="29" fillId="0" borderId="26" xfId="0" applyFont="1" applyFill="1" applyBorder="1" applyAlignment="1" applyProtection="1">
      <alignment horizontal="center" vertical="center" wrapText="1"/>
      <protection/>
    </xf>
    <xf numFmtId="0" fontId="29" fillId="0" borderId="26" xfId="0" applyFont="1" applyFill="1" applyBorder="1" applyAlignment="1" applyProtection="1" quotePrefix="1">
      <alignment horizontal="center" vertical="center" wrapText="1"/>
      <protection/>
    </xf>
    <xf numFmtId="0" fontId="29" fillId="0" borderId="26" xfId="0" applyFont="1" applyFill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Continuous"/>
    </xf>
    <xf numFmtId="7" fontId="26" fillId="0" borderId="0" xfId="0" applyNumberFormat="1" applyFont="1" applyBorder="1" applyAlignment="1">
      <alignment horizontal="center"/>
    </xf>
    <xf numFmtId="0" fontId="31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33" fillId="0" borderId="28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  <protection/>
    </xf>
    <xf numFmtId="0" fontId="33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Alignment="1" applyProtection="1">
      <alignment/>
      <protection/>
    </xf>
    <xf numFmtId="7" fontId="13" fillId="0" borderId="26" xfId="0" applyNumberFormat="1" applyFont="1" applyBorder="1" applyAlignment="1">
      <alignment horizontal="right"/>
    </xf>
    <xf numFmtId="0" fontId="36" fillId="33" borderId="26" xfId="0" applyFont="1" applyFill="1" applyBorder="1" applyAlignment="1" applyProtection="1">
      <alignment horizontal="center" vertical="center"/>
      <protection/>
    </xf>
    <xf numFmtId="0" fontId="37" fillId="33" borderId="12" xfId="0" applyFont="1" applyFill="1" applyBorder="1" applyAlignment="1">
      <alignment/>
    </xf>
    <xf numFmtId="168" fontId="37" fillId="33" borderId="11" xfId="0" applyNumberFormat="1" applyFont="1" applyFill="1" applyBorder="1" applyAlignment="1" applyProtection="1">
      <alignment horizontal="center"/>
      <protection/>
    </xf>
    <xf numFmtId="168" fontId="37" fillId="33" borderId="13" xfId="0" applyNumberFormat="1" applyFont="1" applyFill="1" applyBorder="1" applyAlignment="1" applyProtection="1">
      <alignment horizontal="center"/>
      <protection/>
    </xf>
    <xf numFmtId="0" fontId="37" fillId="33" borderId="14" xfId="0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37" fillId="33" borderId="13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29" fillId="0" borderId="26" xfId="0" applyFont="1" applyBorder="1" applyAlignment="1">
      <alignment horizontal="center" vertical="center" wrapText="1"/>
    </xf>
    <xf numFmtId="7" fontId="10" fillId="0" borderId="14" xfId="0" applyNumberFormat="1" applyFont="1" applyBorder="1" applyAlignment="1">
      <alignment horizontal="right"/>
    </xf>
    <xf numFmtId="167" fontId="7" fillId="0" borderId="20" xfId="0" applyNumberFormat="1" applyFont="1" applyBorder="1" applyAlignment="1">
      <alignment horizontal="centerContinuous"/>
    </xf>
    <xf numFmtId="0" fontId="37" fillId="33" borderId="14" xfId="0" applyFont="1" applyFill="1" applyBorder="1" applyAlignment="1">
      <alignment horizontal="center"/>
    </xf>
    <xf numFmtId="0" fontId="41" fillId="34" borderId="26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/>
    </xf>
    <xf numFmtId="0" fontId="42" fillId="34" borderId="12" xfId="0" applyFont="1" applyFill="1" applyBorder="1" applyAlignment="1">
      <alignment/>
    </xf>
    <xf numFmtId="2" fontId="42" fillId="34" borderId="11" xfId="0" applyNumberFormat="1" applyFont="1" applyFill="1" applyBorder="1" applyAlignment="1">
      <alignment horizontal="center"/>
    </xf>
    <xf numFmtId="2" fontId="42" fillId="34" borderId="13" xfId="0" applyNumberFormat="1" applyFont="1" applyFill="1" applyBorder="1" applyAlignment="1">
      <alignment horizontal="center"/>
    </xf>
    <xf numFmtId="0" fontId="43" fillId="35" borderId="26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/>
    </xf>
    <xf numFmtId="0" fontId="44" fillId="35" borderId="12" xfId="0" applyFont="1" applyFill="1" applyBorder="1" applyAlignment="1">
      <alignment/>
    </xf>
    <xf numFmtId="2" fontId="44" fillId="35" borderId="11" xfId="0" applyNumberFormat="1" applyFont="1" applyFill="1" applyBorder="1" applyAlignment="1" applyProtection="1">
      <alignment horizontal="center"/>
      <protection/>
    </xf>
    <xf numFmtId="2" fontId="44" fillId="35" borderId="13" xfId="0" applyNumberFormat="1" applyFont="1" applyFill="1" applyBorder="1" applyAlignment="1">
      <alignment horizontal="center"/>
    </xf>
    <xf numFmtId="0" fontId="39" fillId="36" borderId="19" xfId="0" applyFont="1" applyFill="1" applyBorder="1" applyAlignment="1" applyProtection="1">
      <alignment horizontal="centerContinuous" vertical="center" wrapText="1"/>
      <protection/>
    </xf>
    <xf numFmtId="0" fontId="40" fillId="36" borderId="27" xfId="0" applyFont="1" applyFill="1" applyBorder="1" applyAlignment="1">
      <alignment horizontal="centerContinuous"/>
    </xf>
    <xf numFmtId="0" fontId="39" fillId="36" borderId="20" xfId="0" applyFont="1" applyFill="1" applyBorder="1" applyAlignment="1">
      <alignment horizontal="centerContinuous" vertical="center"/>
    </xf>
    <xf numFmtId="168" fontId="38" fillId="36" borderId="30" xfId="0" applyNumberFormat="1" applyFont="1" applyFill="1" applyBorder="1" applyAlignment="1" applyProtection="1" quotePrefix="1">
      <alignment horizontal="center"/>
      <protection/>
    </xf>
    <xf numFmtId="168" fontId="38" fillId="36" borderId="31" xfId="0" applyNumberFormat="1" applyFont="1" applyFill="1" applyBorder="1" applyAlignment="1" applyProtection="1" quotePrefix="1">
      <alignment horizontal="center"/>
      <protection/>
    </xf>
    <xf numFmtId="4" fontId="38" fillId="36" borderId="15" xfId="0" applyNumberFormat="1" applyFont="1" applyFill="1" applyBorder="1" applyAlignment="1">
      <alignment horizontal="center"/>
    </xf>
    <xf numFmtId="168" fontId="38" fillId="36" borderId="32" xfId="0" applyNumberFormat="1" applyFont="1" applyFill="1" applyBorder="1" applyAlignment="1" applyProtection="1" quotePrefix="1">
      <alignment horizontal="center"/>
      <protection/>
    </xf>
    <xf numFmtId="168" fontId="38" fillId="36" borderId="33" xfId="0" applyNumberFormat="1" applyFont="1" applyFill="1" applyBorder="1" applyAlignment="1" applyProtection="1" quotePrefix="1">
      <alignment horizontal="center"/>
      <protection/>
    </xf>
    <xf numFmtId="4" fontId="38" fillId="36" borderId="34" xfId="0" applyNumberFormat="1" applyFont="1" applyFill="1" applyBorder="1" applyAlignment="1">
      <alignment horizontal="center"/>
    </xf>
    <xf numFmtId="0" fontId="38" fillId="36" borderId="35" xfId="0" applyFont="1" applyFill="1" applyBorder="1" applyAlignment="1">
      <alignment/>
    </xf>
    <xf numFmtId="0" fontId="38" fillId="36" borderId="36" xfId="0" applyFont="1" applyFill="1" applyBorder="1" applyAlignment="1">
      <alignment/>
    </xf>
    <xf numFmtId="2" fontId="42" fillId="34" borderId="26" xfId="0" applyNumberFormat="1" applyFont="1" applyFill="1" applyBorder="1" applyAlignment="1">
      <alignment horizontal="center"/>
    </xf>
    <xf numFmtId="2" fontId="44" fillId="35" borderId="26" xfId="0" applyNumberFormat="1" applyFont="1" applyFill="1" applyBorder="1" applyAlignment="1">
      <alignment horizontal="center"/>
    </xf>
    <xf numFmtId="0" fontId="45" fillId="37" borderId="19" xfId="0" applyFont="1" applyFill="1" applyBorder="1" applyAlignment="1">
      <alignment horizontal="centerContinuous" vertical="center" wrapText="1"/>
    </xf>
    <xf numFmtId="0" fontId="46" fillId="37" borderId="27" xfId="0" applyFont="1" applyFill="1" applyBorder="1" applyAlignment="1">
      <alignment horizontal="centerContinuous"/>
    </xf>
    <xf numFmtId="0" fontId="45" fillId="37" borderId="20" xfId="0" applyFont="1" applyFill="1" applyBorder="1" applyAlignment="1">
      <alignment horizontal="centerContinuous" vertical="center"/>
    </xf>
    <xf numFmtId="0" fontId="47" fillId="37" borderId="37" xfId="0" applyFont="1" applyFill="1" applyBorder="1" applyAlignment="1">
      <alignment horizontal="left"/>
    </xf>
    <xf numFmtId="0" fontId="47" fillId="37" borderId="38" xfId="0" applyFont="1" applyFill="1" applyBorder="1" applyAlignment="1">
      <alignment/>
    </xf>
    <xf numFmtId="4" fontId="47" fillId="37" borderId="30" xfId="0" applyNumberFormat="1" applyFont="1" applyFill="1" applyBorder="1" applyAlignment="1" applyProtection="1">
      <alignment horizontal="center"/>
      <protection/>
    </xf>
    <xf numFmtId="4" fontId="47" fillId="37" borderId="32" xfId="0" applyNumberFormat="1" applyFont="1" applyFill="1" applyBorder="1" applyAlignment="1">
      <alignment horizontal="center"/>
    </xf>
    <xf numFmtId="0" fontId="47" fillId="37" borderId="39" xfId="0" applyFont="1" applyFill="1" applyBorder="1" applyAlignment="1">
      <alignment horizontal="left"/>
    </xf>
    <xf numFmtId="0" fontId="47" fillId="37" borderId="40" xfId="0" applyFont="1" applyFill="1" applyBorder="1" applyAlignment="1">
      <alignment/>
    </xf>
    <xf numFmtId="168" fontId="47" fillId="37" borderId="41" xfId="0" applyNumberFormat="1" applyFont="1" applyFill="1" applyBorder="1" applyAlignment="1" applyProtection="1" quotePrefix="1">
      <alignment horizontal="center"/>
      <protection/>
    </xf>
    <xf numFmtId="4" fontId="47" fillId="37" borderId="42" xfId="0" applyNumberFormat="1" applyFont="1" applyFill="1" applyBorder="1" applyAlignment="1">
      <alignment horizontal="center"/>
    </xf>
    <xf numFmtId="0" fontId="47" fillId="37" borderId="43" xfId="0" applyFont="1" applyFill="1" applyBorder="1" applyAlignment="1">
      <alignment horizontal="left"/>
    </xf>
    <xf numFmtId="0" fontId="47" fillId="37" borderId="44" xfId="0" applyFont="1" applyFill="1" applyBorder="1" applyAlignment="1">
      <alignment/>
    </xf>
    <xf numFmtId="4" fontId="47" fillId="37" borderId="45" xfId="0" applyNumberFormat="1" applyFont="1" applyFill="1" applyBorder="1" applyAlignment="1">
      <alignment horizontal="center"/>
    </xf>
    <xf numFmtId="4" fontId="47" fillId="37" borderId="46" xfId="0" applyNumberFormat="1" applyFont="1" applyFill="1" applyBorder="1" applyAlignment="1">
      <alignment horizontal="center"/>
    </xf>
    <xf numFmtId="0" fontId="45" fillId="38" borderId="26" xfId="0" applyFont="1" applyFill="1" applyBorder="1" applyAlignment="1">
      <alignment horizontal="center" vertical="center" wrapText="1"/>
    </xf>
    <xf numFmtId="0" fontId="47" fillId="38" borderId="14" xfId="0" applyFont="1" applyFill="1" applyBorder="1" applyAlignment="1">
      <alignment horizontal="left"/>
    </xf>
    <xf numFmtId="0" fontId="47" fillId="38" borderId="12" xfId="0" applyFont="1" applyFill="1" applyBorder="1" applyAlignment="1">
      <alignment/>
    </xf>
    <xf numFmtId="4" fontId="47" fillId="38" borderId="11" xfId="0" applyNumberFormat="1" applyFont="1" applyFill="1" applyBorder="1" applyAlignment="1">
      <alignment horizontal="center"/>
    </xf>
    <xf numFmtId="4" fontId="47" fillId="38" borderId="13" xfId="0" applyNumberFormat="1" applyFont="1" applyFill="1" applyBorder="1" applyAlignment="1">
      <alignment horizontal="center"/>
    </xf>
    <xf numFmtId="0" fontId="49" fillId="39" borderId="26" xfId="0" applyFont="1" applyFill="1" applyBorder="1" applyAlignment="1">
      <alignment horizontal="center" vertical="center" wrapText="1"/>
    </xf>
    <xf numFmtId="0" fontId="50" fillId="39" borderId="14" xfId="0" applyFont="1" applyFill="1" applyBorder="1" applyAlignment="1">
      <alignment horizontal="left"/>
    </xf>
    <xf numFmtId="0" fontId="50" fillId="39" borderId="12" xfId="0" applyFont="1" applyFill="1" applyBorder="1" applyAlignment="1">
      <alignment/>
    </xf>
    <xf numFmtId="4" fontId="50" fillId="39" borderId="11" xfId="0" applyNumberFormat="1" applyFont="1" applyFill="1" applyBorder="1" applyAlignment="1">
      <alignment horizontal="center"/>
    </xf>
    <xf numFmtId="4" fontId="50" fillId="39" borderId="13" xfId="0" applyNumberFormat="1" applyFont="1" applyFill="1" applyBorder="1" applyAlignment="1">
      <alignment horizontal="center"/>
    </xf>
    <xf numFmtId="2" fontId="38" fillId="36" borderId="26" xfId="0" applyNumberFormat="1" applyFont="1" applyFill="1" applyBorder="1" applyAlignment="1">
      <alignment horizontal="center"/>
    </xf>
    <xf numFmtId="2" fontId="47" fillId="37" borderId="26" xfId="0" applyNumberFormat="1" applyFont="1" applyFill="1" applyBorder="1" applyAlignment="1">
      <alignment horizontal="center"/>
    </xf>
    <xf numFmtId="2" fontId="47" fillId="38" borderId="26" xfId="0" applyNumberFormat="1" applyFont="1" applyFill="1" applyBorder="1" applyAlignment="1">
      <alignment horizontal="center"/>
    </xf>
    <xf numFmtId="2" fontId="50" fillId="39" borderId="26" xfId="0" applyNumberFormat="1" applyFont="1" applyFill="1" applyBorder="1" applyAlignment="1">
      <alignment horizontal="center"/>
    </xf>
    <xf numFmtId="0" fontId="48" fillId="40" borderId="13" xfId="0" applyFont="1" applyFill="1" applyBorder="1" applyAlignment="1">
      <alignment/>
    </xf>
    <xf numFmtId="0" fontId="45" fillId="40" borderId="26" xfId="0" applyFont="1" applyFill="1" applyBorder="1" applyAlignment="1" applyProtection="1">
      <alignment horizontal="center" vertical="center"/>
      <protection/>
    </xf>
    <xf numFmtId="0" fontId="48" fillId="40" borderId="14" xfId="0" applyFont="1" applyFill="1" applyBorder="1" applyAlignment="1">
      <alignment/>
    </xf>
    <xf numFmtId="0" fontId="48" fillId="40" borderId="11" xfId="0" applyFont="1" applyFill="1" applyBorder="1" applyAlignment="1">
      <alignment/>
    </xf>
    <xf numFmtId="4" fontId="48" fillId="40" borderId="11" xfId="0" applyNumberFormat="1" applyFont="1" applyFill="1" applyBorder="1" applyAlignment="1" applyProtection="1">
      <alignment horizontal="center"/>
      <protection/>
    </xf>
    <xf numFmtId="0" fontId="45" fillId="34" borderId="26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/>
    </xf>
    <xf numFmtId="0" fontId="47" fillId="34" borderId="11" xfId="0" applyFont="1" applyFill="1" applyBorder="1" applyAlignment="1">
      <alignment/>
    </xf>
    <xf numFmtId="2" fontId="47" fillId="34" borderId="11" xfId="0" applyNumberFormat="1" applyFont="1" applyFill="1" applyBorder="1" applyAlignment="1">
      <alignment horizontal="center"/>
    </xf>
    <xf numFmtId="0" fontId="47" fillId="34" borderId="13" xfId="0" applyFont="1" applyFill="1" applyBorder="1" applyAlignment="1">
      <alignment/>
    </xf>
    <xf numFmtId="7" fontId="47" fillId="34" borderId="26" xfId="0" applyNumberFormat="1" applyFont="1" applyFill="1" applyBorder="1" applyAlignment="1">
      <alignment horizontal="center"/>
    </xf>
    <xf numFmtId="0" fontId="45" fillId="41" borderId="26" xfId="0" applyFont="1" applyFill="1" applyBorder="1" applyAlignment="1">
      <alignment horizontal="center" vertical="center" wrapText="1"/>
    </xf>
    <xf numFmtId="0" fontId="47" fillId="41" borderId="14" xfId="0" applyFont="1" applyFill="1" applyBorder="1" applyAlignment="1">
      <alignment/>
    </xf>
    <xf numFmtId="0" fontId="47" fillId="41" borderId="11" xfId="0" applyFont="1" applyFill="1" applyBorder="1" applyAlignment="1">
      <alignment/>
    </xf>
    <xf numFmtId="2" fontId="47" fillId="41" borderId="11" xfId="0" applyNumberFormat="1" applyFont="1" applyFill="1" applyBorder="1" applyAlignment="1">
      <alignment horizontal="center"/>
    </xf>
    <xf numFmtId="0" fontId="47" fillId="41" borderId="13" xfId="0" applyFont="1" applyFill="1" applyBorder="1" applyAlignment="1">
      <alignment/>
    </xf>
    <xf numFmtId="7" fontId="48" fillId="41" borderId="26" xfId="0" applyNumberFormat="1" applyFont="1" applyFill="1" applyBorder="1" applyAlignment="1">
      <alignment horizontal="center"/>
    </xf>
    <xf numFmtId="0" fontId="38" fillId="36" borderId="47" xfId="0" applyFont="1" applyFill="1" applyBorder="1" applyAlignment="1">
      <alignment/>
    </xf>
    <xf numFmtId="0" fontId="38" fillId="36" borderId="32" xfId="0" applyFont="1" applyFill="1" applyBorder="1" applyAlignment="1">
      <alignment/>
    </xf>
    <xf numFmtId="0" fontId="38" fillId="36" borderId="46" xfId="0" applyFont="1" applyFill="1" applyBorder="1" applyAlignment="1">
      <alignment/>
    </xf>
    <xf numFmtId="7" fontId="38" fillId="36" borderId="26" xfId="0" applyNumberFormat="1" applyFont="1" applyFill="1" applyBorder="1" applyAlignment="1">
      <alignment horizontal="center"/>
    </xf>
    <xf numFmtId="0" fontId="38" fillId="36" borderId="15" xfId="0" applyFont="1" applyFill="1" applyBorder="1" applyAlignment="1">
      <alignment/>
    </xf>
    <xf numFmtId="168" fontId="38" fillId="36" borderId="45" xfId="0" applyNumberFormat="1" applyFont="1" applyFill="1" applyBorder="1" applyAlignment="1" applyProtection="1" quotePrefix="1">
      <alignment horizontal="center"/>
      <protection/>
    </xf>
    <xf numFmtId="0" fontId="38" fillId="36" borderId="37" xfId="0" applyFont="1" applyFill="1" applyBorder="1" applyAlignment="1">
      <alignment horizontal="center"/>
    </xf>
    <xf numFmtId="0" fontId="38" fillId="36" borderId="30" xfId="0" applyFont="1" applyFill="1" applyBorder="1" applyAlignment="1">
      <alignment horizontal="center"/>
    </xf>
    <xf numFmtId="0" fontId="49" fillId="37" borderId="19" xfId="0" applyFont="1" applyFill="1" applyBorder="1" applyAlignment="1" applyProtection="1">
      <alignment horizontal="centerContinuous" vertical="center" wrapText="1"/>
      <protection/>
    </xf>
    <xf numFmtId="0" fontId="49" fillId="37" borderId="20" xfId="0" applyFont="1" applyFill="1" applyBorder="1" applyAlignment="1">
      <alignment horizontal="centerContinuous" vertical="center"/>
    </xf>
    <xf numFmtId="0" fontId="50" fillId="37" borderId="37" xfId="0" applyFont="1" applyFill="1" applyBorder="1" applyAlignment="1">
      <alignment horizontal="center"/>
    </xf>
    <xf numFmtId="0" fontId="50" fillId="37" borderId="47" xfId="0" applyFont="1" applyFill="1" applyBorder="1" applyAlignment="1">
      <alignment/>
    </xf>
    <xf numFmtId="0" fontId="50" fillId="37" borderId="30" xfId="0" applyFont="1" applyFill="1" applyBorder="1" applyAlignment="1">
      <alignment horizontal="center"/>
    </xf>
    <xf numFmtId="0" fontId="50" fillId="37" borderId="15" xfId="0" applyFont="1" applyFill="1" applyBorder="1" applyAlignment="1">
      <alignment/>
    </xf>
    <xf numFmtId="168" fontId="50" fillId="37" borderId="30" xfId="0" applyNumberFormat="1" applyFont="1" applyFill="1" applyBorder="1" applyAlignment="1" applyProtection="1" quotePrefix="1">
      <alignment horizontal="center"/>
      <protection/>
    </xf>
    <xf numFmtId="168" fontId="50" fillId="37" borderId="45" xfId="0" applyNumberFormat="1" applyFont="1" applyFill="1" applyBorder="1" applyAlignment="1" applyProtection="1" quotePrefix="1">
      <alignment horizontal="center"/>
      <protection/>
    </xf>
    <xf numFmtId="0" fontId="50" fillId="37" borderId="32" xfId="0" applyFont="1" applyFill="1" applyBorder="1" applyAlignment="1">
      <alignment/>
    </xf>
    <xf numFmtId="0" fontId="50" fillId="37" borderId="46" xfId="0" applyFont="1" applyFill="1" applyBorder="1" applyAlignment="1">
      <alignment/>
    </xf>
    <xf numFmtId="7" fontId="50" fillId="37" borderId="26" xfId="0" applyNumberFormat="1" applyFont="1" applyFill="1" applyBorder="1" applyAlignment="1">
      <alignment horizontal="center"/>
    </xf>
    <xf numFmtId="0" fontId="49" fillId="38" borderId="26" xfId="0" applyFont="1" applyFill="1" applyBorder="1" applyAlignment="1">
      <alignment horizontal="center" vertical="center" wrapText="1"/>
    </xf>
    <xf numFmtId="0" fontId="50" fillId="38" borderId="14" xfId="0" applyFont="1" applyFill="1" applyBorder="1" applyAlignment="1">
      <alignment/>
    </xf>
    <xf numFmtId="0" fontId="50" fillId="38" borderId="11" xfId="0" applyFont="1" applyFill="1" applyBorder="1" applyAlignment="1">
      <alignment/>
    </xf>
    <xf numFmtId="168" fontId="50" fillId="38" borderId="11" xfId="0" applyNumberFormat="1" applyFont="1" applyFill="1" applyBorder="1" applyAlignment="1" applyProtection="1" quotePrefix="1">
      <alignment horizontal="center"/>
      <protection/>
    </xf>
    <xf numFmtId="0" fontId="50" fillId="38" borderId="13" xfId="0" applyFont="1" applyFill="1" applyBorder="1" applyAlignment="1">
      <alignment/>
    </xf>
    <xf numFmtId="7" fontId="50" fillId="38" borderId="26" xfId="0" applyNumberFormat="1" applyFont="1" applyFill="1" applyBorder="1" applyAlignment="1">
      <alignment horizontal="center"/>
    </xf>
    <xf numFmtId="0" fontId="51" fillId="42" borderId="26" xfId="0" applyFont="1" applyFill="1" applyBorder="1" applyAlignment="1">
      <alignment horizontal="center" vertical="center" wrapText="1"/>
    </xf>
    <xf numFmtId="0" fontId="52" fillId="42" borderId="14" xfId="0" applyFont="1" applyFill="1" applyBorder="1" applyAlignment="1">
      <alignment/>
    </xf>
    <xf numFmtId="0" fontId="52" fillId="42" borderId="11" xfId="0" applyFont="1" applyFill="1" applyBorder="1" applyAlignment="1">
      <alignment/>
    </xf>
    <xf numFmtId="168" fontId="52" fillId="42" borderId="11" xfId="0" applyNumberFormat="1" applyFont="1" applyFill="1" applyBorder="1" applyAlignment="1" applyProtection="1" quotePrefix="1">
      <alignment horizontal="center"/>
      <protection/>
    </xf>
    <xf numFmtId="0" fontId="52" fillId="42" borderId="13" xfId="0" applyFont="1" applyFill="1" applyBorder="1" applyAlignment="1">
      <alignment/>
    </xf>
    <xf numFmtId="7" fontId="52" fillId="42" borderId="26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174" fontId="0" fillId="0" borderId="19" xfId="0" applyNumberFormat="1" applyFont="1" applyBorder="1" applyAlignment="1">
      <alignment horizontal="centerContinuous"/>
    </xf>
    <xf numFmtId="0" fontId="61" fillId="0" borderId="0" xfId="0" applyFont="1" applyAlignment="1">
      <alignment horizontal="right" vertical="top"/>
    </xf>
    <xf numFmtId="0" fontId="61" fillId="0" borderId="0" xfId="0" applyFont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center"/>
    </xf>
    <xf numFmtId="174" fontId="7" fillId="0" borderId="0" xfId="0" applyNumberFormat="1" applyFont="1" applyFill="1" applyBorder="1" applyAlignment="1">
      <alignment horizontal="center" vertical="center"/>
    </xf>
    <xf numFmtId="0" fontId="7" fillId="0" borderId="11" xfId="0" applyFont="1" applyBorder="1" applyAlignment="1" applyProtection="1">
      <alignment/>
      <protection locked="0"/>
    </xf>
    <xf numFmtId="0" fontId="7" fillId="0" borderId="48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49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7" fillId="0" borderId="50" xfId="0" applyFont="1" applyBorder="1" applyAlignment="1" applyProtection="1">
      <alignment/>
      <protection locked="0"/>
    </xf>
    <xf numFmtId="0" fontId="12" fillId="0" borderId="50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39" fontId="7" fillId="0" borderId="13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22" fontId="7" fillId="0" borderId="11" xfId="0" applyNumberFormat="1" applyFont="1" applyBorder="1" applyAlignment="1" applyProtection="1">
      <alignment horizontal="center"/>
      <protection locked="0"/>
    </xf>
    <xf numFmtId="168" fontId="7" fillId="0" borderId="13" xfId="0" applyNumberFormat="1" applyFont="1" applyBorder="1" applyAlignment="1" applyProtection="1">
      <alignment horizontal="center"/>
      <protection locked="0"/>
    </xf>
    <xf numFmtId="168" fontId="7" fillId="0" borderId="11" xfId="0" applyNumberFormat="1" applyFont="1" applyBorder="1" applyAlignment="1" applyProtection="1">
      <alignment horizontal="center"/>
      <protection locked="0"/>
    </xf>
    <xf numFmtId="168" fontId="7" fillId="0" borderId="11" xfId="0" applyNumberFormat="1" applyFont="1" applyBorder="1" applyAlignment="1" applyProtection="1" quotePrefix="1">
      <alignment horizontal="center"/>
      <protection locked="0"/>
    </xf>
    <xf numFmtId="168" fontId="7" fillId="0" borderId="13" xfId="0" applyNumberFormat="1" applyFont="1" applyBorder="1" applyAlignment="1" applyProtection="1" quotePrefix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/>
      <protection locked="0"/>
    </xf>
    <xf numFmtId="4" fontId="7" fillId="0" borderId="15" xfId="0" applyNumberFormat="1" applyFont="1" applyBorder="1" applyAlignment="1" applyProtection="1">
      <alignment horizontal="center"/>
      <protection locked="0"/>
    </xf>
    <xf numFmtId="4" fontId="9" fillId="0" borderId="34" xfId="0" applyNumberFormat="1" applyFont="1" applyBorder="1" applyAlignment="1" applyProtection="1">
      <alignment horizontal="center"/>
      <protection locked="0"/>
    </xf>
    <xf numFmtId="0" fontId="25" fillId="0" borderId="18" xfId="0" applyFont="1" applyBorder="1" applyAlignment="1" applyProtection="1">
      <alignment horizontal="centerContinuous"/>
      <protection locked="0"/>
    </xf>
    <xf numFmtId="0" fontId="7" fillId="0" borderId="4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 quotePrefix="1">
      <alignment horizont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/>
      <protection locked="0"/>
    </xf>
    <xf numFmtId="165" fontId="7" fillId="0" borderId="12" xfId="0" applyNumberFormat="1" applyFont="1" applyBorder="1" applyAlignment="1" applyProtection="1" quotePrefix="1">
      <alignment horizontal="center"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22" fontId="7" fillId="0" borderId="11" xfId="0" applyNumberFormat="1" applyFont="1" applyFill="1" applyBorder="1" applyAlignment="1" applyProtection="1">
      <alignment horizontal="center"/>
      <protection locked="0"/>
    </xf>
    <xf numFmtId="168" fontId="7" fillId="0" borderId="11" xfId="0" applyNumberFormat="1" applyFont="1" applyFill="1" applyBorder="1" applyAlignment="1" applyProtection="1">
      <alignment horizontal="center"/>
      <protection locked="0"/>
    </xf>
    <xf numFmtId="168" fontId="7" fillId="0" borderId="11" xfId="0" applyNumberFormat="1" applyFont="1" applyFill="1" applyBorder="1" applyAlignment="1" applyProtection="1" quotePrefix="1">
      <alignment horizontal="center"/>
      <protection locked="0"/>
    </xf>
    <xf numFmtId="0" fontId="21" fillId="0" borderId="18" xfId="0" applyFont="1" applyBorder="1" applyAlignment="1" applyProtection="1">
      <alignment/>
      <protection locked="0"/>
    </xf>
    <xf numFmtId="0" fontId="26" fillId="0" borderId="0" xfId="0" applyFont="1" applyBorder="1" applyAlignment="1">
      <alignment horizontal="center"/>
    </xf>
    <xf numFmtId="0" fontId="64" fillId="0" borderId="0" xfId="55" applyNumberFormat="1" applyFont="1" applyBorder="1" applyAlignment="1">
      <alignment horizontal="left"/>
      <protection/>
    </xf>
    <xf numFmtId="0" fontId="0" fillId="33" borderId="40" xfId="0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40" xfId="0" applyFont="1" applyBorder="1" applyAlignment="1" quotePrefix="1">
      <alignment/>
    </xf>
    <xf numFmtId="0" fontId="0" fillId="43" borderId="0" xfId="0" applyFont="1" applyFill="1" applyAlignment="1">
      <alignment/>
    </xf>
    <xf numFmtId="0" fontId="0" fillId="43" borderId="0" xfId="0" applyNumberFormat="1" applyFont="1" applyFill="1" applyAlignment="1">
      <alignment/>
    </xf>
    <xf numFmtId="0" fontId="0" fillId="43" borderId="0" xfId="55" applyFont="1" applyFill="1" applyAlignment="1">
      <alignment/>
      <protection/>
    </xf>
    <xf numFmtId="0" fontId="40" fillId="0" borderId="40" xfId="0" applyFont="1" applyBorder="1" applyAlignment="1">
      <alignment/>
    </xf>
    <xf numFmtId="0" fontId="40" fillId="0" borderId="40" xfId="0" applyFont="1" applyFill="1" applyBorder="1" applyAlignment="1">
      <alignment/>
    </xf>
    <xf numFmtId="0" fontId="40" fillId="0" borderId="41" xfId="0" applyFont="1" applyBorder="1" applyAlignment="1">
      <alignment/>
    </xf>
    <xf numFmtId="0" fontId="65" fillId="0" borderId="16" xfId="0" applyFont="1" applyBorder="1" applyAlignment="1">
      <alignment/>
    </xf>
    <xf numFmtId="0" fontId="66" fillId="0" borderId="24" xfId="0" applyFont="1" applyBorder="1" applyAlignment="1">
      <alignment horizontal="center"/>
    </xf>
    <xf numFmtId="0" fontId="67" fillId="0" borderId="40" xfId="0" applyFont="1" applyFill="1" applyBorder="1" applyAlignment="1">
      <alignment/>
    </xf>
    <xf numFmtId="0" fontId="67" fillId="0" borderId="41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48" xfId="0" applyFont="1" applyBorder="1" applyAlignment="1" applyProtection="1">
      <alignment/>
      <protection locked="0"/>
    </xf>
    <xf numFmtId="0" fontId="17" fillId="0" borderId="0" xfId="0" applyFont="1" applyAlignment="1" applyProtection="1">
      <alignment horizontal="centerContinuous"/>
      <protection/>
    </xf>
    <xf numFmtId="0" fontId="15" fillId="0" borderId="0" xfId="0" applyFont="1" applyBorder="1" applyAlignment="1" applyProtection="1">
      <alignment horizontal="left"/>
      <protection/>
    </xf>
    <xf numFmtId="0" fontId="68" fillId="33" borderId="40" xfId="0" applyFont="1" applyFill="1" applyBorder="1" applyAlignment="1">
      <alignment horizontal="center"/>
    </xf>
    <xf numFmtId="0" fontId="68" fillId="0" borderId="40" xfId="0" applyFont="1" applyFill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165" fontId="7" fillId="0" borderId="12" xfId="0" applyNumberFormat="1" applyFont="1" applyBorder="1" applyAlignment="1" applyProtection="1">
      <alignment horizontal="center"/>
      <protection locked="0"/>
    </xf>
    <xf numFmtId="0" fontId="26" fillId="0" borderId="0" xfId="0" applyNumberFormat="1" applyFont="1" applyBorder="1" applyAlignment="1">
      <alignment/>
    </xf>
    <xf numFmtId="223" fontId="0" fillId="0" borderId="19" xfId="0" applyNumberFormat="1" applyFont="1" applyBorder="1" applyAlignment="1">
      <alignment horizontal="centerContinuous"/>
    </xf>
    <xf numFmtId="0" fontId="16" fillId="0" borderId="0" xfId="54" applyFont="1">
      <alignment/>
      <protection/>
    </xf>
    <xf numFmtId="0" fontId="61" fillId="0" borderId="0" xfId="54" applyFont="1" applyAlignment="1">
      <alignment horizontal="right" vertical="top"/>
      <protection/>
    </xf>
    <xf numFmtId="0" fontId="17" fillId="0" borderId="0" xfId="54" applyFont="1" applyAlignment="1">
      <alignment horizontal="centerContinuous"/>
      <protection/>
    </xf>
    <xf numFmtId="0" fontId="15" fillId="0" borderId="0" xfId="54" applyFont="1" applyBorder="1" applyAlignment="1" applyProtection="1">
      <alignment horizontal="centerContinuous"/>
      <protection/>
    </xf>
    <xf numFmtId="0" fontId="15" fillId="0" borderId="0" xfId="54" applyFont="1" applyBorder="1" applyAlignment="1" applyProtection="1">
      <alignment/>
      <protection/>
    </xf>
    <xf numFmtId="0" fontId="19" fillId="0" borderId="0" xfId="54" applyFont="1">
      <alignment/>
      <protection/>
    </xf>
    <xf numFmtId="0" fontId="7" fillId="0" borderId="0" xfId="54" applyFont="1">
      <alignment/>
      <protection/>
    </xf>
    <xf numFmtId="0" fontId="7" fillId="0" borderId="0" xfId="54" applyFont="1" applyBorder="1">
      <alignment/>
      <protection/>
    </xf>
    <xf numFmtId="0" fontId="7" fillId="0" borderId="24" xfId="54" applyFont="1" applyBorder="1">
      <alignment/>
      <protection/>
    </xf>
    <xf numFmtId="0" fontId="7" fillId="0" borderId="16" xfId="54" applyFont="1" applyBorder="1">
      <alignment/>
      <protection/>
    </xf>
    <xf numFmtId="0" fontId="7" fillId="0" borderId="17" xfId="54" applyFont="1" applyBorder="1">
      <alignment/>
      <protection/>
    </xf>
    <xf numFmtId="0" fontId="21" fillId="0" borderId="0" xfId="54" applyFont="1" applyBorder="1">
      <alignment/>
      <protection/>
    </xf>
    <xf numFmtId="0" fontId="21" fillId="0" borderId="18" xfId="54" applyFont="1" applyBorder="1">
      <alignment/>
      <protection/>
    </xf>
    <xf numFmtId="0" fontId="11" fillId="0" borderId="0" xfId="54" applyFont="1" applyBorder="1">
      <alignment/>
      <protection/>
    </xf>
    <xf numFmtId="0" fontId="21" fillId="0" borderId="0" xfId="54" applyFont="1">
      <alignment/>
      <protection/>
    </xf>
    <xf numFmtId="0" fontId="21" fillId="0" borderId="10" xfId="54" applyFont="1" applyBorder="1">
      <alignment/>
      <protection/>
    </xf>
    <xf numFmtId="0" fontId="0" fillId="0" borderId="0" xfId="54" applyBorder="1">
      <alignment/>
      <protection/>
    </xf>
    <xf numFmtId="0" fontId="10" fillId="0" borderId="18" xfId="54" applyFont="1" applyBorder="1">
      <alignment/>
      <protection/>
    </xf>
    <xf numFmtId="0" fontId="10" fillId="0" borderId="0" xfId="54" applyFont="1" applyBorder="1">
      <alignment/>
      <protection/>
    </xf>
    <xf numFmtId="0" fontId="53" fillId="0" borderId="0" xfId="54" applyFont="1" applyBorder="1">
      <alignment/>
      <protection/>
    </xf>
    <xf numFmtId="0" fontId="10" fillId="0" borderId="0" xfId="54" applyFont="1">
      <alignment/>
      <protection/>
    </xf>
    <xf numFmtId="0" fontId="10" fillId="0" borderId="10" xfId="54" applyFont="1" applyBorder="1">
      <alignment/>
      <protection/>
    </xf>
    <xf numFmtId="0" fontId="0" fillId="0" borderId="0" xfId="54">
      <alignment/>
      <protection/>
    </xf>
    <xf numFmtId="0" fontId="21" fillId="0" borderId="18" xfId="54" applyFont="1" applyBorder="1" applyAlignment="1">
      <alignment horizontal="centerContinuous"/>
      <protection/>
    </xf>
    <xf numFmtId="0" fontId="11" fillId="0" borderId="0" xfId="54" applyFont="1" applyFill="1" applyBorder="1">
      <alignment/>
      <protection/>
    </xf>
    <xf numFmtId="0" fontId="54" fillId="0" borderId="0" xfId="54" applyFont="1" applyFill="1" applyBorder="1" applyAlignment="1">
      <alignment horizontal="centerContinuous"/>
      <protection/>
    </xf>
    <xf numFmtId="0" fontId="54" fillId="0" borderId="0" xfId="54" applyFont="1" applyFill="1" applyAlignment="1">
      <alignment horizontal="centerContinuous"/>
      <protection/>
    </xf>
    <xf numFmtId="0" fontId="54" fillId="0" borderId="10" xfId="54" applyFont="1" applyFill="1" applyBorder="1" applyAlignment="1">
      <alignment horizontal="centerContinuous"/>
      <protection/>
    </xf>
    <xf numFmtId="0" fontId="54" fillId="0" borderId="0" xfId="54" applyFont="1" applyFill="1" applyBorder="1">
      <alignment/>
      <protection/>
    </xf>
    <xf numFmtId="0" fontId="21" fillId="0" borderId="0" xfId="54" applyFont="1" applyFill="1" applyBorder="1">
      <alignment/>
      <protection/>
    </xf>
    <xf numFmtId="0" fontId="7" fillId="0" borderId="18" xfId="54" applyFont="1" applyBorder="1">
      <alignment/>
      <protection/>
    </xf>
    <xf numFmtId="0" fontId="5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7" fillId="0" borderId="0" xfId="54" applyFont="1" applyFill="1">
      <alignment/>
      <protection/>
    </xf>
    <xf numFmtId="0" fontId="7" fillId="0" borderId="10" xfId="54" applyFont="1" applyFill="1" applyBorder="1">
      <alignment/>
      <protection/>
    </xf>
    <xf numFmtId="0" fontId="55" fillId="0" borderId="0" xfId="54" applyFont="1" applyFill="1" applyBorder="1">
      <alignment/>
      <protection/>
    </xf>
    <xf numFmtId="0" fontId="24" fillId="0" borderId="0" xfId="54" applyFont="1" applyBorder="1">
      <alignment/>
      <protection/>
    </xf>
    <xf numFmtId="0" fontId="25" fillId="0" borderId="18" xfId="54" applyFont="1" applyBorder="1" applyAlignment="1">
      <alignment horizontal="centerContinuous"/>
      <protection/>
    </xf>
    <xf numFmtId="0" fontId="25" fillId="0" borderId="0" xfId="54" applyFont="1" applyBorder="1" applyAlignment="1">
      <alignment horizontal="centerContinuous"/>
      <protection/>
    </xf>
    <xf numFmtId="0" fontId="25" fillId="0" borderId="0" xfId="54" applyFont="1" applyFill="1" applyBorder="1" applyAlignment="1">
      <alignment horizontal="centerContinuous"/>
      <protection/>
    </xf>
    <xf numFmtId="0" fontId="25" fillId="0" borderId="10" xfId="54" applyFont="1" applyFill="1" applyBorder="1" applyAlignment="1">
      <alignment horizontal="centerContinuous"/>
      <protection/>
    </xf>
    <xf numFmtId="0" fontId="24" fillId="0" borderId="0" xfId="54" applyFont="1" applyFill="1" applyBorder="1">
      <alignment/>
      <protection/>
    </xf>
    <xf numFmtId="0" fontId="24" fillId="0" borderId="0" xfId="54" applyFont="1">
      <alignment/>
      <protection/>
    </xf>
    <xf numFmtId="0" fontId="10" fillId="0" borderId="0" xfId="54" applyFont="1" applyFill="1" applyBorder="1">
      <alignment/>
      <protection/>
    </xf>
    <xf numFmtId="0" fontId="56" fillId="0" borderId="0" xfId="54" applyFont="1" applyFill="1" applyBorder="1">
      <alignment/>
      <protection/>
    </xf>
    <xf numFmtId="0" fontId="10" fillId="0" borderId="1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0" fontId="70" fillId="0" borderId="0" xfId="54" applyFont="1" applyFill="1" applyBorder="1">
      <alignment/>
      <protection/>
    </xf>
    <xf numFmtId="168" fontId="10" fillId="0" borderId="0" xfId="54" applyNumberFormat="1" applyFont="1" applyBorder="1" applyAlignment="1" applyProtection="1">
      <alignment horizontal="left"/>
      <protection/>
    </xf>
    <xf numFmtId="0" fontId="53" fillId="0" borderId="0" xfId="54" applyFont="1" applyFill="1" applyBorder="1">
      <alignment/>
      <protection/>
    </xf>
    <xf numFmtId="5" fontId="10" fillId="0" borderId="0" xfId="54" applyNumberFormat="1" applyFont="1" applyFill="1" applyBorder="1">
      <alignment/>
      <protection/>
    </xf>
    <xf numFmtId="0" fontId="13" fillId="0" borderId="0" xfId="54" applyFont="1" applyFill="1" applyBorder="1">
      <alignment/>
      <protection/>
    </xf>
    <xf numFmtId="169" fontId="10" fillId="0" borderId="0" xfId="54" applyNumberFormat="1" applyFont="1" applyBorder="1" applyAlignment="1">
      <alignment horizontal="center"/>
      <protection/>
    </xf>
    <xf numFmtId="167" fontId="10" fillId="0" borderId="0" xfId="54" applyNumberFormat="1" applyFont="1" applyBorder="1" applyAlignment="1">
      <alignment horizontal="center"/>
      <protection/>
    </xf>
    <xf numFmtId="0" fontId="10" fillId="0" borderId="0" xfId="54" applyFont="1" applyBorder="1" applyAlignment="1">
      <alignment horizontal="right"/>
      <protection/>
    </xf>
    <xf numFmtId="0" fontId="10" fillId="0" borderId="0" xfId="54" applyFont="1" applyBorder="1" applyAlignment="1">
      <alignment horizontal="left"/>
      <protection/>
    </xf>
    <xf numFmtId="0" fontId="6" fillId="0" borderId="0" xfId="54" applyFont="1" applyFill="1" applyBorder="1">
      <alignment/>
      <protection/>
    </xf>
    <xf numFmtId="0" fontId="46" fillId="0" borderId="0" xfId="54" applyFont="1" applyBorder="1" applyAlignment="1" applyProtection="1">
      <alignment horizontal="left"/>
      <protection/>
    </xf>
    <xf numFmtId="171" fontId="46" fillId="0" borderId="0" xfId="54" applyNumberFormat="1" applyFont="1" applyBorder="1" applyAlignment="1" applyProtection="1">
      <alignment horizontal="centerContinuous"/>
      <protection/>
    </xf>
    <xf numFmtId="0" fontId="69" fillId="0" borderId="0" xfId="54" applyFont="1" applyBorder="1" applyAlignment="1">
      <alignment horizontal="centerContinuous"/>
      <protection/>
    </xf>
    <xf numFmtId="0" fontId="30" fillId="0" borderId="0" xfId="54" applyFont="1" applyFill="1" applyBorder="1">
      <alignment/>
      <protection/>
    </xf>
    <xf numFmtId="0" fontId="10" fillId="0" borderId="51" xfId="54" applyFont="1" applyFill="1" applyBorder="1">
      <alignment/>
      <protection/>
    </xf>
    <xf numFmtId="0" fontId="10" fillId="0" borderId="52" xfId="54" applyFont="1" applyBorder="1" applyAlignment="1" applyProtection="1">
      <alignment horizontal="right"/>
      <protection/>
    </xf>
    <xf numFmtId="174" fontId="10" fillId="0" borderId="0" xfId="54" applyNumberFormat="1" applyFont="1" applyBorder="1" applyAlignment="1">
      <alignment horizontal="center"/>
      <protection/>
    </xf>
    <xf numFmtId="0" fontId="46" fillId="0" borderId="0" xfId="54" applyFont="1" applyBorder="1">
      <alignment/>
      <protection/>
    </xf>
    <xf numFmtId="171" fontId="46" fillId="0" borderId="0" xfId="54" applyNumberFormat="1" applyFont="1" applyBorder="1" applyAlignment="1">
      <alignment horizontal="centerContinuous"/>
      <protection/>
    </xf>
    <xf numFmtId="10" fontId="30" fillId="0" borderId="0" xfId="54" applyNumberFormat="1" applyFont="1" applyFill="1" applyBorder="1">
      <alignment/>
      <protection/>
    </xf>
    <xf numFmtId="0" fontId="0" fillId="0" borderId="52" xfId="54" applyBorder="1" applyAlignment="1">
      <alignment horizontal="center" vertical="center"/>
      <protection/>
    </xf>
    <xf numFmtId="174" fontId="0" fillId="0" borderId="0" xfId="54" applyNumberFormat="1" applyBorder="1" applyAlignment="1">
      <alignment horizontal="center" vertical="center"/>
      <protection/>
    </xf>
    <xf numFmtId="171" fontId="10" fillId="0" borderId="0" xfId="54" applyNumberFormat="1" applyFont="1" applyBorder="1" applyAlignment="1">
      <alignment horizontal="center"/>
      <protection/>
    </xf>
    <xf numFmtId="0" fontId="46" fillId="0" borderId="0" xfId="54" applyFont="1" applyBorder="1" applyAlignment="1">
      <alignment horizontal="left"/>
      <protection/>
    </xf>
    <xf numFmtId="0" fontId="10" fillId="0" borderId="0" xfId="54" applyFont="1" applyBorder="1" applyAlignment="1" applyProtection="1">
      <alignment horizontal="center"/>
      <protection/>
    </xf>
    <xf numFmtId="167" fontId="10" fillId="0" borderId="0" xfId="54" applyNumberFormat="1" applyFont="1" applyBorder="1">
      <alignment/>
      <protection/>
    </xf>
    <xf numFmtId="0" fontId="10" fillId="0" borderId="53" xfId="54" applyFont="1" applyBorder="1">
      <alignment/>
      <protection/>
    </xf>
    <xf numFmtId="0" fontId="10" fillId="0" borderId="0" xfId="54" applyFont="1" applyBorder="1" applyAlignment="1">
      <alignment horizontal="center"/>
      <protection/>
    </xf>
    <xf numFmtId="0" fontId="26" fillId="0" borderId="19" xfId="54" applyFont="1" applyBorder="1" applyAlignment="1" applyProtection="1">
      <alignment horizontal="center"/>
      <protection/>
    </xf>
    <xf numFmtId="7" fontId="26" fillId="0" borderId="20" xfId="54" applyNumberFormat="1" applyFont="1" applyBorder="1" applyAlignment="1">
      <alignment horizontal="center"/>
      <protection/>
    </xf>
    <xf numFmtId="0" fontId="53" fillId="0" borderId="0" xfId="54" applyFont="1" applyBorder="1" applyAlignment="1" applyProtection="1">
      <alignment horizontal="left"/>
      <protection/>
    </xf>
    <xf numFmtId="168" fontId="10" fillId="0" borderId="0" xfId="54" applyNumberFormat="1" applyFont="1" applyBorder="1" applyAlignment="1" applyProtection="1">
      <alignment horizontal="center"/>
      <protection/>
    </xf>
    <xf numFmtId="168" fontId="10" fillId="0" borderId="0" xfId="54" applyNumberFormat="1" applyFont="1" applyBorder="1" applyAlignment="1" applyProtection="1" quotePrefix="1">
      <alignment horizontal="center"/>
      <protection/>
    </xf>
    <xf numFmtId="2" fontId="58" fillId="0" borderId="0" xfId="54" applyNumberFormat="1" applyFont="1" applyBorder="1" applyAlignment="1">
      <alignment horizontal="center"/>
      <protection/>
    </xf>
    <xf numFmtId="2" fontId="10" fillId="0" borderId="10" xfId="54" applyNumberFormat="1" applyFont="1" applyBorder="1" applyAlignment="1">
      <alignment horizontal="center"/>
      <protection/>
    </xf>
    <xf numFmtId="2" fontId="10" fillId="0" borderId="0" xfId="54" applyNumberFormat="1" applyFont="1" applyBorder="1" applyAlignment="1" applyProtection="1">
      <alignment horizontal="center"/>
      <protection/>
    </xf>
    <xf numFmtId="0" fontId="10" fillId="0" borderId="54" xfId="54" applyFont="1" applyBorder="1" applyAlignment="1" applyProtection="1">
      <alignment horizontal="center"/>
      <protection/>
    </xf>
    <xf numFmtId="0" fontId="10" fillId="0" borderId="55" xfId="54" applyFont="1" applyBorder="1" applyAlignment="1" applyProtection="1">
      <alignment horizontal="center"/>
      <protection/>
    </xf>
    <xf numFmtId="2" fontId="10" fillId="0" borderId="55" xfId="54" applyNumberFormat="1" applyFont="1" applyBorder="1" applyAlignment="1" applyProtection="1">
      <alignment horizontal="center"/>
      <protection/>
    </xf>
    <xf numFmtId="168" fontId="10" fillId="0" borderId="55" xfId="54" applyNumberFormat="1" applyFont="1" applyBorder="1" applyAlignment="1" applyProtection="1">
      <alignment horizontal="center"/>
      <protection/>
    </xf>
    <xf numFmtId="168" fontId="60" fillId="0" borderId="55" xfId="54" applyNumberFormat="1" applyFont="1" applyBorder="1" applyAlignment="1" applyProtection="1" quotePrefix="1">
      <alignment horizontal="centerContinuous"/>
      <protection/>
    </xf>
    <xf numFmtId="0" fontId="0" fillId="0" borderId="55" xfId="54" applyBorder="1" applyAlignment="1">
      <alignment horizontal="centerContinuous"/>
      <protection/>
    </xf>
    <xf numFmtId="0" fontId="0" fillId="0" borderId="55" xfId="54" applyBorder="1">
      <alignment/>
      <protection/>
    </xf>
    <xf numFmtId="7" fontId="53" fillId="0" borderId="40" xfId="54" applyNumberFormat="1" applyFont="1" applyBorder="1" applyAlignment="1">
      <alignment horizontal="center"/>
      <protection/>
    </xf>
    <xf numFmtId="0" fontId="10" fillId="0" borderId="56" xfId="54" applyFont="1" applyBorder="1" applyAlignment="1" applyProtection="1">
      <alignment horizontal="center"/>
      <protection/>
    </xf>
    <xf numFmtId="0" fontId="10" fillId="0" borderId="57" xfId="54" applyFont="1" applyBorder="1" applyAlignment="1" applyProtection="1">
      <alignment horizontal="center"/>
      <protection/>
    </xf>
    <xf numFmtId="2" fontId="10" fillId="0" borderId="57" xfId="54" applyNumberFormat="1" applyFont="1" applyBorder="1" applyAlignment="1" applyProtection="1">
      <alignment horizontal="center"/>
      <protection/>
    </xf>
    <xf numFmtId="168" fontId="10" fillId="0" borderId="57" xfId="54" applyNumberFormat="1" applyFont="1" applyBorder="1" applyAlignment="1" applyProtection="1">
      <alignment horizontal="center"/>
      <protection/>
    </xf>
    <xf numFmtId="7" fontId="10" fillId="0" borderId="57" xfId="54" applyNumberFormat="1" applyFont="1" applyBorder="1" applyAlignment="1" applyProtection="1">
      <alignment horizontal="center"/>
      <protection/>
    </xf>
    <xf numFmtId="7" fontId="10" fillId="0" borderId="57" xfId="54" applyNumberFormat="1" applyFont="1" applyBorder="1" applyAlignment="1" applyProtection="1">
      <alignment horizontal="centerContinuous"/>
      <protection/>
    </xf>
    <xf numFmtId="0" fontId="10" fillId="0" borderId="57" xfId="54" applyFont="1" applyBorder="1" applyAlignment="1" applyProtection="1">
      <alignment horizontal="centerContinuous"/>
      <protection/>
    </xf>
    <xf numFmtId="0" fontId="10" fillId="0" borderId="57" xfId="54" applyFont="1" applyBorder="1" applyAlignment="1" applyProtection="1">
      <alignment horizontal="right"/>
      <protection/>
    </xf>
    <xf numFmtId="7" fontId="10" fillId="0" borderId="58" xfId="54" applyNumberFormat="1" applyFont="1" applyBorder="1" applyAlignment="1" applyProtection="1">
      <alignment horizontal="center"/>
      <protection/>
    </xf>
    <xf numFmtId="0" fontId="10" fillId="0" borderId="59" xfId="54" applyFont="1" applyBorder="1" applyAlignment="1" applyProtection="1">
      <alignment horizontal="center"/>
      <protection/>
    </xf>
    <xf numFmtId="0" fontId="10" fillId="0" borderId="60" xfId="54" applyFont="1" applyBorder="1" applyAlignment="1" applyProtection="1">
      <alignment horizontal="center"/>
      <protection/>
    </xf>
    <xf numFmtId="2" fontId="10" fillId="0" borderId="60" xfId="54" applyNumberFormat="1" applyFont="1" applyBorder="1" applyAlignment="1" applyProtection="1">
      <alignment horizontal="center"/>
      <protection/>
    </xf>
    <xf numFmtId="168" fontId="10" fillId="0" borderId="60" xfId="54" applyNumberFormat="1" applyFont="1" applyBorder="1" applyAlignment="1" applyProtection="1">
      <alignment horizontal="center"/>
      <protection/>
    </xf>
    <xf numFmtId="7" fontId="10" fillId="0" borderId="60" xfId="54" applyNumberFormat="1" applyFont="1" applyBorder="1" applyAlignment="1" applyProtection="1">
      <alignment horizontal="center"/>
      <protection/>
    </xf>
    <xf numFmtId="7" fontId="10" fillId="0" borderId="60" xfId="54" applyNumberFormat="1" applyFont="1" applyBorder="1" applyAlignment="1" applyProtection="1">
      <alignment horizontal="centerContinuous"/>
      <protection/>
    </xf>
    <xf numFmtId="0" fontId="10" fillId="0" borderId="60" xfId="54" applyFont="1" applyBorder="1" applyAlignment="1" applyProtection="1">
      <alignment horizontal="centerContinuous"/>
      <protection/>
    </xf>
    <xf numFmtId="0" fontId="10" fillId="0" borderId="60" xfId="54" applyFont="1" applyBorder="1" applyAlignment="1" applyProtection="1">
      <alignment horizontal="right"/>
      <protection/>
    </xf>
    <xf numFmtId="7" fontId="10" fillId="0" borderId="41" xfId="54" applyNumberFormat="1" applyFont="1" applyBorder="1" applyAlignment="1" applyProtection="1">
      <alignment horizontal="center"/>
      <protection/>
    </xf>
    <xf numFmtId="2" fontId="10" fillId="0" borderId="0" xfId="54" applyNumberFormat="1" applyFont="1" applyBorder="1" applyAlignment="1" applyProtection="1">
      <alignment horizontal="right"/>
      <protection/>
    </xf>
    <xf numFmtId="5" fontId="10" fillId="0" borderId="0" xfId="54" applyNumberFormat="1" applyFont="1" applyBorder="1" applyAlignment="1" applyProtection="1">
      <alignment horizontal="center"/>
      <protection/>
    </xf>
    <xf numFmtId="0" fontId="10" fillId="0" borderId="0" xfId="54" applyFont="1" applyBorder="1" applyAlignment="1" applyProtection="1">
      <alignment horizontal="right"/>
      <protection/>
    </xf>
    <xf numFmtId="7" fontId="10" fillId="0" borderId="40" xfId="54" applyNumberFormat="1" applyFont="1" applyBorder="1" applyAlignment="1" applyProtection="1">
      <alignment horizontal="center"/>
      <protection/>
    </xf>
    <xf numFmtId="0" fontId="0" fillId="0" borderId="0" xfId="54" applyFont="1" applyBorder="1">
      <alignment/>
      <protection/>
    </xf>
    <xf numFmtId="7" fontId="10" fillId="0" borderId="0" xfId="54" applyNumberFormat="1" applyFont="1" applyBorder="1" applyAlignment="1">
      <alignment horizontal="right"/>
      <protection/>
    </xf>
    <xf numFmtId="2" fontId="10" fillId="0" borderId="0" xfId="54" applyNumberFormat="1" applyFont="1" applyBorder="1" applyAlignment="1">
      <alignment horizontal="center"/>
      <protection/>
    </xf>
    <xf numFmtId="5" fontId="26" fillId="0" borderId="19" xfId="54" applyNumberFormat="1" applyFont="1" applyBorder="1" applyAlignment="1" applyProtection="1">
      <alignment horizontal="center"/>
      <protection/>
    </xf>
    <xf numFmtId="7" fontId="26" fillId="0" borderId="20" xfId="54" applyNumberFormat="1" applyFont="1" applyBorder="1" applyAlignment="1" applyProtection="1">
      <alignment horizontal="center"/>
      <protection/>
    </xf>
    <xf numFmtId="0" fontId="13" fillId="0" borderId="0" xfId="54" applyFont="1" applyBorder="1" applyAlignment="1">
      <alignment horizontal="left"/>
      <protection/>
    </xf>
    <xf numFmtId="168" fontId="10" fillId="0" borderId="0" xfId="54" applyNumberFormat="1" applyFont="1" applyBorder="1" applyAlignment="1" applyProtection="1">
      <alignment horizontal="right"/>
      <protection/>
    </xf>
    <xf numFmtId="1" fontId="10" fillId="0" borderId="0" xfId="54" applyNumberFormat="1" applyFont="1" applyBorder="1" applyAlignment="1" applyProtection="1">
      <alignment horizontal="right"/>
      <protection/>
    </xf>
    <xf numFmtId="0" fontId="26" fillId="0" borderId="19" xfId="54" applyFont="1" applyBorder="1" applyAlignment="1">
      <alignment horizontal="center"/>
      <protection/>
    </xf>
    <xf numFmtId="7" fontId="59" fillId="0" borderId="20" xfId="54" applyNumberFormat="1" applyFont="1" applyFill="1" applyBorder="1" applyAlignment="1">
      <alignment horizontal="center"/>
      <protection/>
    </xf>
    <xf numFmtId="0" fontId="71" fillId="0" borderId="0" xfId="54" applyFont="1" applyBorder="1">
      <alignment/>
      <protection/>
    </xf>
    <xf numFmtId="0" fontId="10" fillId="0" borderId="0" xfId="54" applyFont="1" applyFill="1" applyBorder="1" applyAlignment="1">
      <alignment horizontal="center"/>
      <protection/>
    </xf>
    <xf numFmtId="7" fontId="10" fillId="0" borderId="0" xfId="54" applyNumberFormat="1" applyFont="1" applyBorder="1" applyAlignment="1" applyProtection="1">
      <alignment horizontal="center"/>
      <protection/>
    </xf>
    <xf numFmtId="2" fontId="10" fillId="0" borderId="0" xfId="54" applyNumberFormat="1" applyFont="1" applyFill="1" applyBorder="1">
      <alignment/>
      <protection/>
    </xf>
    <xf numFmtId="0" fontId="26" fillId="0" borderId="19" xfId="54" applyFont="1" applyFill="1" applyBorder="1" applyAlignment="1">
      <alignment horizontal="center"/>
      <protection/>
    </xf>
    <xf numFmtId="8" fontId="26" fillId="0" borderId="20" xfId="54" applyNumberFormat="1" applyFont="1" applyBorder="1" applyAlignment="1" applyProtection="1">
      <alignment horizontal="center"/>
      <protection/>
    </xf>
    <xf numFmtId="0" fontId="10" fillId="0" borderId="21" xfId="54" applyFont="1" applyBorder="1">
      <alignment/>
      <protection/>
    </xf>
    <xf numFmtId="0" fontId="10" fillId="0" borderId="22" xfId="54" applyFont="1" applyBorder="1">
      <alignment/>
      <protection/>
    </xf>
    <xf numFmtId="0" fontId="10" fillId="0" borderId="23" xfId="54" applyFont="1" applyBorder="1">
      <alignment/>
      <protection/>
    </xf>
    <xf numFmtId="223" fontId="0" fillId="0" borderId="61" xfId="54" applyNumberFormat="1" applyFont="1" applyBorder="1" applyAlignment="1">
      <alignment horizontal="centerContinuous"/>
      <protection/>
    </xf>
    <xf numFmtId="0" fontId="72" fillId="0" borderId="0" xfId="0" applyFont="1" applyBorder="1" applyAlignment="1">
      <alignment horizontal="left"/>
    </xf>
    <xf numFmtId="0" fontId="73" fillId="0" borderId="0" xfId="0" applyFont="1" applyAlignment="1">
      <alignment horizontal="right" vertical="top"/>
    </xf>
    <xf numFmtId="0" fontId="74" fillId="0" borderId="0" xfId="0" applyFont="1" applyAlignment="1">
      <alignment/>
    </xf>
    <xf numFmtId="14" fontId="75" fillId="0" borderId="0" xfId="0" applyNumberFormat="1" applyFont="1" applyAlignment="1">
      <alignment horizontal="centerContinuous"/>
    </xf>
    <xf numFmtId="0" fontId="74" fillId="0" borderId="0" xfId="0" applyFont="1" applyAlignment="1">
      <alignment horizontal="centerContinuous"/>
    </xf>
    <xf numFmtId="0" fontId="76" fillId="0" borderId="0" xfId="0" applyFont="1" applyBorder="1" applyAlignment="1">
      <alignment horizontal="centerContinuous"/>
    </xf>
    <xf numFmtId="0" fontId="77" fillId="0" borderId="0" xfId="0" applyFont="1" applyBorder="1" applyAlignment="1" applyProtection="1">
      <alignment horizontal="left"/>
      <protection/>
    </xf>
    <xf numFmtId="0" fontId="78" fillId="0" borderId="0" xfId="0" applyFont="1" applyBorder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78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79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80" fillId="0" borderId="18" xfId="0" applyFont="1" applyBorder="1" applyAlignment="1">
      <alignment horizontal="centerContinuous"/>
    </xf>
    <xf numFmtId="0" fontId="80" fillId="0" borderId="0" xfId="0" applyFont="1" applyBorder="1" applyAlignment="1">
      <alignment horizontal="centerContinuous"/>
    </xf>
    <xf numFmtId="0" fontId="7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53" xfId="0" applyBorder="1" applyAlignment="1">
      <alignment/>
    </xf>
    <xf numFmtId="0" fontId="79" fillId="0" borderId="0" xfId="0" applyFont="1" applyBorder="1" applyAlignment="1" applyProtection="1">
      <alignment horizontal="center"/>
      <protection/>
    </xf>
    <xf numFmtId="0" fontId="79" fillId="0" borderId="0" xfId="0" applyFont="1" applyBorder="1" applyAlignment="1">
      <alignment/>
    </xf>
    <xf numFmtId="0" fontId="0" fillId="0" borderId="0" xfId="0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29" fillId="0" borderId="62" xfId="0" applyFont="1" applyBorder="1" applyAlignment="1" applyProtection="1">
      <alignment horizontal="centerContinuous" vertical="center"/>
      <protection/>
    </xf>
    <xf numFmtId="0" fontId="29" fillId="0" borderId="62" xfId="0" applyFont="1" applyBorder="1" applyAlignment="1" applyProtection="1">
      <alignment horizontal="centerContinuous" vertical="center" wrapText="1"/>
      <protection/>
    </xf>
    <xf numFmtId="168" fontId="29" fillId="0" borderId="26" xfId="0" applyNumberFormat="1" applyFont="1" applyBorder="1" applyAlignment="1" applyProtection="1">
      <alignment horizontal="centerContinuous" vertical="center" wrapText="1"/>
      <protection/>
    </xf>
    <xf numFmtId="17" fontId="29" fillId="0" borderId="2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81" fillId="0" borderId="0" xfId="0" applyFont="1" applyAlignment="1">
      <alignment vertical="center"/>
    </xf>
    <xf numFmtId="0" fontId="81" fillId="0" borderId="18" xfId="0" applyFont="1" applyBorder="1" applyAlignment="1">
      <alignment vertical="center"/>
    </xf>
    <xf numFmtId="0" fontId="81" fillId="0" borderId="48" xfId="0" applyFont="1" applyBorder="1" applyAlignment="1">
      <alignment vertical="center"/>
    </xf>
    <xf numFmtId="0" fontId="81" fillId="0" borderId="63" xfId="0" applyFont="1" applyBorder="1" applyAlignment="1">
      <alignment vertical="center"/>
    </xf>
    <xf numFmtId="0" fontId="81" fillId="0" borderId="64" xfId="0" applyFont="1" applyBorder="1" applyAlignment="1">
      <alignment vertical="center"/>
    </xf>
    <xf numFmtId="0" fontId="81" fillId="0" borderId="36" xfId="0" applyNumberFormat="1" applyFont="1" applyFill="1" applyBorder="1" applyAlignment="1">
      <alignment horizontal="center" vertical="center"/>
    </xf>
    <xf numFmtId="0" fontId="81" fillId="0" borderId="10" xfId="0" applyFont="1" applyBorder="1" applyAlignment="1">
      <alignment vertical="center"/>
    </xf>
    <xf numFmtId="0" fontId="81" fillId="1" borderId="48" xfId="0" applyFont="1" applyFill="1" applyBorder="1" applyAlignment="1">
      <alignment horizontal="center" vertical="center"/>
    </xf>
    <xf numFmtId="0" fontId="81" fillId="0" borderId="12" xfId="0" applyNumberFormat="1" applyFont="1" applyFill="1" applyBorder="1" applyAlignment="1">
      <alignment horizontal="center" vertical="center"/>
    </xf>
    <xf numFmtId="0" fontId="81" fillId="0" borderId="29" xfId="0" applyFont="1" applyBorder="1" applyAlignment="1">
      <alignment vertical="center"/>
    </xf>
    <xf numFmtId="0" fontId="81" fillId="1" borderId="11" xfId="0" applyFont="1" applyFill="1" applyBorder="1" applyAlignment="1">
      <alignment horizontal="center" vertical="center"/>
    </xf>
    <xf numFmtId="0" fontId="81" fillId="0" borderId="65" xfId="0" applyFont="1" applyFill="1" applyBorder="1" applyAlignment="1">
      <alignment horizontal="center" vertical="center"/>
    </xf>
    <xf numFmtId="0" fontId="81" fillId="0" borderId="66" xfId="0" applyFont="1" applyFill="1" applyBorder="1" applyAlignment="1" applyProtection="1">
      <alignment horizontal="center" vertical="center"/>
      <protection/>
    </xf>
    <xf numFmtId="0" fontId="81" fillId="0" borderId="38" xfId="0" applyFont="1" applyFill="1" applyBorder="1" applyAlignment="1" applyProtection="1">
      <alignment horizontal="center" vertical="center"/>
      <protection/>
    </xf>
    <xf numFmtId="2" fontId="8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5" fillId="0" borderId="28" xfId="0" applyFont="1" applyBorder="1" applyAlignment="1" applyProtection="1">
      <alignment horizontal="right"/>
      <protection/>
    </xf>
    <xf numFmtId="2" fontId="13" fillId="0" borderId="26" xfId="0" applyNumberFormat="1" applyFont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/>
    </xf>
    <xf numFmtId="0" fontId="0" fillId="0" borderId="29" xfId="0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right"/>
    </xf>
    <xf numFmtId="1" fontId="7" fillId="0" borderId="13" xfId="0" applyNumberFormat="1" applyFont="1" applyBorder="1" applyAlignment="1" applyProtection="1">
      <alignment horizontal="center"/>
      <protection/>
    </xf>
    <xf numFmtId="0" fontId="0" fillId="0" borderId="26" xfId="0" applyBorder="1" applyAlignment="1">
      <alignment/>
    </xf>
    <xf numFmtId="0" fontId="5" fillId="0" borderId="0" xfId="0" applyFont="1" applyBorder="1" applyAlignment="1">
      <alignment horizontal="right"/>
    </xf>
    <xf numFmtId="2" fontId="81" fillId="0" borderId="26" xfId="0" applyNumberFormat="1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/>
    </xf>
    <xf numFmtId="168" fontId="5" fillId="0" borderId="0" xfId="0" applyNumberFormat="1" applyFont="1" applyBorder="1" applyAlignment="1" applyProtection="1">
      <alignment horizontal="right"/>
      <protection/>
    </xf>
    <xf numFmtId="2" fontId="82" fillId="0" borderId="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83" fillId="0" borderId="18" xfId="0" applyFont="1" applyBorder="1" applyAlignment="1">
      <alignment/>
    </xf>
    <xf numFmtId="1" fontId="81" fillId="0" borderId="61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2" fontId="84" fillId="0" borderId="27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0" fontId="0" fillId="0" borderId="20" xfId="0" applyBorder="1" applyAlignment="1">
      <alignment/>
    </xf>
    <xf numFmtId="0" fontId="83" fillId="0" borderId="21" xfId="0" applyFont="1" applyBorder="1" applyAlignment="1">
      <alignment/>
    </xf>
    <xf numFmtId="0" fontId="5" fillId="0" borderId="22" xfId="0" applyFont="1" applyBorder="1" applyAlignment="1" applyProtection="1">
      <alignment horizontal="left"/>
      <protection/>
    </xf>
    <xf numFmtId="0" fontId="5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3" fillId="0" borderId="0" xfId="0" applyFont="1" applyBorder="1" applyAlignment="1" applyProtection="1">
      <alignment horizontal="left"/>
      <protection/>
    </xf>
    <xf numFmtId="168" fontId="79" fillId="0" borderId="0" xfId="0" applyNumberFormat="1" applyFont="1" applyBorder="1" applyAlignment="1" applyProtection="1">
      <alignment horizontal="left"/>
      <protection/>
    </xf>
    <xf numFmtId="0" fontId="85" fillId="0" borderId="0" xfId="0" applyFont="1" applyAlignment="1">
      <alignment/>
    </xf>
    <xf numFmtId="0" fontId="0" fillId="0" borderId="0" xfId="0" applyAlignment="1">
      <alignment/>
    </xf>
    <xf numFmtId="0" fontId="85" fillId="0" borderId="0" xfId="0" applyFont="1" applyAlignment="1">
      <alignment/>
    </xf>
    <xf numFmtId="0" fontId="79" fillId="0" borderId="0" xfId="0" applyFont="1" applyBorder="1" applyAlignment="1" applyProtection="1">
      <alignment horizontal="left"/>
      <protection/>
    </xf>
    <xf numFmtId="1" fontId="79" fillId="0" borderId="0" xfId="0" applyNumberFormat="1" applyFont="1" applyBorder="1" applyAlignment="1" applyProtection="1">
      <alignment horizontal="center"/>
      <protection/>
    </xf>
    <xf numFmtId="0" fontId="79" fillId="0" borderId="0" xfId="0" applyFont="1" applyBorder="1" applyAlignment="1" applyProtection="1">
      <alignment horizontal="fill"/>
      <protection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Comahue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371475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810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371475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810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371475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810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381000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381000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371475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0</xdr:col>
      <xdr:colOff>1304925</xdr:colOff>
      <xdr:row>2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048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771775"/>
          <a:ext cx="27717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28575</xdr:rowOff>
    </xdr:from>
    <xdr:to>
      <xdr:col>0</xdr:col>
      <xdr:colOff>1743075</xdr:colOff>
      <xdr:row>1</xdr:row>
      <xdr:rowOff>352425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171575" y="28575"/>
          <a:ext cx="5715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SNOA\TBAS2NO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Gráfico1"/>
      <sheetName val="FUERZA MAYOR"/>
    </sheetNames>
    <sheetDataSet>
      <sheetData sheetId="0">
        <row r="17">
          <cell r="C17">
            <v>1</v>
          </cell>
          <cell r="D17" t="str">
            <v>AGUA BLANCA - VILLA QUINTEROS</v>
          </cell>
          <cell r="E17">
            <v>132</v>
          </cell>
          <cell r="F17">
            <v>23.8</v>
          </cell>
          <cell r="IC17">
            <v>1</v>
          </cell>
          <cell r="IG17">
            <v>1</v>
          </cell>
        </row>
        <row r="18">
          <cell r="C18">
            <v>2</v>
          </cell>
          <cell r="D18" t="str">
            <v>AGUILARES - ESCABA</v>
          </cell>
          <cell r="E18">
            <v>132</v>
          </cell>
          <cell r="F18">
            <v>27.6</v>
          </cell>
          <cell r="IC18">
            <v>2</v>
          </cell>
        </row>
        <row r="19">
          <cell r="C19">
            <v>3</v>
          </cell>
          <cell r="D19" t="str">
            <v>CABRA CORRAL - SALTA SUR</v>
          </cell>
          <cell r="E19">
            <v>132</v>
          </cell>
          <cell r="F19">
            <v>62</v>
          </cell>
          <cell r="IB19" t="str">
            <v>XXXX</v>
          </cell>
          <cell r="IC19" t="str">
            <v>XXXX</v>
          </cell>
          <cell r="ID19" t="str">
            <v>XXXX</v>
          </cell>
          <cell r="IE19" t="str">
            <v>XXXX</v>
          </cell>
          <cell r="IF19" t="str">
            <v>XXXX</v>
          </cell>
          <cell r="IG19" t="str">
            <v>XXXX</v>
          </cell>
          <cell r="IH19" t="str">
            <v>XXXX</v>
          </cell>
          <cell r="II19" t="str">
            <v>XXXX</v>
          </cell>
          <cell r="IJ19" t="str">
            <v>XXXX</v>
          </cell>
          <cell r="IK19" t="str">
            <v>XXXX</v>
          </cell>
          <cell r="IL19" t="str">
            <v>XXXX</v>
          </cell>
          <cell r="IM19" t="str">
            <v>XXXX</v>
          </cell>
        </row>
        <row r="20">
          <cell r="C20">
            <v>4</v>
          </cell>
          <cell r="D20" t="str">
            <v>CEVIL POZO - TUCUMAN NORTE</v>
          </cell>
          <cell r="E20">
            <v>132</v>
          </cell>
          <cell r="F20">
            <v>14.5</v>
          </cell>
          <cell r="ID20">
            <v>1</v>
          </cell>
        </row>
        <row r="21">
          <cell r="C21">
            <v>5</v>
          </cell>
          <cell r="D21" t="str">
            <v>CAMPO SANTO - MINETTI</v>
          </cell>
          <cell r="E21">
            <v>132</v>
          </cell>
          <cell r="F21">
            <v>29.9</v>
          </cell>
          <cell r="IB21" t="str">
            <v>XXXX</v>
          </cell>
          <cell r="IC21" t="str">
            <v>XXXX</v>
          </cell>
          <cell r="ID21" t="str">
            <v>XXXX</v>
          </cell>
          <cell r="IE21" t="str">
            <v>XXXX</v>
          </cell>
          <cell r="IF21" t="str">
            <v>XXXX</v>
          </cell>
          <cell r="IG21" t="str">
            <v>XXXX</v>
          </cell>
          <cell r="IH21" t="str">
            <v>XXXX</v>
          </cell>
          <cell r="II21" t="str">
            <v>XXXX</v>
          </cell>
          <cell r="IJ21" t="str">
            <v>XXXX</v>
          </cell>
          <cell r="IK21" t="str">
            <v>XXXX</v>
          </cell>
          <cell r="IL21" t="str">
            <v>XXXX</v>
          </cell>
          <cell r="IM21" t="str">
            <v>XXXX</v>
          </cell>
        </row>
        <row r="22">
          <cell r="C22">
            <v>6</v>
          </cell>
          <cell r="D22" t="str">
            <v>ESCABA - HUACRA</v>
          </cell>
          <cell r="E22">
            <v>132</v>
          </cell>
          <cell r="F22">
            <v>49.9</v>
          </cell>
          <cell r="IB22" t="str">
            <v>XXXX</v>
          </cell>
          <cell r="IC22" t="str">
            <v>XXXX</v>
          </cell>
          <cell r="ID22" t="str">
            <v>XXXX</v>
          </cell>
          <cell r="IE22" t="str">
            <v>XXXX</v>
          </cell>
          <cell r="IF22" t="str">
            <v>XXXX</v>
          </cell>
          <cell r="IG22" t="str">
            <v>XXXX</v>
          </cell>
          <cell r="IH22" t="str">
            <v>XXXX</v>
          </cell>
          <cell r="II22" t="str">
            <v>XXXX</v>
          </cell>
          <cell r="IJ22" t="str">
            <v>XXXX</v>
          </cell>
          <cell r="IK22" t="str">
            <v>XXXX</v>
          </cell>
          <cell r="IL22" t="str">
            <v>XXXX</v>
          </cell>
          <cell r="IM22" t="str">
            <v>XXXX</v>
          </cell>
        </row>
        <row r="23">
          <cell r="C23">
            <v>7</v>
          </cell>
          <cell r="D23" t="str">
            <v>ESTATICA SUR - EL BRACHO</v>
          </cell>
          <cell r="E23">
            <v>132</v>
          </cell>
          <cell r="F23">
            <v>19.6</v>
          </cell>
        </row>
        <row r="24">
          <cell r="C24">
            <v>8</v>
          </cell>
          <cell r="D24" t="str">
            <v>ESTATICA SUR - INDEPENDENCIA (O.F.)</v>
          </cell>
          <cell r="E24">
            <v>132</v>
          </cell>
          <cell r="F24">
            <v>2.6</v>
          </cell>
        </row>
        <row r="25">
          <cell r="C25">
            <v>9</v>
          </cell>
          <cell r="D25" t="str">
            <v>ESTATICA SUR - SARMIENTO "TRANSNOA S.A."</v>
          </cell>
          <cell r="E25">
            <v>132</v>
          </cell>
          <cell r="F25">
            <v>4.4</v>
          </cell>
        </row>
        <row r="26">
          <cell r="C26">
            <v>10</v>
          </cell>
          <cell r="D26" t="str">
            <v>GÜEMES - EL BRACHO</v>
          </cell>
          <cell r="E26">
            <v>132</v>
          </cell>
          <cell r="F26">
            <v>308</v>
          </cell>
          <cell r="IB26" t="str">
            <v>XXXX</v>
          </cell>
          <cell r="IC26" t="str">
            <v>XXXX</v>
          </cell>
          <cell r="ID26" t="str">
            <v>XXXX</v>
          </cell>
          <cell r="IE26" t="str">
            <v>XXXX</v>
          </cell>
          <cell r="IF26" t="str">
            <v>XXXX</v>
          </cell>
          <cell r="IG26" t="str">
            <v>XXXX</v>
          </cell>
          <cell r="IH26" t="str">
            <v>XXXX</v>
          </cell>
          <cell r="II26" t="str">
            <v>XXXX</v>
          </cell>
          <cell r="IJ26" t="str">
            <v>XXXX</v>
          </cell>
          <cell r="IK26" t="str">
            <v>XXXX</v>
          </cell>
          <cell r="IL26" t="str">
            <v>XXXX</v>
          </cell>
          <cell r="IM26" t="str">
            <v>XXXX</v>
          </cell>
        </row>
        <row r="27">
          <cell r="C27">
            <v>11</v>
          </cell>
          <cell r="D27" t="str">
            <v>CAMPO SANTO - GÜEMES</v>
          </cell>
          <cell r="E27">
            <v>132</v>
          </cell>
          <cell r="F27">
            <v>6.2</v>
          </cell>
          <cell r="IB27" t="str">
            <v>XXXX</v>
          </cell>
          <cell r="IC27" t="str">
            <v>XXXX</v>
          </cell>
          <cell r="ID27" t="str">
            <v>XXXX</v>
          </cell>
          <cell r="IE27" t="str">
            <v>XXXX</v>
          </cell>
          <cell r="IF27" t="str">
            <v>XXXX</v>
          </cell>
          <cell r="IG27" t="str">
            <v>XXXX</v>
          </cell>
          <cell r="IH27" t="str">
            <v>XXXX</v>
          </cell>
          <cell r="II27" t="str">
            <v>XXXX</v>
          </cell>
          <cell r="IJ27" t="str">
            <v>XXXX</v>
          </cell>
          <cell r="IK27" t="str">
            <v>XXXX</v>
          </cell>
          <cell r="IL27" t="str">
            <v>XXXX</v>
          </cell>
          <cell r="IM27" t="str">
            <v>XXXX</v>
          </cell>
        </row>
        <row r="28">
          <cell r="C28">
            <v>12</v>
          </cell>
          <cell r="D28" t="str">
            <v>GÜEMES - SAN JUANCITO</v>
          </cell>
          <cell r="E28">
            <v>132</v>
          </cell>
          <cell r="F28">
            <v>36.24</v>
          </cell>
          <cell r="IG28">
            <v>1</v>
          </cell>
          <cell r="IH28">
            <v>1</v>
          </cell>
        </row>
        <row r="29">
          <cell r="C29">
            <v>13</v>
          </cell>
          <cell r="D29" t="str">
            <v>CATAMARCA - HUACRA</v>
          </cell>
          <cell r="E29">
            <v>132</v>
          </cell>
          <cell r="F29">
            <v>67.3</v>
          </cell>
        </row>
        <row r="30">
          <cell r="C30">
            <v>14</v>
          </cell>
          <cell r="D30" t="str">
            <v>HUACRA - LA CALERA</v>
          </cell>
          <cell r="E30">
            <v>132</v>
          </cell>
          <cell r="F30">
            <v>91.2</v>
          </cell>
          <cell r="IE30">
            <v>1</v>
          </cell>
          <cell r="II30">
            <v>1</v>
          </cell>
          <cell r="IJ30">
            <v>1</v>
          </cell>
        </row>
        <row r="31">
          <cell r="C31">
            <v>15</v>
          </cell>
          <cell r="D31" t="str">
            <v>AGUA BLANCA - INDEPENDENCIA</v>
          </cell>
          <cell r="E31">
            <v>132</v>
          </cell>
          <cell r="F31">
            <v>34.14</v>
          </cell>
          <cell r="IG31">
            <v>1</v>
          </cell>
          <cell r="IH31">
            <v>1</v>
          </cell>
          <cell r="II31">
            <v>2</v>
          </cell>
        </row>
        <row r="32">
          <cell r="C32">
            <v>16</v>
          </cell>
          <cell r="D32" t="str">
            <v>INDEPENDENCIA - EL BRACHO 1</v>
          </cell>
          <cell r="E32">
            <v>132</v>
          </cell>
          <cell r="F32">
            <v>17.1</v>
          </cell>
        </row>
        <row r="33">
          <cell r="C33">
            <v>17</v>
          </cell>
          <cell r="D33" t="str">
            <v>INDEPENDENCIA - LULES - PAPEL TUCUMAN</v>
          </cell>
          <cell r="E33">
            <v>132</v>
          </cell>
          <cell r="F33">
            <v>19.3</v>
          </cell>
          <cell r="IG33">
            <v>1</v>
          </cell>
          <cell r="II33">
            <v>1</v>
          </cell>
        </row>
        <row r="34">
          <cell r="C34">
            <v>18</v>
          </cell>
          <cell r="D34" t="str">
            <v>FRIAS - LA CALERA NOA.</v>
          </cell>
          <cell r="E34">
            <v>132</v>
          </cell>
          <cell r="F34">
            <v>27.3</v>
          </cell>
        </row>
        <row r="35">
          <cell r="C35">
            <v>19</v>
          </cell>
          <cell r="D35" t="str">
            <v>LA BANDA - SANTIAGO CENTRO</v>
          </cell>
          <cell r="E35">
            <v>132</v>
          </cell>
          <cell r="F35">
            <v>10.91</v>
          </cell>
          <cell r="ID35">
            <v>1</v>
          </cell>
        </row>
        <row r="36">
          <cell r="C36">
            <v>20</v>
          </cell>
          <cell r="D36" t="str">
            <v>LIBERTADOR NOA. - PICHANAL</v>
          </cell>
          <cell r="E36">
            <v>132</v>
          </cell>
          <cell r="F36">
            <v>76</v>
          </cell>
          <cell r="IC36">
            <v>2</v>
          </cell>
          <cell r="ID36">
            <v>1</v>
          </cell>
          <cell r="IE36">
            <v>3</v>
          </cell>
          <cell r="IF36">
            <v>1</v>
          </cell>
          <cell r="IG36">
            <v>4</v>
          </cell>
          <cell r="IK36">
            <v>1</v>
          </cell>
          <cell r="IM36">
            <v>3</v>
          </cell>
        </row>
        <row r="37">
          <cell r="C37">
            <v>21</v>
          </cell>
          <cell r="D37" t="str">
            <v>GÜEMES - METAN</v>
          </cell>
          <cell r="E37">
            <v>132</v>
          </cell>
          <cell r="F37">
            <v>97.13</v>
          </cell>
          <cell r="IB37" t="str">
            <v>XXXX</v>
          </cell>
          <cell r="IC37" t="str">
            <v>XXXX</v>
          </cell>
          <cell r="ID37" t="str">
            <v>XXXX</v>
          </cell>
          <cell r="IE37" t="str">
            <v>XXXX</v>
          </cell>
          <cell r="IF37" t="str">
            <v>XXXX</v>
          </cell>
          <cell r="IG37" t="str">
            <v>XXXX</v>
          </cell>
          <cell r="IH37" t="str">
            <v>XXXX</v>
          </cell>
          <cell r="II37" t="str">
            <v>XXXX</v>
          </cell>
          <cell r="IJ37" t="str">
            <v>XXXX</v>
          </cell>
          <cell r="IK37" t="str">
            <v>XXXX</v>
          </cell>
          <cell r="IL37" t="str">
            <v>XXXX</v>
          </cell>
          <cell r="IM37" t="str">
            <v>XXXX</v>
          </cell>
        </row>
        <row r="38">
          <cell r="C38">
            <v>22</v>
          </cell>
          <cell r="D38" t="str">
            <v>MINETTI - SAN JUANCITO</v>
          </cell>
          <cell r="E38">
            <v>132</v>
          </cell>
          <cell r="F38">
            <v>26</v>
          </cell>
          <cell r="IC38">
            <v>2</v>
          </cell>
          <cell r="IG38">
            <v>2</v>
          </cell>
          <cell r="IH38">
            <v>4</v>
          </cell>
        </row>
        <row r="39">
          <cell r="C39">
            <v>23</v>
          </cell>
          <cell r="D39" t="str">
            <v>PALPALA - JUJUY SUR</v>
          </cell>
          <cell r="E39">
            <v>132</v>
          </cell>
          <cell r="F39">
            <v>14</v>
          </cell>
          <cell r="IB39" t="str">
            <v>XXXX</v>
          </cell>
          <cell r="IC39" t="str">
            <v>XXXX</v>
          </cell>
          <cell r="ID39" t="str">
            <v>XXXX</v>
          </cell>
          <cell r="IE39" t="str">
            <v>XXXX</v>
          </cell>
          <cell r="IF39" t="str">
            <v>XXXX</v>
          </cell>
          <cell r="IG39" t="str">
            <v>XXXX</v>
          </cell>
          <cell r="IH39" t="str">
            <v>XXXX</v>
          </cell>
          <cell r="II39" t="str">
            <v>XXXX</v>
          </cell>
          <cell r="IJ39" t="str">
            <v>XXXX</v>
          </cell>
          <cell r="IK39" t="str">
            <v>XXXX</v>
          </cell>
          <cell r="IL39" t="str">
            <v>XXXX</v>
          </cell>
          <cell r="IM39" t="str">
            <v>XXXX</v>
          </cell>
        </row>
        <row r="40">
          <cell r="C40">
            <v>24</v>
          </cell>
          <cell r="D40" t="str">
            <v>ORAN - PICHANAL</v>
          </cell>
          <cell r="E40">
            <v>132</v>
          </cell>
          <cell r="F40">
            <v>17</v>
          </cell>
          <cell r="IB40" t="str">
            <v>XXXX</v>
          </cell>
          <cell r="IC40" t="str">
            <v>XXXX</v>
          </cell>
          <cell r="ID40" t="str">
            <v>XXXX</v>
          </cell>
          <cell r="IE40" t="str">
            <v>XXXX</v>
          </cell>
          <cell r="IF40" t="str">
            <v>XXXX</v>
          </cell>
          <cell r="IG40" t="str">
            <v>XXXX</v>
          </cell>
          <cell r="IH40" t="str">
            <v>XXXX</v>
          </cell>
          <cell r="II40" t="str">
            <v>XXXX</v>
          </cell>
          <cell r="IJ40" t="str">
            <v>XXXX</v>
          </cell>
          <cell r="IK40" t="str">
            <v>XXXX</v>
          </cell>
          <cell r="IL40" t="str">
            <v>XXXX</v>
          </cell>
          <cell r="IM40" t="str">
            <v>XXXX</v>
          </cell>
        </row>
        <row r="41">
          <cell r="C41">
            <v>25</v>
          </cell>
          <cell r="D41" t="str">
            <v>PICHANAL - TARTAGAL</v>
          </cell>
          <cell r="E41">
            <v>132</v>
          </cell>
          <cell r="F41">
            <v>105</v>
          </cell>
        </row>
        <row r="42">
          <cell r="C42">
            <v>26</v>
          </cell>
          <cell r="D42" t="str">
            <v>C.H. RIO HONDO - LA BANDA</v>
          </cell>
          <cell r="E42">
            <v>132</v>
          </cell>
          <cell r="F42">
            <v>76.5</v>
          </cell>
          <cell r="IF42">
            <v>1</v>
          </cell>
          <cell r="IH42">
            <v>1</v>
          </cell>
        </row>
        <row r="43">
          <cell r="C43">
            <v>27</v>
          </cell>
          <cell r="D43" t="str">
            <v>LA RIOJA - RECREO  2</v>
          </cell>
          <cell r="E43">
            <v>132</v>
          </cell>
          <cell r="F43">
            <v>220</v>
          </cell>
          <cell r="IB43" t="str">
            <v>XXXX</v>
          </cell>
          <cell r="IC43" t="str">
            <v>XXXX</v>
          </cell>
          <cell r="ID43" t="str">
            <v>XXXX</v>
          </cell>
          <cell r="IE43" t="str">
            <v>XXXX</v>
          </cell>
          <cell r="IF43" t="str">
            <v>XXXX</v>
          </cell>
          <cell r="IG43" t="str">
            <v>XXXX</v>
          </cell>
          <cell r="IH43" t="str">
            <v>XXXX</v>
          </cell>
          <cell r="II43" t="str">
            <v>XXXX</v>
          </cell>
          <cell r="IJ43" t="str">
            <v>XXXX</v>
          </cell>
          <cell r="IK43" t="str">
            <v>XXXX</v>
          </cell>
          <cell r="IL43" t="str">
            <v>XXXX</v>
          </cell>
          <cell r="IM43" t="str">
            <v>XXXX</v>
          </cell>
        </row>
        <row r="44">
          <cell r="C44">
            <v>28</v>
          </cell>
          <cell r="D44" t="str">
            <v>CAMPO SANTO - SALTA SUR</v>
          </cell>
          <cell r="E44">
            <v>132</v>
          </cell>
          <cell r="F44">
            <v>40.92</v>
          </cell>
          <cell r="IB44" t="str">
            <v>XXXX</v>
          </cell>
          <cell r="IC44" t="str">
            <v>XXXX</v>
          </cell>
          <cell r="ID44" t="str">
            <v>XXXX</v>
          </cell>
          <cell r="IE44" t="str">
            <v>XXXX</v>
          </cell>
          <cell r="IF44" t="str">
            <v>XXXX</v>
          </cell>
          <cell r="IG44" t="str">
            <v>XXXX</v>
          </cell>
          <cell r="IH44" t="str">
            <v>XXXX</v>
          </cell>
          <cell r="II44" t="str">
            <v>XXXX</v>
          </cell>
          <cell r="IJ44" t="str">
            <v>XXXX</v>
          </cell>
          <cell r="IK44" t="str">
            <v>XXXX</v>
          </cell>
          <cell r="IL44" t="str">
            <v>XXXX</v>
          </cell>
          <cell r="IM44" t="str">
            <v>XXXX</v>
          </cell>
        </row>
        <row r="45">
          <cell r="C45">
            <v>29</v>
          </cell>
          <cell r="D45" t="str">
            <v>PALPALA - SAN JUANCITO</v>
          </cell>
          <cell r="E45">
            <v>132</v>
          </cell>
          <cell r="F45">
            <v>23.9</v>
          </cell>
          <cell r="ID45">
            <v>1</v>
          </cell>
          <cell r="IF45">
            <v>1</v>
          </cell>
          <cell r="IH45">
            <v>2</v>
          </cell>
          <cell r="II45">
            <v>2</v>
          </cell>
        </row>
        <row r="46">
          <cell r="C46">
            <v>30</v>
          </cell>
          <cell r="D46" t="str">
            <v>SAN JUANCITO - SAN PEDRO JUJUY</v>
          </cell>
          <cell r="E46">
            <v>132</v>
          </cell>
          <cell r="F46">
            <v>27</v>
          </cell>
        </row>
        <row r="47">
          <cell r="C47">
            <v>31</v>
          </cell>
          <cell r="D47" t="str">
            <v>SAN MARTIN - CATAMARCA</v>
          </cell>
          <cell r="E47">
            <v>132</v>
          </cell>
          <cell r="F47">
            <v>88</v>
          </cell>
          <cell r="IB47" t="str">
            <v>XXXX</v>
          </cell>
          <cell r="IC47" t="str">
            <v>XXXX</v>
          </cell>
          <cell r="ID47" t="str">
            <v>XXXX</v>
          </cell>
          <cell r="IE47" t="str">
            <v>XXXX</v>
          </cell>
          <cell r="IF47" t="str">
            <v>XXXX</v>
          </cell>
          <cell r="IG47" t="str">
            <v>XXXX</v>
          </cell>
          <cell r="IH47" t="str">
            <v>XXXX</v>
          </cell>
          <cell r="II47" t="str">
            <v>XXXX</v>
          </cell>
          <cell r="IJ47" t="str">
            <v>XXXX</v>
          </cell>
          <cell r="IK47" t="str">
            <v>XXXX</v>
          </cell>
          <cell r="IL47" t="str">
            <v>XXXX</v>
          </cell>
          <cell r="IM47" t="str">
            <v>XXXX</v>
          </cell>
        </row>
        <row r="48">
          <cell r="C48">
            <v>32</v>
          </cell>
          <cell r="D48" t="str">
            <v>SAN MARTIN - RECREO</v>
          </cell>
          <cell r="E48">
            <v>132</v>
          </cell>
          <cell r="F48">
            <v>115</v>
          </cell>
          <cell r="IB48" t="str">
            <v>XXXX</v>
          </cell>
          <cell r="IC48" t="str">
            <v>XXXX</v>
          </cell>
          <cell r="ID48" t="str">
            <v>XXXX</v>
          </cell>
          <cell r="IE48" t="str">
            <v>XXXX</v>
          </cell>
          <cell r="IF48" t="str">
            <v>XXXX</v>
          </cell>
          <cell r="IG48" t="str">
            <v>XXXX</v>
          </cell>
          <cell r="IH48" t="str">
            <v>XXXX</v>
          </cell>
          <cell r="II48" t="str">
            <v>XXXX</v>
          </cell>
          <cell r="IJ48" t="str">
            <v>XXXX</v>
          </cell>
          <cell r="IK48" t="str">
            <v>XXXX</v>
          </cell>
          <cell r="IL48" t="str">
            <v>XXXX</v>
          </cell>
          <cell r="IM48" t="str">
            <v>XXXX</v>
          </cell>
        </row>
        <row r="49">
          <cell r="C49">
            <v>33</v>
          </cell>
          <cell r="D49" t="str">
            <v>SAN MARTIN C. - LA RIOJA</v>
          </cell>
          <cell r="E49">
            <v>132</v>
          </cell>
          <cell r="F49">
            <v>105</v>
          </cell>
          <cell r="IB49" t="str">
            <v>XXXX</v>
          </cell>
          <cell r="IC49" t="str">
            <v>XXXX</v>
          </cell>
          <cell r="ID49" t="str">
            <v>XXXX</v>
          </cell>
          <cell r="IE49" t="str">
            <v>XXXX</v>
          </cell>
          <cell r="IF49" t="str">
            <v>XXXX</v>
          </cell>
          <cell r="IG49" t="str">
            <v>XXXX</v>
          </cell>
          <cell r="IH49" t="str">
            <v>XXXX</v>
          </cell>
          <cell r="II49" t="str">
            <v>XXXX</v>
          </cell>
          <cell r="IJ49" t="str">
            <v>XXXX</v>
          </cell>
          <cell r="IK49" t="str">
            <v>XXXX</v>
          </cell>
          <cell r="IL49" t="str">
            <v>XXXX</v>
          </cell>
          <cell r="IM49" t="str">
            <v>XXXX</v>
          </cell>
        </row>
        <row r="50">
          <cell r="C50">
            <v>34</v>
          </cell>
          <cell r="D50" t="str">
            <v>SAN PEDRO JUJUY - LIBERTADOR NOA.</v>
          </cell>
          <cell r="E50">
            <v>132</v>
          </cell>
          <cell r="F50">
            <v>49</v>
          </cell>
          <cell r="IH50">
            <v>1</v>
          </cell>
        </row>
        <row r="51">
          <cell r="C51">
            <v>35</v>
          </cell>
          <cell r="D51" t="str">
            <v>TUCUMAN NORTE - EL BRACHO</v>
          </cell>
          <cell r="E51">
            <v>132</v>
          </cell>
          <cell r="F51">
            <v>31.5</v>
          </cell>
          <cell r="IC51">
            <v>1</v>
          </cell>
          <cell r="ID51">
            <v>1</v>
          </cell>
        </row>
        <row r="52">
          <cell r="C52">
            <v>36</v>
          </cell>
          <cell r="D52" t="str">
            <v>C.H. EL CADILLAL - TUCUMAN NORTE</v>
          </cell>
          <cell r="E52">
            <v>132</v>
          </cell>
          <cell r="F52">
            <v>21.78</v>
          </cell>
          <cell r="IF52">
            <v>1</v>
          </cell>
          <cell r="II52">
            <v>1</v>
          </cell>
        </row>
        <row r="53">
          <cell r="C53">
            <v>37</v>
          </cell>
          <cell r="D53" t="str">
            <v>TUCUMAN NORTE - CABRA CORRAL</v>
          </cell>
          <cell r="E53">
            <v>132</v>
          </cell>
          <cell r="F53">
            <v>190</v>
          </cell>
          <cell r="IB53" t="str">
            <v>XXXX</v>
          </cell>
          <cell r="IC53" t="str">
            <v>XXXX</v>
          </cell>
          <cell r="ID53" t="str">
            <v>XXXX</v>
          </cell>
          <cell r="IE53" t="str">
            <v>XXXX</v>
          </cell>
          <cell r="IF53" t="str">
            <v>XXXX</v>
          </cell>
          <cell r="IG53" t="str">
            <v>XXXX</v>
          </cell>
          <cell r="IH53" t="str">
            <v>XXXX</v>
          </cell>
          <cell r="II53" t="str">
            <v>XXXX</v>
          </cell>
          <cell r="IJ53" t="str">
            <v>XXXX</v>
          </cell>
          <cell r="IK53" t="str">
            <v>XXXX</v>
          </cell>
          <cell r="IL53" t="str">
            <v>XXXX</v>
          </cell>
          <cell r="IM53" t="str">
            <v>XXXX</v>
          </cell>
        </row>
        <row r="54">
          <cell r="C54">
            <v>38</v>
          </cell>
          <cell r="D54" t="str">
            <v>METAN - TUCUMAN NORTE</v>
          </cell>
          <cell r="E54">
            <v>132</v>
          </cell>
          <cell r="F54">
            <v>155.6</v>
          </cell>
          <cell r="ID54">
            <v>1</v>
          </cell>
          <cell r="IH54">
            <v>1</v>
          </cell>
          <cell r="IJ54">
            <v>1</v>
          </cell>
        </row>
        <row r="55">
          <cell r="C55">
            <v>39</v>
          </cell>
          <cell r="D55" t="str">
            <v>SARMIENTO - TUCUMAN NORTE (O.F.)</v>
          </cell>
          <cell r="E55">
            <v>132</v>
          </cell>
          <cell r="F55">
            <v>3.3</v>
          </cell>
        </row>
        <row r="56">
          <cell r="C56">
            <v>40</v>
          </cell>
          <cell r="D56" t="str">
            <v>TUCUMAN OESTE - TUCUMAN NORTE</v>
          </cell>
          <cell r="E56">
            <v>132</v>
          </cell>
          <cell r="F56">
            <v>7</v>
          </cell>
          <cell r="IM56">
            <v>2</v>
          </cell>
        </row>
        <row r="57">
          <cell r="C57">
            <v>41</v>
          </cell>
          <cell r="D57" t="str">
            <v>AGUILARES - VILLA QUINTEROS</v>
          </cell>
          <cell r="E57">
            <v>132</v>
          </cell>
          <cell r="F57">
            <v>21</v>
          </cell>
          <cell r="IE57">
            <v>2</v>
          </cell>
        </row>
        <row r="58">
          <cell r="C58">
            <v>42</v>
          </cell>
          <cell r="D58" t="str">
            <v>C.H. PUEBLO VIEJO - VILLA QUINTEROS </v>
          </cell>
          <cell r="E58">
            <v>132</v>
          </cell>
          <cell r="F58">
            <v>24.5</v>
          </cell>
          <cell r="II58">
            <v>1</v>
          </cell>
        </row>
        <row r="59">
          <cell r="C59">
            <v>43</v>
          </cell>
          <cell r="D59" t="str">
            <v>C.H. RIO HONDO - VILLA QUINTEROS</v>
          </cell>
          <cell r="E59">
            <v>132</v>
          </cell>
          <cell r="F59">
            <v>75.4</v>
          </cell>
          <cell r="IC59">
            <v>4</v>
          </cell>
          <cell r="ID59">
            <v>1</v>
          </cell>
          <cell r="IE59">
            <v>1</v>
          </cell>
          <cell r="IF59">
            <v>1</v>
          </cell>
          <cell r="IG59">
            <v>1</v>
          </cell>
          <cell r="IH59">
            <v>3</v>
          </cell>
          <cell r="II59">
            <v>1</v>
          </cell>
        </row>
        <row r="60">
          <cell r="C60">
            <v>44</v>
          </cell>
          <cell r="D60" t="str">
            <v>C.H. RIO HONDO - SANTIAGO CENTRO</v>
          </cell>
          <cell r="E60">
            <v>132</v>
          </cell>
          <cell r="F60">
            <v>79</v>
          </cell>
          <cell r="IB60" t="str">
            <v>XXXX</v>
          </cell>
          <cell r="IC60" t="str">
            <v>XXXX</v>
          </cell>
          <cell r="ID60" t="str">
            <v>XXXX</v>
          </cell>
          <cell r="IE60" t="str">
            <v>XXXX</v>
          </cell>
          <cell r="IF60" t="str">
            <v>XXXX</v>
          </cell>
          <cell r="IG60" t="str">
            <v>XXXX</v>
          </cell>
          <cell r="IH60" t="str">
            <v>XXXX</v>
          </cell>
          <cell r="II60" t="str">
            <v>XXXX</v>
          </cell>
          <cell r="IJ60" t="str">
            <v>XXXX</v>
          </cell>
          <cell r="IK60" t="str">
            <v>XXXX</v>
          </cell>
          <cell r="IL60" t="str">
            <v>XXXX</v>
          </cell>
          <cell r="IM60" t="str">
            <v>XXXX</v>
          </cell>
        </row>
        <row r="61">
          <cell r="C61">
            <v>45</v>
          </cell>
          <cell r="D61" t="str">
            <v>C.H. RIO HONDO - EL BRACHO</v>
          </cell>
          <cell r="E61">
            <v>132</v>
          </cell>
          <cell r="F61">
            <v>80.66</v>
          </cell>
          <cell r="IE61">
            <v>1</v>
          </cell>
          <cell r="IG61">
            <v>3</v>
          </cell>
          <cell r="II61">
            <v>1</v>
          </cell>
        </row>
        <row r="62">
          <cell r="C62">
            <v>46</v>
          </cell>
          <cell r="D62" t="str">
            <v>SALTA SUR - SALTA NORTE</v>
          </cell>
          <cell r="E62">
            <v>132</v>
          </cell>
          <cell r="F62">
            <v>10</v>
          </cell>
        </row>
        <row r="63">
          <cell r="C63">
            <v>47</v>
          </cell>
          <cell r="D63" t="str">
            <v>PALPALA - JUJUY ESTE</v>
          </cell>
          <cell r="E63">
            <v>132</v>
          </cell>
          <cell r="F63">
            <v>12.25</v>
          </cell>
          <cell r="IF63">
            <v>1</v>
          </cell>
        </row>
        <row r="64">
          <cell r="C64">
            <v>48</v>
          </cell>
          <cell r="D64" t="str">
            <v>JUJUY ESTE - JUJUY SUR</v>
          </cell>
          <cell r="E64">
            <v>132</v>
          </cell>
          <cell r="F64">
            <v>4.25</v>
          </cell>
          <cell r="IC64">
            <v>1</v>
          </cell>
        </row>
        <row r="65">
          <cell r="C65">
            <v>49</v>
          </cell>
          <cell r="D65" t="str">
            <v>CEVIL POZO - GUEMES</v>
          </cell>
          <cell r="E65">
            <v>132</v>
          </cell>
          <cell r="F65">
            <v>291</v>
          </cell>
          <cell r="IB65" t="str">
            <v>XXXX</v>
          </cell>
          <cell r="IC65" t="str">
            <v>XXXX</v>
          </cell>
          <cell r="ID65" t="str">
            <v>XXXX</v>
          </cell>
          <cell r="IE65" t="str">
            <v>XXXX</v>
          </cell>
          <cell r="IF65" t="str">
            <v>XXXX</v>
          </cell>
          <cell r="IG65" t="str">
            <v>XXXX</v>
          </cell>
          <cell r="IH65" t="str">
            <v>XXXX</v>
          </cell>
          <cell r="II65" t="str">
            <v>XXXX</v>
          </cell>
          <cell r="IJ65" t="str">
            <v>XXXX</v>
          </cell>
          <cell r="IK65" t="str">
            <v>XXXX</v>
          </cell>
          <cell r="IL65" t="str">
            <v>XXXX</v>
          </cell>
          <cell r="IM65" t="str">
            <v>XXXX</v>
          </cell>
        </row>
        <row r="66">
          <cell r="C66">
            <v>50</v>
          </cell>
          <cell r="D66" t="str">
            <v>CEVIL POZO - EL BRACHO</v>
          </cell>
          <cell r="E66">
            <v>132</v>
          </cell>
          <cell r="F66">
            <v>17</v>
          </cell>
        </row>
        <row r="68">
          <cell r="C68">
            <v>51</v>
          </cell>
          <cell r="D68" t="str">
            <v>METAN - EL TUNAL</v>
          </cell>
          <cell r="E68">
            <v>132</v>
          </cell>
          <cell r="F68">
            <v>75.6</v>
          </cell>
        </row>
        <row r="69">
          <cell r="C69">
            <v>52</v>
          </cell>
          <cell r="D69" t="str">
            <v>EL TUNAL - J.V. GONZALEZ</v>
          </cell>
          <cell r="E69">
            <v>132</v>
          </cell>
          <cell r="F69">
            <v>41.4</v>
          </cell>
        </row>
        <row r="71">
          <cell r="C71">
            <v>53</v>
          </cell>
          <cell r="D71" t="str">
            <v>LOS PIZARROS - ESCABA</v>
          </cell>
          <cell r="E71">
            <v>132</v>
          </cell>
          <cell r="F71">
            <v>21.4</v>
          </cell>
        </row>
        <row r="72">
          <cell r="C72">
            <v>54</v>
          </cell>
          <cell r="D72" t="str">
            <v>LOS PIZARROS - LA COCHA</v>
          </cell>
          <cell r="E72">
            <v>132</v>
          </cell>
          <cell r="F72">
            <v>6.5</v>
          </cell>
        </row>
        <row r="73">
          <cell r="C73">
            <v>55</v>
          </cell>
          <cell r="D73" t="str">
            <v>HUACRA - LOS PIZARROS</v>
          </cell>
          <cell r="E73">
            <v>132</v>
          </cell>
          <cell r="F73">
            <v>28.5</v>
          </cell>
        </row>
        <row r="74">
          <cell r="C74">
            <v>56</v>
          </cell>
          <cell r="D74" t="str">
            <v>CEVIL POZO - AVELLANEDA</v>
          </cell>
          <cell r="E74">
            <v>132</v>
          </cell>
          <cell r="F74">
            <v>8</v>
          </cell>
        </row>
        <row r="75">
          <cell r="C75">
            <v>57</v>
          </cell>
          <cell r="D75" t="str">
            <v>CABRA CORRAL - SALTA ESTE</v>
          </cell>
          <cell r="E75">
            <v>132</v>
          </cell>
          <cell r="F75">
            <v>55</v>
          </cell>
          <cell r="IC75">
            <v>1</v>
          </cell>
          <cell r="IF75">
            <v>1</v>
          </cell>
          <cell r="II75">
            <v>1</v>
          </cell>
          <cell r="IJ75">
            <v>1</v>
          </cell>
          <cell r="IM75">
            <v>2</v>
          </cell>
        </row>
        <row r="76">
          <cell r="C76">
            <v>58</v>
          </cell>
          <cell r="D76" t="str">
            <v>SALTA ESTE - SALTA SUR</v>
          </cell>
          <cell r="E76">
            <v>132</v>
          </cell>
          <cell r="F76">
            <v>7</v>
          </cell>
        </row>
        <row r="77">
          <cell r="C77">
            <v>59</v>
          </cell>
          <cell r="D77" t="str">
            <v>V. QUINTEROS - ACONQUIJA - ANDALGALA</v>
          </cell>
          <cell r="E77">
            <v>132</v>
          </cell>
          <cell r="F77">
            <v>102</v>
          </cell>
          <cell r="IC77">
            <v>1</v>
          </cell>
          <cell r="ID77">
            <v>1</v>
          </cell>
          <cell r="II77">
            <v>1</v>
          </cell>
        </row>
        <row r="78">
          <cell r="C78">
            <v>60</v>
          </cell>
          <cell r="D78" t="str">
            <v>ANDALGALA - BELEN</v>
          </cell>
          <cell r="E78">
            <v>132</v>
          </cell>
          <cell r="F78">
            <v>80.3</v>
          </cell>
          <cell r="IH78">
            <v>2</v>
          </cell>
          <cell r="II78">
            <v>1</v>
          </cell>
        </row>
        <row r="79">
          <cell r="C79">
            <v>61</v>
          </cell>
          <cell r="D79" t="str">
            <v>TUCUMAN NORTE - TRANCAS</v>
          </cell>
          <cell r="E79">
            <v>132</v>
          </cell>
          <cell r="F79">
            <v>75</v>
          </cell>
          <cell r="ID79">
            <v>1</v>
          </cell>
          <cell r="IJ79">
            <v>1</v>
          </cell>
        </row>
        <row r="80">
          <cell r="C80">
            <v>62</v>
          </cell>
          <cell r="D80" t="str">
            <v>CABRA CORRAL - TRANCAS</v>
          </cell>
          <cell r="E80">
            <v>132</v>
          </cell>
          <cell r="F80">
            <v>115</v>
          </cell>
          <cell r="IB80" t="str">
            <v>XXXX</v>
          </cell>
          <cell r="IC80" t="str">
            <v>XXXX</v>
          </cell>
          <cell r="ID80" t="str">
            <v>XXXX</v>
          </cell>
          <cell r="IE80" t="str">
            <v>XXXX</v>
          </cell>
          <cell r="IF80" t="str">
            <v>XXXX</v>
          </cell>
          <cell r="IG80" t="str">
            <v>XXXX</v>
          </cell>
          <cell r="IH80" t="str">
            <v>XXXX</v>
          </cell>
          <cell r="II80" t="str">
            <v>XXXX</v>
          </cell>
          <cell r="IJ80" t="str">
            <v>XXXX</v>
          </cell>
          <cell r="IK80" t="str">
            <v>XXXX</v>
          </cell>
          <cell r="IL80" t="str">
            <v>XXXX</v>
          </cell>
          <cell r="IM80" t="str">
            <v>XXXX</v>
          </cell>
        </row>
        <row r="81">
          <cell r="C81">
            <v>63</v>
          </cell>
          <cell r="D81" t="str">
            <v>LAS MADERAS - JUJUY SUR</v>
          </cell>
          <cell r="E81">
            <v>132</v>
          </cell>
          <cell r="F81">
            <v>29</v>
          </cell>
          <cell r="IB81">
            <v>1</v>
          </cell>
          <cell r="IC81">
            <v>1</v>
          </cell>
          <cell r="IG81">
            <v>1</v>
          </cell>
          <cell r="IH81">
            <v>3</v>
          </cell>
          <cell r="II81">
            <v>1</v>
          </cell>
        </row>
        <row r="82">
          <cell r="C82">
            <v>64</v>
          </cell>
          <cell r="D82" t="str">
            <v>BELEN - TINOGASTA</v>
          </cell>
          <cell r="E82">
            <v>132</v>
          </cell>
          <cell r="F82">
            <v>72</v>
          </cell>
          <cell r="IH82">
            <v>2</v>
          </cell>
          <cell r="II82">
            <v>2</v>
          </cell>
        </row>
        <row r="83">
          <cell r="C83">
            <v>65</v>
          </cell>
          <cell r="D83" t="str">
            <v>BURRUYACU - CEVIL POZO</v>
          </cell>
          <cell r="E83">
            <v>132</v>
          </cell>
          <cell r="F83">
            <v>56</v>
          </cell>
          <cell r="IB83">
            <v>1</v>
          </cell>
          <cell r="ID83">
            <v>2</v>
          </cell>
          <cell r="IF83">
            <v>1</v>
          </cell>
        </row>
        <row r="84">
          <cell r="C84">
            <v>66</v>
          </cell>
          <cell r="D84" t="str">
            <v>GÜEMES - BURRUYACU</v>
          </cell>
          <cell r="E84">
            <v>132</v>
          </cell>
          <cell r="F84">
            <v>235.1</v>
          </cell>
          <cell r="IB84" t="str">
            <v>XXXX</v>
          </cell>
          <cell r="IC84" t="str">
            <v>XXXX</v>
          </cell>
          <cell r="ID84" t="str">
            <v>XXXX</v>
          </cell>
          <cell r="IE84" t="str">
            <v>XXXX</v>
          </cell>
          <cell r="IF84" t="str">
            <v>XXXX</v>
          </cell>
          <cell r="IG84" t="str">
            <v>XXXX</v>
          </cell>
          <cell r="IH84" t="str">
            <v>XXXX</v>
          </cell>
          <cell r="II84" t="str">
            <v>XXXX</v>
          </cell>
          <cell r="IJ84" t="str">
            <v>XXXX</v>
          </cell>
          <cell r="IK84" t="str">
            <v>XXXX</v>
          </cell>
          <cell r="IL84" t="str">
            <v>XXXX</v>
          </cell>
          <cell r="IM84" t="str">
            <v>XXXX</v>
          </cell>
        </row>
        <row r="85">
          <cell r="C85">
            <v>67</v>
          </cell>
          <cell r="D85" t="str">
            <v>FRIAS - RECREO</v>
          </cell>
          <cell r="E85">
            <v>132</v>
          </cell>
          <cell r="F85">
            <v>74.54</v>
          </cell>
          <cell r="IC85">
            <v>1</v>
          </cell>
          <cell r="II85">
            <v>1</v>
          </cell>
        </row>
        <row r="86">
          <cell r="C86">
            <v>68</v>
          </cell>
          <cell r="D86" t="str">
            <v>RECREO - LA RIOJA 1</v>
          </cell>
          <cell r="E86">
            <v>132</v>
          </cell>
          <cell r="F86">
            <v>221</v>
          </cell>
          <cell r="IG86">
            <v>1</v>
          </cell>
          <cell r="II86">
            <v>1</v>
          </cell>
          <cell r="IJ86">
            <v>1</v>
          </cell>
        </row>
        <row r="87">
          <cell r="C87">
            <v>69</v>
          </cell>
          <cell r="D87" t="str">
            <v>RECREO - LA RIOJA 2</v>
          </cell>
          <cell r="E87">
            <v>132</v>
          </cell>
          <cell r="F87">
            <v>220</v>
          </cell>
          <cell r="IC87">
            <v>1</v>
          </cell>
          <cell r="IH87">
            <v>1</v>
          </cell>
          <cell r="II87">
            <v>3</v>
          </cell>
          <cell r="IJ87">
            <v>1</v>
          </cell>
          <cell r="IM87">
            <v>1</v>
          </cell>
        </row>
        <row r="88">
          <cell r="C88">
            <v>70</v>
          </cell>
          <cell r="D88" t="str">
            <v>RECREO - CATAMARCA</v>
          </cell>
          <cell r="E88">
            <v>132</v>
          </cell>
          <cell r="F88">
            <v>203</v>
          </cell>
          <cell r="ID88">
            <v>2</v>
          </cell>
          <cell r="IM88">
            <v>1</v>
          </cell>
        </row>
        <row r="89">
          <cell r="C89">
            <v>71</v>
          </cell>
          <cell r="D89" t="str">
            <v>CABRA CORRAL - EL CARRIL</v>
          </cell>
          <cell r="E89">
            <v>132</v>
          </cell>
          <cell r="F89">
            <v>33.55</v>
          </cell>
          <cell r="ID89">
            <v>1</v>
          </cell>
          <cell r="IF89">
            <v>1</v>
          </cell>
          <cell r="IJ89">
            <v>2</v>
          </cell>
          <cell r="IM89">
            <v>2</v>
          </cell>
        </row>
        <row r="90">
          <cell r="C90">
            <v>72</v>
          </cell>
          <cell r="D90" t="str">
            <v>PAMPA GRANDE - CABRA CORRAL</v>
          </cell>
          <cell r="E90">
            <v>132</v>
          </cell>
          <cell r="F90">
            <v>60</v>
          </cell>
          <cell r="IE90">
            <v>1</v>
          </cell>
          <cell r="IF90">
            <v>1</v>
          </cell>
          <cell r="IG90">
            <v>1</v>
          </cell>
          <cell r="II90">
            <v>1</v>
          </cell>
          <cell r="IJ90">
            <v>1</v>
          </cell>
          <cell r="IM90">
            <v>3</v>
          </cell>
        </row>
        <row r="91">
          <cell r="C91">
            <v>73</v>
          </cell>
          <cell r="D91" t="str">
            <v>PAMPA GRANDE - CAFAYATE</v>
          </cell>
          <cell r="E91">
            <v>132</v>
          </cell>
          <cell r="F91">
            <v>63</v>
          </cell>
          <cell r="ID91">
            <v>3</v>
          </cell>
        </row>
        <row r="92">
          <cell r="C92">
            <v>74</v>
          </cell>
          <cell r="D92" t="str">
            <v>PAMPA GRANDE - TRANCAS</v>
          </cell>
          <cell r="E92">
            <v>132</v>
          </cell>
          <cell r="F92">
            <v>55</v>
          </cell>
          <cell r="IM92">
            <v>3</v>
          </cell>
        </row>
        <row r="93">
          <cell r="C93">
            <v>75</v>
          </cell>
          <cell r="D93" t="str">
            <v>SANTIAGO CENTRO - SUNCHO CORRAL </v>
          </cell>
          <cell r="E93">
            <v>132</v>
          </cell>
          <cell r="F93">
            <v>103</v>
          </cell>
          <cell r="IL93">
            <v>1</v>
          </cell>
        </row>
        <row r="94">
          <cell r="C94">
            <v>76</v>
          </cell>
          <cell r="D94" t="str">
            <v>SUNCHO CORRAL - ANATUYA</v>
          </cell>
          <cell r="E94">
            <v>132</v>
          </cell>
          <cell r="F94">
            <v>81</v>
          </cell>
          <cell r="IE94">
            <v>1</v>
          </cell>
          <cell r="IF94">
            <v>1</v>
          </cell>
        </row>
        <row r="95">
          <cell r="C95">
            <v>77</v>
          </cell>
          <cell r="D95" t="str">
            <v>LAS MADERAS - GÜEMES SALTA</v>
          </cell>
          <cell r="E95">
            <v>132</v>
          </cell>
          <cell r="F95">
            <v>42</v>
          </cell>
        </row>
        <row r="96">
          <cell r="C96">
            <v>78</v>
          </cell>
          <cell r="D96" t="str">
            <v>INDEPENDENCIA - EL BRACHO 2</v>
          </cell>
          <cell r="E96">
            <v>132</v>
          </cell>
          <cell r="F96">
            <v>17.1</v>
          </cell>
          <cell r="ID96">
            <v>1</v>
          </cell>
        </row>
        <row r="97">
          <cell r="C97">
            <v>79</v>
          </cell>
          <cell r="D97" t="str">
            <v>GÜEMES - SALTA SUR</v>
          </cell>
          <cell r="E97">
            <v>132</v>
          </cell>
          <cell r="F97">
            <v>47.6</v>
          </cell>
          <cell r="IH97">
            <v>1</v>
          </cell>
          <cell r="II97">
            <v>2</v>
          </cell>
        </row>
        <row r="98">
          <cell r="C98">
            <v>80</v>
          </cell>
          <cell r="D98" t="str">
            <v>BURRUYACU - COBOS</v>
          </cell>
          <cell r="E98">
            <v>132</v>
          </cell>
          <cell r="F98">
            <v>229.5</v>
          </cell>
          <cell r="IB98" t="str">
            <v>XXXX</v>
          </cell>
          <cell r="IC98" t="str">
            <v>XXXX</v>
          </cell>
          <cell r="ID98" t="str">
            <v>XXXX</v>
          </cell>
          <cell r="IE98" t="str">
            <v>XXXX</v>
          </cell>
          <cell r="IF98" t="str">
            <v>XXXX</v>
          </cell>
          <cell r="IG98" t="str">
            <v>XXXX</v>
          </cell>
          <cell r="IH98" t="str">
            <v>XXXX</v>
          </cell>
          <cell r="II98" t="str">
            <v>XXXX</v>
          </cell>
          <cell r="IJ98" t="str">
            <v>XXXX</v>
          </cell>
          <cell r="IK98" t="str">
            <v>XXXX</v>
          </cell>
          <cell r="IL98" t="str">
            <v>XXXX</v>
          </cell>
          <cell r="IM98" t="str">
            <v>XXXX</v>
          </cell>
        </row>
        <row r="99">
          <cell r="C99">
            <v>81</v>
          </cell>
          <cell r="D99" t="str">
            <v>METAN - COBOS</v>
          </cell>
          <cell r="E99">
            <v>132</v>
          </cell>
          <cell r="F99">
            <v>89.2</v>
          </cell>
        </row>
        <row r="100">
          <cell r="C100">
            <v>82</v>
          </cell>
          <cell r="D100" t="str">
            <v>AÑATUYA - BANDERA</v>
          </cell>
          <cell r="E100">
            <v>132</v>
          </cell>
          <cell r="F100">
            <v>76</v>
          </cell>
          <cell r="IC100">
            <v>1</v>
          </cell>
        </row>
        <row r="101">
          <cell r="C101">
            <v>84</v>
          </cell>
          <cell r="D101" t="str">
            <v>GÜEMES SALTA - COBOS 1</v>
          </cell>
          <cell r="E101">
            <v>132</v>
          </cell>
          <cell r="F101">
            <v>12.1</v>
          </cell>
        </row>
        <row r="102">
          <cell r="C102">
            <v>85</v>
          </cell>
          <cell r="D102" t="str">
            <v>GÜEMES SALTA - COBOS 2</v>
          </cell>
          <cell r="E102">
            <v>132</v>
          </cell>
          <cell r="F102">
            <v>12.1</v>
          </cell>
        </row>
        <row r="103">
          <cell r="C103">
            <v>86</v>
          </cell>
          <cell r="D103" t="str">
            <v>EL BRACHO - LA BANDA</v>
          </cell>
          <cell r="E103">
            <v>132</v>
          </cell>
          <cell r="F103">
            <v>133.5</v>
          </cell>
          <cell r="IB103" t="str">
            <v>XXXX</v>
          </cell>
          <cell r="IC103" t="str">
            <v>XXXX</v>
          </cell>
          <cell r="ID103" t="str">
            <v>XXXX</v>
          </cell>
          <cell r="IE103" t="str">
            <v>XXXX</v>
          </cell>
          <cell r="IF103" t="str">
            <v>XXXX</v>
          </cell>
          <cell r="IG103" t="str">
            <v>XXXX</v>
          </cell>
          <cell r="IH103" t="str">
            <v>XXXX</v>
          </cell>
          <cell r="II103" t="str">
            <v>XXXX</v>
          </cell>
          <cell r="IJ103" t="str">
            <v>XXXX</v>
          </cell>
          <cell r="IK103" t="str">
            <v>XXXX</v>
          </cell>
          <cell r="IL103" t="str">
            <v>XXXX</v>
          </cell>
          <cell r="IM103" t="str">
            <v>XXXX</v>
          </cell>
        </row>
        <row r="104">
          <cell r="C104">
            <v>87</v>
          </cell>
          <cell r="D104" t="str">
            <v>SANTIAGO OESTE - SANTIAGO SUR </v>
          </cell>
          <cell r="E104">
            <v>132</v>
          </cell>
          <cell r="F104">
            <v>10.6</v>
          </cell>
          <cell r="IE104">
            <v>1</v>
          </cell>
          <cell r="IH104">
            <v>1</v>
          </cell>
          <cell r="IJ104">
            <v>1</v>
          </cell>
        </row>
        <row r="105">
          <cell r="C105">
            <v>88</v>
          </cell>
          <cell r="D105" t="str">
            <v>SANTIAGO SUR - SANTIAGO CENTRO</v>
          </cell>
          <cell r="E105">
            <v>132</v>
          </cell>
          <cell r="F105">
            <v>4</v>
          </cell>
          <cell r="IE105">
            <v>1</v>
          </cell>
          <cell r="IH105">
            <v>4</v>
          </cell>
          <cell r="IJ105">
            <v>1</v>
          </cell>
        </row>
        <row r="106">
          <cell r="C106">
            <v>89</v>
          </cell>
          <cell r="D106" t="str">
            <v>C.H. RIO HONDO - SANTIAGO OESTE</v>
          </cell>
          <cell r="E106">
            <v>132</v>
          </cell>
          <cell r="F106">
            <v>69.8</v>
          </cell>
          <cell r="IC106">
            <v>1</v>
          </cell>
        </row>
        <row r="107">
          <cell r="C107">
            <v>90</v>
          </cell>
          <cell r="D107" t="str">
            <v>GÜEMES - MINETTI</v>
          </cell>
          <cell r="E107">
            <v>132</v>
          </cell>
          <cell r="F107">
            <v>41.4</v>
          </cell>
          <cell r="IC107">
            <v>1</v>
          </cell>
          <cell r="IG107">
            <v>3</v>
          </cell>
          <cell r="IH107">
            <v>6</v>
          </cell>
        </row>
        <row r="108">
          <cell r="C108">
            <v>91</v>
          </cell>
          <cell r="D108" t="str">
            <v>GÜEMES - SALTA NORTE</v>
          </cell>
          <cell r="E108">
            <v>132</v>
          </cell>
          <cell r="F108">
            <v>38.97</v>
          </cell>
          <cell r="II108">
            <v>1</v>
          </cell>
        </row>
        <row r="109">
          <cell r="C109">
            <v>92</v>
          </cell>
          <cell r="D109" t="str">
            <v>BURRUYACU - R. DE LA FRONTERA</v>
          </cell>
          <cell r="E109">
            <v>132</v>
          </cell>
          <cell r="F109">
            <v>99.1</v>
          </cell>
          <cell r="ID109">
            <v>1</v>
          </cell>
        </row>
        <row r="110">
          <cell r="C110">
            <v>93</v>
          </cell>
          <cell r="D110" t="str">
            <v>R. DE LA FRONTERA - COBOS</v>
          </cell>
          <cell r="E110">
            <v>132</v>
          </cell>
          <cell r="F110">
            <v>130.4</v>
          </cell>
          <cell r="IC110">
            <v>1</v>
          </cell>
        </row>
        <row r="111">
          <cell r="C111">
            <v>94</v>
          </cell>
          <cell r="D111" t="str">
            <v>J.V. GONZALEZ - APOLINARIO SARAVIA</v>
          </cell>
          <cell r="E111">
            <v>132</v>
          </cell>
          <cell r="F111">
            <v>94</v>
          </cell>
        </row>
        <row r="112">
          <cell r="C112">
            <v>95</v>
          </cell>
          <cell r="D112" t="str">
            <v>ANDALGALA - SAULIL</v>
          </cell>
          <cell r="E112">
            <v>132</v>
          </cell>
          <cell r="F112">
            <v>76</v>
          </cell>
          <cell r="IH112">
            <v>1</v>
          </cell>
          <cell r="II112">
            <v>1</v>
          </cell>
        </row>
        <row r="113">
          <cell r="C113">
            <v>96</v>
          </cell>
          <cell r="D113" t="str">
            <v>SANTIAGO OESTE - SANT. SUR  - SANT. CENTRO</v>
          </cell>
          <cell r="E113">
            <v>132</v>
          </cell>
          <cell r="F113">
            <v>14.6</v>
          </cell>
          <cell r="IB113" t="str">
            <v>XXXX</v>
          </cell>
          <cell r="IC113" t="str">
            <v>XXXX</v>
          </cell>
          <cell r="ID113" t="str">
            <v>XXXX</v>
          </cell>
          <cell r="IE113" t="str">
            <v>XXXX</v>
          </cell>
          <cell r="IF113" t="str">
            <v>XXXX</v>
          </cell>
          <cell r="IG113" t="str">
            <v>XXXX</v>
          </cell>
          <cell r="IH113" t="str">
            <v>XXXX</v>
          </cell>
          <cell r="II113" t="str">
            <v>XXXX</v>
          </cell>
          <cell r="IJ113" t="str">
            <v>XXXX</v>
          </cell>
          <cell r="IK113" t="str">
            <v>XXXX</v>
          </cell>
          <cell r="IL113" t="str">
            <v>XXXX</v>
          </cell>
          <cell r="IM113" t="str">
            <v>XXXX</v>
          </cell>
        </row>
        <row r="114">
          <cell r="C114">
            <v>97</v>
          </cell>
          <cell r="D114" t="str">
            <v>LA RIOJA SUR - PI LA RIOJA  </v>
          </cell>
          <cell r="E114">
            <v>132</v>
          </cell>
          <cell r="F114">
            <v>40</v>
          </cell>
        </row>
        <row r="115">
          <cell r="C115">
            <v>98</v>
          </cell>
          <cell r="D115" t="str">
            <v>LA RIOJA SUR - PI. PATQUIA</v>
          </cell>
          <cell r="E115">
            <v>132</v>
          </cell>
          <cell r="F115">
            <v>40</v>
          </cell>
        </row>
        <row r="116">
          <cell r="C116">
            <v>99</v>
          </cell>
          <cell r="D116" t="str">
            <v>SUNCHO CORRAL - QUIMILI</v>
          </cell>
          <cell r="E116">
            <v>132</v>
          </cell>
          <cell r="F116">
            <v>108</v>
          </cell>
          <cell r="IG116">
            <v>1</v>
          </cell>
        </row>
        <row r="117">
          <cell r="C117">
            <v>100</v>
          </cell>
          <cell r="D117" t="str">
            <v>EL BRACHO - LA BANDA ESTE</v>
          </cell>
          <cell r="E117">
            <v>132</v>
          </cell>
          <cell r="F117">
            <v>140.9</v>
          </cell>
          <cell r="IC117">
            <v>1</v>
          </cell>
          <cell r="ID117">
            <v>3</v>
          </cell>
          <cell r="IE117">
            <v>2</v>
          </cell>
          <cell r="IF117">
            <v>1</v>
          </cell>
          <cell r="IG117">
            <v>1</v>
          </cell>
        </row>
        <row r="118">
          <cell r="C118">
            <v>101</v>
          </cell>
          <cell r="D118" t="str">
            <v>LA BANDA ESTE - LA BANDA</v>
          </cell>
          <cell r="E118">
            <v>132</v>
          </cell>
          <cell r="F118">
            <v>16.2</v>
          </cell>
          <cell r="ID118">
            <v>1</v>
          </cell>
        </row>
        <row r="119">
          <cell r="C119">
            <v>102</v>
          </cell>
          <cell r="D119" t="str">
            <v>TABACAL - PICHANAL</v>
          </cell>
          <cell r="E119">
            <v>132</v>
          </cell>
          <cell r="F119">
            <v>7</v>
          </cell>
        </row>
        <row r="120">
          <cell r="C120">
            <v>103</v>
          </cell>
          <cell r="D120" t="str">
            <v>ORAN - TABACAL</v>
          </cell>
          <cell r="E120">
            <v>132</v>
          </cell>
          <cell r="F120">
            <v>10</v>
          </cell>
        </row>
        <row r="121">
          <cell r="C121">
            <v>104</v>
          </cell>
          <cell r="D121" t="str">
            <v>MONTE QUEMADO -COPO - QUIMILI</v>
          </cell>
          <cell r="E121">
            <v>132</v>
          </cell>
          <cell r="F121">
            <v>218</v>
          </cell>
        </row>
        <row r="129">
          <cell r="IB129">
            <v>2.45</v>
          </cell>
          <cell r="IC129">
            <v>2.24</v>
          </cell>
          <cell r="ID129">
            <v>2.63</v>
          </cell>
          <cell r="IE129">
            <v>2.76</v>
          </cell>
          <cell r="IF129">
            <v>2.94</v>
          </cell>
          <cell r="IG129">
            <v>3.03</v>
          </cell>
          <cell r="IH129">
            <v>3.21</v>
          </cell>
          <cell r="II129">
            <v>3.79</v>
          </cell>
          <cell r="IJ129">
            <v>4.08</v>
          </cell>
          <cell r="IK129">
            <v>4.08</v>
          </cell>
          <cell r="IL129">
            <v>3.95</v>
          </cell>
          <cell r="IM129">
            <v>3.93</v>
          </cell>
          <cell r="IN129">
            <v>4.2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T46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7" customWidth="1"/>
    <col min="2" max="2" width="7.7109375" style="7" customWidth="1"/>
    <col min="3" max="3" width="10.421875" style="7" customWidth="1"/>
    <col min="4" max="5" width="9.00390625" style="7" customWidth="1"/>
    <col min="6" max="6" width="3.7109375" style="7" customWidth="1"/>
    <col min="7" max="8" width="20.7109375" style="7" customWidth="1"/>
    <col min="9" max="9" width="13.00390625" style="7" customWidth="1"/>
    <col min="10" max="10" width="15.7109375" style="7" customWidth="1"/>
    <col min="11" max="11" width="14.8515625" style="7" customWidth="1"/>
    <col min="12" max="12" width="15.7109375" style="7" customWidth="1"/>
    <col min="13" max="14" width="11.421875" style="7" customWidth="1"/>
    <col min="15" max="15" width="14.140625" style="7" customWidth="1"/>
    <col min="16" max="16" width="11.421875" style="7" customWidth="1"/>
    <col min="17" max="17" width="14.7109375" style="7" customWidth="1"/>
    <col min="18" max="18" width="11.421875" style="7" customWidth="1"/>
    <col min="19" max="19" width="12.00390625" style="7" customWidth="1"/>
    <col min="20" max="16384" width="11.421875" style="7" customWidth="1"/>
  </cols>
  <sheetData>
    <row r="1" spans="2:12" s="32" customFormat="1" ht="26.25">
      <c r="B1" s="33"/>
      <c r="L1" s="290"/>
    </row>
    <row r="2" spans="2:11" s="32" customFormat="1" ht="26.25">
      <c r="B2" s="33" t="s">
        <v>247</v>
      </c>
      <c r="C2" s="34"/>
      <c r="D2" s="35"/>
      <c r="E2" s="35"/>
      <c r="F2" s="35"/>
      <c r="G2" s="35"/>
      <c r="H2" s="35"/>
      <c r="I2" s="35"/>
      <c r="J2" s="35"/>
      <c r="K2" s="35"/>
    </row>
    <row r="3" spans="3:20" ht="12.75">
      <c r="C3"/>
      <c r="D3" s="36"/>
      <c r="E3" s="36"/>
      <c r="F3" s="36"/>
      <c r="G3" s="36"/>
      <c r="H3" s="36"/>
      <c r="I3" s="36"/>
      <c r="J3" s="36"/>
      <c r="K3" s="36"/>
      <c r="Q3" s="6"/>
      <c r="R3" s="6"/>
      <c r="S3" s="6"/>
      <c r="T3" s="6"/>
    </row>
    <row r="4" spans="1:20" s="39" customFormat="1" ht="11.25">
      <c r="A4" s="37" t="s">
        <v>4</v>
      </c>
      <c r="B4" s="38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s="39" customFormat="1" ht="11.25">
      <c r="A5" s="37" t="s">
        <v>5</v>
      </c>
      <c r="B5" s="38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2:20" s="32" customFormat="1" ht="6" customHeight="1">
      <c r="B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2:20" s="50" customFormat="1" ht="19.5">
      <c r="B7" s="106" t="s">
        <v>0</v>
      </c>
      <c r="C7" s="162"/>
      <c r="D7" s="163"/>
      <c r="E7" s="163"/>
      <c r="F7" s="163"/>
      <c r="G7" s="55"/>
      <c r="H7" s="55"/>
      <c r="I7" s="55"/>
      <c r="J7" s="55"/>
      <c r="K7" s="55"/>
      <c r="L7" s="57"/>
      <c r="M7" s="57"/>
      <c r="N7" s="57"/>
      <c r="O7" s="57"/>
      <c r="P7" s="57"/>
      <c r="Q7" s="57"/>
      <c r="R7" s="57"/>
      <c r="S7" s="57"/>
      <c r="T7" s="57"/>
    </row>
    <row r="8" spans="10:20" ht="12.75"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2:20" s="50" customFormat="1" ht="19.5">
      <c r="B9" s="106" t="s">
        <v>1</v>
      </c>
      <c r="C9" s="162"/>
      <c r="D9" s="163"/>
      <c r="E9" s="163"/>
      <c r="F9" s="163"/>
      <c r="G9" s="55"/>
      <c r="H9" s="55"/>
      <c r="I9" s="55"/>
      <c r="J9" s="55"/>
      <c r="K9" s="55"/>
      <c r="L9" s="57"/>
      <c r="M9" s="57"/>
      <c r="N9" s="57"/>
      <c r="O9" s="57"/>
      <c r="P9" s="57"/>
      <c r="Q9" s="57"/>
      <c r="R9" s="57"/>
      <c r="S9" s="57"/>
      <c r="T9" s="57"/>
    </row>
    <row r="10" spans="4:20" ht="12.75">
      <c r="D10" s="45"/>
      <c r="E10" s="45"/>
      <c r="F10" s="45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2:20" s="50" customFormat="1" ht="19.5">
      <c r="B11" s="106" t="s">
        <v>234</v>
      </c>
      <c r="C11" s="162"/>
      <c r="D11" s="163"/>
      <c r="E11" s="163"/>
      <c r="F11" s="163"/>
      <c r="G11" s="55"/>
      <c r="H11" s="55"/>
      <c r="I11" s="55"/>
      <c r="J11" s="55"/>
      <c r="K11" s="55"/>
      <c r="L11" s="57"/>
      <c r="M11" s="57"/>
      <c r="N11" s="57"/>
      <c r="O11" s="57"/>
      <c r="P11" s="57"/>
      <c r="Q11" s="57"/>
      <c r="R11" s="57"/>
      <c r="S11" s="57"/>
      <c r="T11" s="57"/>
    </row>
    <row r="12" spans="4:20" s="46" customFormat="1" ht="16.5" thickBot="1">
      <c r="D12" s="5"/>
      <c r="E12" s="5"/>
      <c r="F12" s="5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</row>
    <row r="13" spans="2:20" s="46" customFormat="1" ht="16.5" thickTop="1">
      <c r="B13" s="343">
        <v>2</v>
      </c>
      <c r="C13" s="342"/>
      <c r="D13" s="48"/>
      <c r="E13" s="48"/>
      <c r="F13" s="48"/>
      <c r="G13" s="48"/>
      <c r="H13" s="48"/>
      <c r="I13" s="48"/>
      <c r="J13" s="48"/>
      <c r="K13" s="49"/>
      <c r="L13" s="47"/>
      <c r="M13" s="47"/>
      <c r="N13" s="47"/>
      <c r="O13" s="47"/>
      <c r="P13" s="47"/>
      <c r="Q13" s="47"/>
      <c r="R13" s="47"/>
      <c r="S13" s="47"/>
      <c r="T13" s="47"/>
    </row>
    <row r="14" spans="2:20" s="50" customFormat="1" ht="19.5">
      <c r="B14" s="51" t="s">
        <v>162</v>
      </c>
      <c r="C14" s="52"/>
      <c r="D14" s="53"/>
      <c r="E14" s="54"/>
      <c r="F14" s="54"/>
      <c r="G14" s="54"/>
      <c r="H14" s="54"/>
      <c r="I14" s="54"/>
      <c r="J14" s="55"/>
      <c r="K14" s="56"/>
      <c r="L14" s="57"/>
      <c r="M14" s="57"/>
      <c r="N14" s="57"/>
      <c r="O14" s="57"/>
      <c r="P14" s="57"/>
      <c r="Q14" s="57"/>
      <c r="R14" s="57"/>
      <c r="S14" s="57"/>
      <c r="T14" s="57"/>
    </row>
    <row r="15" spans="2:20" s="50" customFormat="1" ht="19.5" hidden="1">
      <c r="B15" s="58"/>
      <c r="C15" s="59"/>
      <c r="D15" s="59"/>
      <c r="E15" s="57"/>
      <c r="F15" s="57"/>
      <c r="G15" s="60"/>
      <c r="H15" s="60"/>
      <c r="I15" s="60"/>
      <c r="J15" s="57"/>
      <c r="K15" s="61"/>
      <c r="L15" s="57"/>
      <c r="M15" s="57"/>
      <c r="N15" s="57"/>
      <c r="O15" s="57"/>
      <c r="P15" s="57"/>
      <c r="Q15" s="57"/>
      <c r="R15" s="57"/>
      <c r="S15" s="57"/>
      <c r="T15" s="57"/>
    </row>
    <row r="16" spans="2:20" s="50" customFormat="1" ht="19.5" hidden="1">
      <c r="B16" s="51" t="s">
        <v>6</v>
      </c>
      <c r="C16" s="160"/>
      <c r="D16" s="160"/>
      <c r="E16" s="55"/>
      <c r="F16" s="55"/>
      <c r="G16" s="54"/>
      <c r="H16" s="54"/>
      <c r="I16" s="54"/>
      <c r="J16" s="55"/>
      <c r="K16" s="56"/>
      <c r="L16"/>
      <c r="M16" s="57"/>
      <c r="N16" s="57"/>
      <c r="O16" s="57"/>
      <c r="P16" s="57"/>
      <c r="Q16" s="57"/>
      <c r="R16" s="57"/>
      <c r="S16" s="57"/>
      <c r="T16" s="57"/>
    </row>
    <row r="17" spans="2:20" s="50" customFormat="1" ht="19.5">
      <c r="B17" s="51"/>
      <c r="C17" s="160"/>
      <c r="D17" s="160"/>
      <c r="E17" s="55"/>
      <c r="F17" s="55"/>
      <c r="G17" s="54"/>
      <c r="H17" s="54"/>
      <c r="I17" s="54"/>
      <c r="J17" s="55"/>
      <c r="K17" s="56"/>
      <c r="L17"/>
      <c r="M17" s="57"/>
      <c r="N17" s="57"/>
      <c r="O17" s="57"/>
      <c r="P17" s="57"/>
      <c r="Q17" s="57"/>
      <c r="R17" s="57"/>
      <c r="S17" s="57"/>
      <c r="T17" s="57"/>
    </row>
    <row r="18" spans="2:20" s="50" customFormat="1" ht="19.5">
      <c r="B18" s="576" t="s">
        <v>246</v>
      </c>
      <c r="C18" s="577"/>
      <c r="D18" s="577"/>
      <c r="E18" s="577"/>
      <c r="F18" s="577"/>
      <c r="G18" s="577"/>
      <c r="H18" s="577"/>
      <c r="I18" s="577"/>
      <c r="J18" s="577"/>
      <c r="K18" s="578"/>
      <c r="L18"/>
      <c r="M18" s="57"/>
      <c r="N18" s="57"/>
      <c r="O18" s="57"/>
      <c r="P18" s="57"/>
      <c r="Q18" s="57"/>
      <c r="R18" s="57"/>
      <c r="S18" s="57"/>
      <c r="T18" s="57"/>
    </row>
    <row r="19" spans="2:20" s="50" customFormat="1" ht="19.5">
      <c r="B19" s="573"/>
      <c r="C19" s="574"/>
      <c r="D19" s="574"/>
      <c r="E19" s="574"/>
      <c r="F19" s="574"/>
      <c r="G19" s="574"/>
      <c r="H19" s="574"/>
      <c r="I19" s="574"/>
      <c r="J19" s="574"/>
      <c r="K19" s="575"/>
      <c r="L19"/>
      <c r="M19" s="57"/>
      <c r="N19" s="57"/>
      <c r="O19" s="57"/>
      <c r="P19" s="57"/>
      <c r="Q19" s="57"/>
      <c r="R19" s="57"/>
      <c r="S19" s="57"/>
      <c r="T19" s="57"/>
    </row>
    <row r="20" spans="2:20" s="50" customFormat="1" ht="19.5">
      <c r="B20" s="58"/>
      <c r="C20" s="62" t="s">
        <v>7</v>
      </c>
      <c r="D20" s="63" t="s">
        <v>3</v>
      </c>
      <c r="E20" s="57"/>
      <c r="F20" s="57"/>
      <c r="G20" s="60"/>
      <c r="H20" s="60"/>
      <c r="I20" s="60"/>
      <c r="J20" s="64"/>
      <c r="K20" s="61"/>
      <c r="L20" s="57"/>
      <c r="M20" s="57"/>
      <c r="N20" s="57"/>
      <c r="O20" s="57"/>
      <c r="P20" s="57"/>
      <c r="Q20" s="57"/>
      <c r="R20" s="57"/>
      <c r="S20" s="57"/>
      <c r="T20" s="57"/>
    </row>
    <row r="21" spans="2:20" s="50" customFormat="1" ht="19.5">
      <c r="B21" s="58"/>
      <c r="C21" s="62"/>
      <c r="D21" s="62" t="s">
        <v>8</v>
      </c>
      <c r="E21" s="71" t="s">
        <v>9</v>
      </c>
      <c r="F21" s="71"/>
      <c r="G21" s="60"/>
      <c r="H21" s="60"/>
      <c r="I21" s="60"/>
      <c r="J21" s="64">
        <f>'LI-07 (3)'!AA42</f>
        <v>59798.57</v>
      </c>
      <c r="K21" s="61"/>
      <c r="L21" s="57"/>
      <c r="M21" s="57"/>
      <c r="N21" s="57"/>
      <c r="O21" s="57"/>
      <c r="P21" s="57"/>
      <c r="Q21" s="57"/>
      <c r="R21" s="57"/>
      <c r="S21" s="57"/>
      <c r="T21" s="57"/>
    </row>
    <row r="22" spans="2:20" s="50" customFormat="1" ht="19.5">
      <c r="B22" s="58"/>
      <c r="C22" s="62"/>
      <c r="D22" s="59" t="s">
        <v>10</v>
      </c>
      <c r="E22" s="71" t="s">
        <v>221</v>
      </c>
      <c r="F22" s="71"/>
      <c r="G22" s="60"/>
      <c r="H22" s="60"/>
      <c r="I22" s="60"/>
      <c r="J22" s="64">
        <f>'LI-RIOJA-07 (1)'!AA42</f>
        <v>1508.13</v>
      </c>
      <c r="K22" s="61"/>
      <c r="L22" s="57"/>
      <c r="M22" s="57"/>
      <c r="N22" s="57"/>
      <c r="O22" s="57"/>
      <c r="P22" s="57"/>
      <c r="Q22" s="57"/>
      <c r="R22" s="57"/>
      <c r="S22" s="57"/>
      <c r="T22" s="57"/>
    </row>
    <row r="23" spans="2:20" ht="7.5" customHeight="1">
      <c r="B23" s="65"/>
      <c r="C23" s="66"/>
      <c r="D23" s="67"/>
      <c r="E23" s="6"/>
      <c r="F23" s="6"/>
      <c r="G23" s="68"/>
      <c r="H23" s="68"/>
      <c r="I23" s="68"/>
      <c r="J23" s="69"/>
      <c r="K23" s="8"/>
      <c r="L23" s="6"/>
      <c r="M23" s="6"/>
      <c r="N23" s="6"/>
      <c r="O23" s="6"/>
      <c r="P23" s="6"/>
      <c r="Q23" s="6"/>
      <c r="R23" s="6"/>
      <c r="S23" s="6"/>
      <c r="T23" s="6"/>
    </row>
    <row r="24" spans="2:20" s="50" customFormat="1" ht="19.5">
      <c r="B24" s="58"/>
      <c r="C24" s="62" t="s">
        <v>11</v>
      </c>
      <c r="D24" s="63" t="s">
        <v>12</v>
      </c>
      <c r="E24" s="57"/>
      <c r="F24" s="57"/>
      <c r="G24" s="60"/>
      <c r="H24" s="60"/>
      <c r="I24" s="60"/>
      <c r="J24" s="64"/>
      <c r="K24" s="61"/>
      <c r="L24" s="57"/>
      <c r="M24" s="57"/>
      <c r="N24" s="57"/>
      <c r="O24" s="57"/>
      <c r="P24" s="57"/>
      <c r="Q24" s="57"/>
      <c r="R24" s="57"/>
      <c r="S24" s="57"/>
      <c r="T24" s="57"/>
    </row>
    <row r="25" spans="2:20" s="50" customFormat="1" ht="19.5">
      <c r="B25" s="58"/>
      <c r="C25" s="62"/>
      <c r="D25" s="62" t="s">
        <v>13</v>
      </c>
      <c r="E25" s="71" t="s">
        <v>14</v>
      </c>
      <c r="F25" s="71"/>
      <c r="G25" s="60"/>
      <c r="H25" s="60"/>
      <c r="I25" s="60"/>
      <c r="J25" s="64"/>
      <c r="K25" s="61"/>
      <c r="L25" s="57"/>
      <c r="M25" s="57"/>
      <c r="N25" s="57"/>
      <c r="O25" s="57"/>
      <c r="P25" s="57"/>
      <c r="Q25" s="57"/>
      <c r="R25" s="57"/>
      <c r="S25" s="57"/>
      <c r="T25" s="57"/>
    </row>
    <row r="26" spans="2:20" s="50" customFormat="1" ht="19.5">
      <c r="B26" s="58"/>
      <c r="C26" s="62"/>
      <c r="D26"/>
      <c r="E26" s="62" t="s">
        <v>15</v>
      </c>
      <c r="F26" s="71" t="s">
        <v>9</v>
      </c>
      <c r="G26"/>
      <c r="H26" s="60"/>
      <c r="I26" s="60"/>
      <c r="J26" s="64">
        <f>'T-07 (2)'!AC45</f>
        <v>150620.6</v>
      </c>
      <c r="K26" s="61"/>
      <c r="L26" s="57"/>
      <c r="M26" s="57"/>
      <c r="N26" s="57"/>
      <c r="O26" s="57"/>
      <c r="P26" s="57"/>
      <c r="Q26" s="57"/>
      <c r="R26" s="57"/>
      <c r="S26" s="57"/>
      <c r="T26" s="57"/>
    </row>
    <row r="27" spans="2:20" ht="8.25" customHeight="1">
      <c r="B27" s="65"/>
      <c r="C27" s="66"/>
      <c r="D27" s="66"/>
      <c r="E27" s="6"/>
      <c r="F27" s="6"/>
      <c r="G27" s="68"/>
      <c r="H27" s="68"/>
      <c r="I27" s="68"/>
      <c r="J27" s="70"/>
      <c r="K27" s="8"/>
      <c r="L27" s="6"/>
      <c r="M27" s="6"/>
      <c r="N27" s="6"/>
      <c r="O27" s="6"/>
      <c r="P27" s="6"/>
      <c r="Q27" s="6"/>
      <c r="R27" s="6"/>
      <c r="S27" s="6"/>
      <c r="T27" s="6"/>
    </row>
    <row r="28" spans="2:20" s="50" customFormat="1" ht="9" customHeight="1">
      <c r="B28" s="58"/>
      <c r="C28" s="59"/>
      <c r="D28" s="59"/>
      <c r="E28" s="71"/>
      <c r="F28" s="71"/>
      <c r="G28" s="60"/>
      <c r="H28" s="60"/>
      <c r="I28" s="60"/>
      <c r="J28" s="64"/>
      <c r="K28" s="61"/>
      <c r="L28" s="57"/>
      <c r="M28" s="57"/>
      <c r="N28" s="57"/>
      <c r="O28" s="57"/>
      <c r="P28" s="57"/>
      <c r="Q28" s="57"/>
      <c r="R28" s="57"/>
      <c r="S28" s="57"/>
      <c r="T28" s="57"/>
    </row>
    <row r="29" spans="2:20" s="50" customFormat="1" ht="19.5">
      <c r="B29" s="58"/>
      <c r="C29" s="59" t="s">
        <v>161</v>
      </c>
      <c r="D29" s="355" t="s">
        <v>220</v>
      </c>
      <c r="E29" s="57"/>
      <c r="F29" s="57"/>
      <c r="G29" s="60"/>
      <c r="H29" s="60"/>
      <c r="I29" s="60"/>
      <c r="J29" s="64">
        <f>'SUP-TRANSPORTEL'!I44</f>
        <v>301.6267200000001</v>
      </c>
      <c r="K29" s="61"/>
      <c r="L29" s="57"/>
      <c r="M29" s="57"/>
      <c r="N29" s="57"/>
      <c r="O29" s="57"/>
      <c r="P29" s="57"/>
      <c r="Q29" s="57"/>
      <c r="R29" s="57"/>
      <c r="S29" s="57"/>
      <c r="T29" s="57"/>
    </row>
    <row r="30" spans="2:20" s="50" customFormat="1" ht="19.5">
      <c r="B30" s="58"/>
      <c r="C30" s="62"/>
      <c r="D30" s="62"/>
      <c r="E30" s="71"/>
      <c r="F30" s="71"/>
      <c r="G30" s="60"/>
      <c r="H30" s="60"/>
      <c r="I30" s="60"/>
      <c r="J30" s="64"/>
      <c r="K30" s="61"/>
      <c r="L30" s="57"/>
      <c r="M30" s="57"/>
      <c r="N30" s="57"/>
      <c r="O30" s="57"/>
      <c r="P30" s="57"/>
      <c r="Q30" s="57"/>
      <c r="R30" s="57"/>
      <c r="S30" s="57"/>
      <c r="T30" s="57"/>
    </row>
    <row r="31" spans="2:20" s="50" customFormat="1" ht="20.25" thickBot="1">
      <c r="B31" s="58"/>
      <c r="C31" s="59"/>
      <c r="D31" s="59"/>
      <c r="E31" s="57"/>
      <c r="F31" s="57"/>
      <c r="G31" s="60"/>
      <c r="H31" s="60"/>
      <c r="I31" s="60"/>
      <c r="J31" s="57"/>
      <c r="K31" s="61"/>
      <c r="L31" s="57"/>
      <c r="M31" s="57"/>
      <c r="N31" s="57"/>
      <c r="O31" s="57"/>
      <c r="P31" s="57"/>
      <c r="Q31" s="57"/>
      <c r="R31" s="57"/>
      <c r="S31" s="57"/>
      <c r="T31" s="57"/>
    </row>
    <row r="32" spans="2:20" s="50" customFormat="1" ht="20.25" thickBot="1" thickTop="1">
      <c r="B32" s="58"/>
      <c r="C32" s="62"/>
      <c r="D32" s="62"/>
      <c r="G32" s="72" t="s">
        <v>16</v>
      </c>
      <c r="H32" s="73">
        <f>SUM(J20:J30)</f>
        <v>212228.92672</v>
      </c>
      <c r="I32" s="161"/>
      <c r="K32" s="61"/>
      <c r="L32" s="57"/>
      <c r="M32" s="57"/>
      <c r="N32" s="57"/>
      <c r="O32" s="57"/>
      <c r="P32" s="57"/>
      <c r="Q32" s="57"/>
      <c r="R32" s="57"/>
      <c r="S32" s="57"/>
      <c r="T32" s="57"/>
    </row>
    <row r="33" spans="2:20" s="50" customFormat="1" ht="13.5" customHeight="1" thickTop="1">
      <c r="B33" s="58"/>
      <c r="C33" s="62"/>
      <c r="D33" s="62"/>
      <c r="G33" s="331"/>
      <c r="H33" s="161"/>
      <c r="I33" s="161"/>
      <c r="K33" s="61"/>
      <c r="L33" s="57"/>
      <c r="M33" s="57"/>
      <c r="N33" s="57"/>
      <c r="O33" s="57"/>
      <c r="P33" s="57"/>
      <c r="Q33" s="57"/>
      <c r="R33" s="57"/>
      <c r="S33" s="57"/>
      <c r="T33" s="57"/>
    </row>
    <row r="34" spans="2:20" s="50" customFormat="1" ht="15.75" customHeight="1">
      <c r="B34" s="58"/>
      <c r="C34" s="332" t="s">
        <v>233</v>
      </c>
      <c r="D34" s="62"/>
      <c r="G34" s="331"/>
      <c r="H34" s="161"/>
      <c r="I34" s="161"/>
      <c r="K34" s="61"/>
      <c r="L34" s="57"/>
      <c r="M34" s="57"/>
      <c r="N34" s="57"/>
      <c r="O34" s="57"/>
      <c r="P34" s="57"/>
      <c r="Q34" s="57"/>
      <c r="R34" s="57"/>
      <c r="S34" s="57"/>
      <c r="T34" s="57"/>
    </row>
    <row r="35" spans="2:20" s="46" customFormat="1" ht="12.75" customHeight="1" thickBot="1">
      <c r="B35" s="74"/>
      <c r="C35" s="75"/>
      <c r="D35" s="75"/>
      <c r="E35" s="76"/>
      <c r="F35" s="76"/>
      <c r="G35" s="76"/>
      <c r="H35" s="76"/>
      <c r="I35" s="76"/>
      <c r="J35" s="76"/>
      <c r="K35" s="77"/>
      <c r="L35" s="47"/>
      <c r="M35" s="47"/>
      <c r="N35" s="78"/>
      <c r="O35" s="79"/>
      <c r="P35" s="79"/>
      <c r="Q35" s="80"/>
      <c r="R35" s="81"/>
      <c r="S35" s="47"/>
      <c r="T35" s="47"/>
    </row>
    <row r="36" spans="4:20" ht="13.5" thickTop="1">
      <c r="D36" s="6"/>
      <c r="G36" s="6"/>
      <c r="H36" s="6"/>
      <c r="I36" s="6"/>
      <c r="J36" s="6"/>
      <c r="K36" s="6"/>
      <c r="L36" s="6"/>
      <c r="M36" s="6"/>
      <c r="N36" s="26"/>
      <c r="O36" s="82"/>
      <c r="P36" s="82"/>
      <c r="Q36" s="6"/>
      <c r="R36" s="83"/>
      <c r="S36" s="6"/>
      <c r="T36" s="6"/>
    </row>
    <row r="37" spans="4:20" ht="12.75">
      <c r="D37" s="6"/>
      <c r="G37" s="6"/>
      <c r="H37" s="6"/>
      <c r="I37" s="6"/>
      <c r="J37" s="6"/>
      <c r="K37" s="6"/>
      <c r="L37" s="6"/>
      <c r="M37" s="6"/>
      <c r="N37" s="6"/>
      <c r="O37" s="84"/>
      <c r="P37" s="84"/>
      <c r="Q37" s="85"/>
      <c r="R37" s="83"/>
      <c r="S37" s="6"/>
      <c r="T37" s="6"/>
    </row>
    <row r="38" spans="4:20" ht="12.75"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84"/>
      <c r="P38" s="84"/>
      <c r="Q38" s="85"/>
      <c r="R38" s="83"/>
      <c r="S38" s="6"/>
      <c r="T38" s="6"/>
    </row>
    <row r="39" spans="4:20" ht="12.75">
      <c r="D39" s="6"/>
      <c r="E39" s="6"/>
      <c r="F39" s="6"/>
      <c r="M39" s="6"/>
      <c r="N39" s="6"/>
      <c r="O39" s="6"/>
      <c r="P39" s="6"/>
      <c r="Q39" s="6"/>
      <c r="R39" s="6"/>
      <c r="S39" s="6"/>
      <c r="T39" s="6"/>
    </row>
    <row r="40" spans="4:20" ht="12.75">
      <c r="D40" s="6"/>
      <c r="E40" s="6"/>
      <c r="F40" s="6"/>
      <c r="Q40" s="6"/>
      <c r="R40" s="6"/>
      <c r="S40" s="6"/>
      <c r="T40" s="6"/>
    </row>
    <row r="41" spans="4:20" ht="12.75">
      <c r="D41" s="6"/>
      <c r="E41" s="6"/>
      <c r="F41" s="6"/>
      <c r="Q41" s="6"/>
      <c r="R41" s="6"/>
      <c r="S41" s="6"/>
      <c r="T41" s="6"/>
    </row>
    <row r="42" spans="4:20" ht="12.75">
      <c r="D42" s="6"/>
      <c r="E42" s="6"/>
      <c r="F42" s="6"/>
      <c r="Q42" s="6"/>
      <c r="R42" s="6"/>
      <c r="S42" s="6"/>
      <c r="T42" s="6"/>
    </row>
    <row r="43" spans="4:20" ht="12.75">
      <c r="D43" s="6"/>
      <c r="E43" s="6"/>
      <c r="F43" s="6"/>
      <c r="Q43" s="6"/>
      <c r="R43" s="6"/>
      <c r="S43" s="6"/>
      <c r="T43" s="6"/>
    </row>
    <row r="44" spans="4:20" ht="12.75">
      <c r="D44" s="6"/>
      <c r="E44" s="6"/>
      <c r="F44" s="6"/>
      <c r="Q44" s="6"/>
      <c r="R44" s="6"/>
      <c r="S44" s="6"/>
      <c r="T44" s="6"/>
    </row>
    <row r="45" spans="17:20" ht="12.75">
      <c r="Q45" s="6"/>
      <c r="R45" s="6"/>
      <c r="S45" s="6"/>
      <c r="T45" s="6"/>
    </row>
    <row r="46" spans="17:20" ht="12.75">
      <c r="Q46" s="6"/>
      <c r="R46" s="6"/>
      <c r="S46" s="6"/>
      <c r="T46" s="6"/>
    </row>
  </sheetData>
  <sheetProtection/>
  <mergeCells count="1">
    <mergeCell ref="B18:K18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5" r:id="rId2"/>
  <headerFooter alignWithMargins="0">
    <oddFooter>&amp;L&amp;"Times New Roman,Normal"&amp;8&amp;Z&amp;F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AC25"/>
  <sheetViews>
    <sheetView zoomScale="85" zoomScaleNormal="85" zoomScalePageLayoutView="0" workbookViewId="0" topLeftCell="A1">
      <pane xSplit="1" ySplit="17" topLeftCell="B1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B18" sqref="B18"/>
    </sheetView>
  </sheetViews>
  <sheetFormatPr defaultColWidth="11.421875" defaultRowHeight="12.75"/>
  <cols>
    <col min="1" max="1" width="21.7109375" style="86" customWidth="1"/>
    <col min="2" max="2" width="9.28125" style="86" customWidth="1"/>
    <col min="3" max="3" width="11.8515625" style="86" bestFit="1" customWidth="1"/>
    <col min="4" max="4" width="9.57421875" style="86" bestFit="1" customWidth="1"/>
    <col min="5" max="5" width="14.8515625" style="86" bestFit="1" customWidth="1"/>
    <col min="6" max="6" width="64.00390625" style="86" bestFit="1" customWidth="1"/>
    <col min="7" max="16384" width="11.421875" style="86" customWidth="1"/>
  </cols>
  <sheetData>
    <row r="1" spans="1:4" ht="12.75">
      <c r="A1" s="333" t="s">
        <v>92</v>
      </c>
      <c r="B1" s="333" t="s">
        <v>92</v>
      </c>
      <c r="C1" s="333" t="s">
        <v>93</v>
      </c>
      <c r="D1" s="333" t="s">
        <v>94</v>
      </c>
    </row>
    <row r="2" spans="1:4" ht="12.75">
      <c r="A2" s="334" t="s">
        <v>80</v>
      </c>
      <c r="B2" s="335" t="s">
        <v>95</v>
      </c>
      <c r="C2" s="334">
        <v>31</v>
      </c>
      <c r="D2" s="334">
        <v>2006</v>
      </c>
    </row>
    <row r="3" spans="1:4" ht="12.75">
      <c r="A3" s="334" t="s">
        <v>81</v>
      </c>
      <c r="B3" s="335" t="s">
        <v>96</v>
      </c>
      <c r="C3" s="334">
        <f>IF(MOD(E14,4)=0,29,28)</f>
        <v>28</v>
      </c>
      <c r="D3" s="334">
        <f>+D2+1</f>
        <v>2007</v>
      </c>
    </row>
    <row r="4" spans="1:4" ht="12.75">
      <c r="A4" s="334" t="s">
        <v>82</v>
      </c>
      <c r="B4" s="335" t="s">
        <v>97</v>
      </c>
      <c r="C4" s="334">
        <v>31</v>
      </c>
      <c r="D4" s="334">
        <v>2008</v>
      </c>
    </row>
    <row r="5" spans="1:4" ht="12.75">
      <c r="A5" s="334" t="s">
        <v>83</v>
      </c>
      <c r="B5" s="335" t="s">
        <v>98</v>
      </c>
      <c r="C5" s="334">
        <v>30</v>
      </c>
      <c r="D5" s="334">
        <v>2009</v>
      </c>
    </row>
    <row r="6" spans="1:4" ht="12.75">
      <c r="A6" s="334" t="s">
        <v>84</v>
      </c>
      <c r="B6" s="335" t="s">
        <v>99</v>
      </c>
      <c r="C6" s="334">
        <v>31</v>
      </c>
      <c r="D6" s="334">
        <v>2010</v>
      </c>
    </row>
    <row r="7" spans="1:4" ht="12.75">
      <c r="A7" s="334" t="s">
        <v>85</v>
      </c>
      <c r="B7" s="335" t="s">
        <v>100</v>
      </c>
      <c r="C7" s="334">
        <v>30</v>
      </c>
      <c r="D7" s="334">
        <v>2011</v>
      </c>
    </row>
    <row r="8" spans="1:4" ht="12.75">
      <c r="A8" s="334" t="s">
        <v>86</v>
      </c>
      <c r="B8" s="335" t="s">
        <v>101</v>
      </c>
      <c r="C8" s="334">
        <v>31</v>
      </c>
      <c r="D8" s="334">
        <v>2012</v>
      </c>
    </row>
    <row r="9" spans="1:4" ht="12.75">
      <c r="A9" s="334" t="s">
        <v>87</v>
      </c>
      <c r="B9" s="335" t="s">
        <v>102</v>
      </c>
      <c r="C9" s="334">
        <v>31</v>
      </c>
      <c r="D9" s="334">
        <v>2013</v>
      </c>
    </row>
    <row r="10" spans="1:4" ht="12.75">
      <c r="A10" s="334" t="s">
        <v>88</v>
      </c>
      <c r="B10" s="335" t="s">
        <v>103</v>
      </c>
      <c r="C10" s="334">
        <v>30</v>
      </c>
      <c r="D10" s="334">
        <v>2014</v>
      </c>
    </row>
    <row r="11" spans="1:4" ht="12.75">
      <c r="A11" s="334" t="s">
        <v>89</v>
      </c>
      <c r="B11" s="335" t="s">
        <v>104</v>
      </c>
      <c r="C11" s="334">
        <v>31</v>
      </c>
      <c r="D11" s="334"/>
    </row>
    <row r="12" spans="1:4" ht="12.75">
      <c r="A12" s="334" t="s">
        <v>90</v>
      </c>
      <c r="B12" s="335" t="s">
        <v>105</v>
      </c>
      <c r="C12" s="334">
        <v>30</v>
      </c>
      <c r="D12" s="334"/>
    </row>
    <row r="13" spans="1:9" ht="12.75">
      <c r="A13" s="334" t="s">
        <v>91</v>
      </c>
      <c r="B13" s="335" t="s">
        <v>106</v>
      </c>
      <c r="C13" s="334">
        <v>31</v>
      </c>
      <c r="D13" s="334"/>
      <c r="I13" s="350" t="s">
        <v>148</v>
      </c>
    </row>
    <row r="14" spans="1:9" ht="12.75">
      <c r="A14" s="336">
        <v>9</v>
      </c>
      <c r="B14" s="337">
        <v>7</v>
      </c>
      <c r="C14" s="336" t="str">
        <f ca="1">CELL("CONTENIDO",OFFSET(A1,B14,0))</f>
        <v>julio</v>
      </c>
      <c r="D14" s="336">
        <f ca="1">CELL("CONTENIDO",OFFSET(C1,B14,0))</f>
        <v>31</v>
      </c>
      <c r="E14" s="336">
        <f ca="1">CELL("CONTENIDO",OFFSET(D1,A14,0))</f>
        <v>2014</v>
      </c>
      <c r="F14" s="336" t="str">
        <f>"Desde el 01 al "&amp;D14&amp;" de "&amp;C14&amp;" de "&amp;E14</f>
        <v>Desde el 01 al 31 de julio de 2014</v>
      </c>
      <c r="G14" s="336" t="str">
        <f ca="1">CELL("CONTENIDO",OFFSET(B1,B14,0))</f>
        <v>07</v>
      </c>
      <c r="H14" s="336" t="str">
        <f>RIGHT(E14,2)</f>
        <v>14</v>
      </c>
      <c r="I14" s="351" t="s">
        <v>149</v>
      </c>
    </row>
    <row r="15" spans="1:8" ht="12.75">
      <c r="A15" s="336"/>
      <c r="B15" s="338" t="str">
        <f>"\\rugor\files\Transporte\Transporte\AA PROCESO AUT ARCHIVOS J\TRANSNOA\"&amp;E14</f>
        <v>\\rugor\files\Transporte\Transporte\AA PROCESO AUT ARCHIVOS J\TRANSNOA\2014</v>
      </c>
      <c r="C15" s="336"/>
      <c r="D15" s="336"/>
      <c r="E15" s="336"/>
      <c r="F15" s="336"/>
      <c r="G15" s="336" t="str">
        <f>"J"&amp;G14&amp;H14&amp;"NOA"</f>
        <v>J0714NOA</v>
      </c>
      <c r="H15" s="336"/>
    </row>
    <row r="16" spans="1:8" ht="12.75">
      <c r="A16" s="336"/>
      <c r="B16" s="338" t="str">
        <f>"\\rugor\files\Transporte\transporte\AA PROCESO AUT\INTERCAMBIO\"&amp;H14&amp;G14</f>
        <v>\\rugor\files\Transporte\transporte\AA PROCESO AUT\INTERCAMBIO\1407</v>
      </c>
      <c r="C16" s="336"/>
      <c r="D16" s="336"/>
      <c r="E16" s="336"/>
      <c r="F16" s="336"/>
      <c r="G16" s="336"/>
      <c r="H16" s="336"/>
    </row>
    <row r="17" spans="1:29" s="346" customFormat="1" ht="12.75">
      <c r="A17" s="333" t="s">
        <v>107</v>
      </c>
      <c r="B17" s="333" t="s">
        <v>108</v>
      </c>
      <c r="C17" s="333" t="s">
        <v>109</v>
      </c>
      <c r="D17" s="333" t="s">
        <v>110</v>
      </c>
      <c r="E17" s="333" t="s">
        <v>111</v>
      </c>
      <c r="F17" s="333" t="s">
        <v>112</v>
      </c>
      <c r="G17" s="333" t="s">
        <v>113</v>
      </c>
      <c r="H17" s="333" t="s">
        <v>114</v>
      </c>
      <c r="I17" s="333" t="s">
        <v>115</v>
      </c>
      <c r="J17" s="333" t="s">
        <v>116</v>
      </c>
      <c r="K17" s="333" t="s">
        <v>117</v>
      </c>
      <c r="L17" s="333" t="s">
        <v>118</v>
      </c>
      <c r="M17" s="333" t="s">
        <v>119</v>
      </c>
      <c r="N17" s="333" t="s">
        <v>120</v>
      </c>
      <c r="O17" s="333" t="s">
        <v>121</v>
      </c>
      <c r="P17" s="333" t="s">
        <v>122</v>
      </c>
      <c r="Q17" s="333" t="s">
        <v>123</v>
      </c>
      <c r="R17" s="333" t="s">
        <v>124</v>
      </c>
      <c r="S17" s="333" t="s">
        <v>125</v>
      </c>
      <c r="T17" s="333" t="s">
        <v>126</v>
      </c>
      <c r="U17" s="333" t="s">
        <v>127</v>
      </c>
      <c r="V17" s="333" t="s">
        <v>128</v>
      </c>
      <c r="W17" s="333" t="s">
        <v>138</v>
      </c>
      <c r="X17" s="333" t="s">
        <v>139</v>
      </c>
      <c r="Y17" s="333" t="s">
        <v>140</v>
      </c>
      <c r="Z17" s="333" t="s">
        <v>141</v>
      </c>
      <c r="AA17" s="333" t="s">
        <v>142</v>
      </c>
      <c r="AB17" s="333" t="s">
        <v>143</v>
      </c>
      <c r="AC17" s="333" t="s">
        <v>137</v>
      </c>
    </row>
    <row r="18" spans="1:29" ht="12.75">
      <c r="A18" s="339" t="s">
        <v>129</v>
      </c>
      <c r="B18" s="339">
        <v>21</v>
      </c>
      <c r="C18" s="339">
        <v>20</v>
      </c>
      <c r="D18" s="339">
        <v>11</v>
      </c>
      <c r="E18" s="339" t="str">
        <f>"LI-"&amp;$G$14</f>
        <v>LI-07</v>
      </c>
      <c r="F18" s="339" t="s">
        <v>150</v>
      </c>
      <c r="G18" s="339">
        <v>3</v>
      </c>
      <c r="H18" s="340">
        <v>5</v>
      </c>
      <c r="I18" s="340">
        <v>4</v>
      </c>
      <c r="J18" s="339">
        <v>6</v>
      </c>
      <c r="K18" s="339">
        <v>7</v>
      </c>
      <c r="L18" s="339">
        <v>8</v>
      </c>
      <c r="M18" s="339">
        <v>0</v>
      </c>
      <c r="N18" s="339">
        <v>10</v>
      </c>
      <c r="O18" s="339">
        <v>11</v>
      </c>
      <c r="P18" s="339">
        <v>14</v>
      </c>
      <c r="Q18" s="339">
        <v>0</v>
      </c>
      <c r="R18" s="339">
        <v>26</v>
      </c>
      <c r="S18" s="339">
        <v>0</v>
      </c>
      <c r="T18" s="339">
        <v>0</v>
      </c>
      <c r="U18" s="339">
        <v>0</v>
      </c>
      <c r="V18" s="339">
        <v>0</v>
      </c>
      <c r="W18" s="339">
        <v>19</v>
      </c>
      <c r="X18" s="339">
        <v>10</v>
      </c>
      <c r="Y18" s="339">
        <v>42</v>
      </c>
      <c r="Z18" s="339">
        <v>27</v>
      </c>
      <c r="AA18" s="339">
        <v>19</v>
      </c>
      <c r="AB18" s="339">
        <v>27</v>
      </c>
      <c r="AC18" s="339">
        <v>14</v>
      </c>
    </row>
    <row r="19" spans="1:29" ht="12.75">
      <c r="A19" s="341" t="s">
        <v>130</v>
      </c>
      <c r="B19" s="341">
        <v>24</v>
      </c>
      <c r="C19" s="341">
        <v>20</v>
      </c>
      <c r="D19" s="341">
        <v>13</v>
      </c>
      <c r="E19" s="341" t="str">
        <f>"T-"&amp;$G$14</f>
        <v>T-07</v>
      </c>
      <c r="F19" s="341" t="s">
        <v>151</v>
      </c>
      <c r="G19" s="339">
        <v>3</v>
      </c>
      <c r="H19" s="340">
        <v>5</v>
      </c>
      <c r="I19" s="340">
        <v>4</v>
      </c>
      <c r="J19" s="341">
        <v>6</v>
      </c>
      <c r="K19" s="341">
        <v>7</v>
      </c>
      <c r="L19" s="341">
        <v>8</v>
      </c>
      <c r="M19" s="341">
        <v>9</v>
      </c>
      <c r="N19" s="341">
        <v>11</v>
      </c>
      <c r="O19" s="341">
        <v>12</v>
      </c>
      <c r="P19" s="341">
        <v>15</v>
      </c>
      <c r="Q19" s="341">
        <v>16</v>
      </c>
      <c r="R19" s="341">
        <v>18</v>
      </c>
      <c r="S19" s="341">
        <v>28</v>
      </c>
      <c r="T19" s="341">
        <v>17</v>
      </c>
      <c r="U19" s="341">
        <v>0</v>
      </c>
      <c r="V19" s="341">
        <v>0</v>
      </c>
      <c r="W19" s="341">
        <v>25</v>
      </c>
      <c r="X19" s="339">
        <v>10</v>
      </c>
      <c r="Y19" s="341">
        <v>45</v>
      </c>
      <c r="Z19" s="341">
        <v>29</v>
      </c>
      <c r="AA19" s="341">
        <v>22</v>
      </c>
      <c r="AB19" s="341">
        <v>29</v>
      </c>
      <c r="AC19" s="341">
        <v>15</v>
      </c>
    </row>
    <row r="20" spans="1:29" ht="12.75">
      <c r="A20" s="339" t="s">
        <v>131</v>
      </c>
      <c r="B20" s="339">
        <v>23</v>
      </c>
      <c r="C20" s="339">
        <v>20</v>
      </c>
      <c r="D20" s="339">
        <v>10</v>
      </c>
      <c r="E20" s="339" t="str">
        <f>"SA-"&amp;$G$14</f>
        <v>SA-07</v>
      </c>
      <c r="F20" s="339" t="s">
        <v>152</v>
      </c>
      <c r="G20" s="339">
        <v>3</v>
      </c>
      <c r="H20" s="340">
        <v>5</v>
      </c>
      <c r="I20" s="340">
        <v>4</v>
      </c>
      <c r="J20" s="339">
        <v>6</v>
      </c>
      <c r="K20" s="339">
        <v>7</v>
      </c>
      <c r="L20" s="339">
        <v>8</v>
      </c>
      <c r="M20" s="339">
        <v>10</v>
      </c>
      <c r="N20" s="339">
        <v>11</v>
      </c>
      <c r="O20" s="339">
        <v>14</v>
      </c>
      <c r="P20" s="339">
        <v>15</v>
      </c>
      <c r="Q20" s="339">
        <v>21</v>
      </c>
      <c r="R20" s="339">
        <v>0</v>
      </c>
      <c r="S20" s="339">
        <v>0</v>
      </c>
      <c r="T20" s="339">
        <v>0</v>
      </c>
      <c r="U20" s="339">
        <v>0</v>
      </c>
      <c r="V20" s="339">
        <v>0</v>
      </c>
      <c r="W20" s="339">
        <v>29</v>
      </c>
      <c r="X20" s="339">
        <v>10</v>
      </c>
      <c r="Y20" s="339">
        <v>44</v>
      </c>
      <c r="Z20" s="339">
        <v>22</v>
      </c>
      <c r="AA20" s="339">
        <v>21</v>
      </c>
      <c r="AB20" s="339">
        <v>22</v>
      </c>
      <c r="AC20" s="339">
        <v>14</v>
      </c>
    </row>
    <row r="21" spans="1:29" ht="12.75">
      <c r="A21" s="339" t="s">
        <v>157</v>
      </c>
      <c r="B21" s="339">
        <v>21</v>
      </c>
      <c r="C21" s="339">
        <v>20</v>
      </c>
      <c r="D21" s="339">
        <v>11</v>
      </c>
      <c r="E21" s="339" t="str">
        <f>"LI-RIOJA-"&amp;$G$14</f>
        <v>LI-RIOJA-07</v>
      </c>
      <c r="F21" s="339" t="s">
        <v>158</v>
      </c>
      <c r="G21" s="339">
        <v>3</v>
      </c>
      <c r="H21" s="340">
        <v>5</v>
      </c>
      <c r="I21" s="340">
        <v>4</v>
      </c>
      <c r="J21" s="339">
        <v>6</v>
      </c>
      <c r="K21" s="339">
        <v>7</v>
      </c>
      <c r="L21" s="339">
        <v>8</v>
      </c>
      <c r="M21" s="339">
        <v>0</v>
      </c>
      <c r="N21" s="339">
        <v>10</v>
      </c>
      <c r="O21" s="339">
        <v>11</v>
      </c>
      <c r="P21" s="339">
        <v>14</v>
      </c>
      <c r="Q21" s="339">
        <v>2</v>
      </c>
      <c r="R21" s="339">
        <v>26</v>
      </c>
      <c r="S21" s="339">
        <v>0</v>
      </c>
      <c r="T21" s="339">
        <v>0</v>
      </c>
      <c r="U21" s="339">
        <v>0</v>
      </c>
      <c r="V21" s="339">
        <v>0</v>
      </c>
      <c r="W21" s="339">
        <v>21</v>
      </c>
      <c r="X21" s="339">
        <v>10</v>
      </c>
      <c r="Y21" s="339">
        <v>42</v>
      </c>
      <c r="Z21" s="339">
        <v>27</v>
      </c>
      <c r="AA21" s="339">
        <v>19</v>
      </c>
      <c r="AB21" s="339">
        <v>27</v>
      </c>
      <c r="AC21" s="339">
        <v>14</v>
      </c>
    </row>
    <row r="22" spans="1:29" ht="12.75">
      <c r="A22" s="339" t="s">
        <v>132</v>
      </c>
      <c r="B22" s="339">
        <v>21</v>
      </c>
      <c r="C22" s="339">
        <v>20</v>
      </c>
      <c r="D22" s="339">
        <v>11</v>
      </c>
      <c r="E22" s="339" t="str">
        <f>"LI-EDESA-"&amp;$G$14</f>
        <v>LI-EDESA-07</v>
      </c>
      <c r="F22" s="339" t="s">
        <v>153</v>
      </c>
      <c r="G22" s="339">
        <v>3</v>
      </c>
      <c r="H22" s="340">
        <v>5</v>
      </c>
      <c r="I22" s="340">
        <v>4</v>
      </c>
      <c r="J22" s="339">
        <v>6</v>
      </c>
      <c r="K22" s="339">
        <v>7</v>
      </c>
      <c r="L22" s="339">
        <v>8</v>
      </c>
      <c r="M22" s="339">
        <v>0</v>
      </c>
      <c r="N22" s="339">
        <v>10</v>
      </c>
      <c r="O22" s="339">
        <v>11</v>
      </c>
      <c r="P22" s="339">
        <v>14</v>
      </c>
      <c r="Q22" s="339">
        <v>2</v>
      </c>
      <c r="R22" s="339">
        <v>26</v>
      </c>
      <c r="S22" s="339">
        <v>0</v>
      </c>
      <c r="T22" s="339">
        <v>0</v>
      </c>
      <c r="U22" s="339">
        <v>0</v>
      </c>
      <c r="V22" s="339">
        <v>0</v>
      </c>
      <c r="W22" s="339">
        <v>20</v>
      </c>
      <c r="X22" s="339">
        <v>10</v>
      </c>
      <c r="Y22" s="339">
        <v>42</v>
      </c>
      <c r="Z22" s="339">
        <v>27</v>
      </c>
      <c r="AA22" s="339">
        <v>19</v>
      </c>
      <c r="AB22" s="339">
        <v>27</v>
      </c>
      <c r="AC22" s="339">
        <v>14</v>
      </c>
    </row>
    <row r="23" spans="1:29" ht="12.75">
      <c r="A23" s="339" t="s">
        <v>133</v>
      </c>
      <c r="B23" s="339">
        <v>24</v>
      </c>
      <c r="C23" s="339">
        <v>20</v>
      </c>
      <c r="D23" s="341">
        <v>13</v>
      </c>
      <c r="E23" s="339" t="str">
        <f>"T-EDESA-"&amp;$G$14</f>
        <v>T-EDESA-07</v>
      </c>
      <c r="F23" s="339" t="s">
        <v>154</v>
      </c>
      <c r="G23" s="339">
        <v>3</v>
      </c>
      <c r="H23" s="340">
        <v>5</v>
      </c>
      <c r="I23" s="340">
        <v>4</v>
      </c>
      <c r="J23" s="341">
        <v>6</v>
      </c>
      <c r="K23" s="341">
        <v>7</v>
      </c>
      <c r="L23" s="341">
        <v>8</v>
      </c>
      <c r="M23" s="341">
        <v>9</v>
      </c>
      <c r="N23" s="341">
        <v>11</v>
      </c>
      <c r="O23" s="341">
        <v>12</v>
      </c>
      <c r="P23" s="341">
        <v>15</v>
      </c>
      <c r="Q23" s="341">
        <v>16</v>
      </c>
      <c r="R23" s="341">
        <v>18</v>
      </c>
      <c r="S23" s="341">
        <v>28</v>
      </c>
      <c r="T23" s="341">
        <v>17</v>
      </c>
      <c r="U23" s="341">
        <v>0</v>
      </c>
      <c r="V23" s="341">
        <v>0</v>
      </c>
      <c r="W23" s="341">
        <v>26</v>
      </c>
      <c r="X23" s="339">
        <v>10</v>
      </c>
      <c r="Y23" s="341">
        <v>45</v>
      </c>
      <c r="Z23" s="341">
        <v>29</v>
      </c>
      <c r="AA23" s="341">
        <v>22</v>
      </c>
      <c r="AB23" s="341">
        <v>29</v>
      </c>
      <c r="AC23" s="339">
        <v>15</v>
      </c>
    </row>
    <row r="24" spans="1:29" ht="12.75">
      <c r="A24" s="339" t="s">
        <v>134</v>
      </c>
      <c r="B24" s="339">
        <v>23</v>
      </c>
      <c r="C24" s="339">
        <v>20</v>
      </c>
      <c r="D24" s="339">
        <v>10</v>
      </c>
      <c r="E24" s="339" t="str">
        <f>"SA-EDESA-"&amp;$G$14</f>
        <v>SA-EDESA-07</v>
      </c>
      <c r="F24" s="339" t="s">
        <v>155</v>
      </c>
      <c r="G24" s="339">
        <v>3</v>
      </c>
      <c r="H24" s="340">
        <v>5</v>
      </c>
      <c r="I24" s="340">
        <v>4</v>
      </c>
      <c r="J24" s="339">
        <v>6</v>
      </c>
      <c r="K24" s="339">
        <v>7</v>
      </c>
      <c r="L24" s="339">
        <v>8</v>
      </c>
      <c r="M24" s="339">
        <v>10</v>
      </c>
      <c r="N24" s="339">
        <v>11</v>
      </c>
      <c r="O24" s="339">
        <v>14</v>
      </c>
      <c r="P24" s="339">
        <v>15</v>
      </c>
      <c r="Q24" s="339">
        <v>21</v>
      </c>
      <c r="R24" s="339">
        <v>0</v>
      </c>
      <c r="S24" s="339">
        <v>0</v>
      </c>
      <c r="T24" s="339">
        <v>0</v>
      </c>
      <c r="U24" s="339">
        <v>0</v>
      </c>
      <c r="V24" s="339">
        <v>0</v>
      </c>
      <c r="W24" s="339">
        <v>30</v>
      </c>
      <c r="X24" s="339">
        <v>10</v>
      </c>
      <c r="Y24" s="339">
        <v>44</v>
      </c>
      <c r="Z24" s="339">
        <v>22</v>
      </c>
      <c r="AA24" s="339">
        <v>21</v>
      </c>
      <c r="AB24" s="339">
        <v>22</v>
      </c>
      <c r="AC24" s="339">
        <v>14</v>
      </c>
    </row>
    <row r="25" spans="1:29" s="346" customFormat="1" ht="12.75">
      <c r="A25" s="344" t="s">
        <v>135</v>
      </c>
      <c r="B25" s="344">
        <v>19</v>
      </c>
      <c r="C25" s="344">
        <v>24</v>
      </c>
      <c r="D25" s="345">
        <v>4</v>
      </c>
      <c r="E25" s="344" t="str">
        <f>"CAUSAS-VST-"&amp;$G$14</f>
        <v>CAUSAS-VST-07</v>
      </c>
      <c r="F25" s="344" t="s">
        <v>136</v>
      </c>
      <c r="G25" s="344">
        <v>3</v>
      </c>
      <c r="H25" s="344">
        <v>4</v>
      </c>
      <c r="I25" s="344">
        <v>5</v>
      </c>
      <c r="J25" s="344">
        <v>6</v>
      </c>
      <c r="K25" s="344">
        <v>7</v>
      </c>
      <c r="L25" s="344">
        <v>0</v>
      </c>
      <c r="M25" s="344">
        <v>0</v>
      </c>
      <c r="N25" s="344">
        <v>0</v>
      </c>
      <c r="O25" s="344">
        <v>0</v>
      </c>
      <c r="P25" s="344">
        <v>0</v>
      </c>
      <c r="Q25" s="344">
        <v>0</v>
      </c>
      <c r="R25" s="344">
        <v>0</v>
      </c>
      <c r="S25" s="344">
        <v>0</v>
      </c>
      <c r="T25" s="344">
        <v>0</v>
      </c>
      <c r="U25" s="344">
        <v>0</v>
      </c>
      <c r="V25" s="344">
        <v>0</v>
      </c>
      <c r="W25" s="344">
        <v>999</v>
      </c>
      <c r="X25" s="344">
        <v>999</v>
      </c>
      <c r="Y25" s="344">
        <v>0</v>
      </c>
      <c r="Z25" s="344">
        <v>0</v>
      </c>
      <c r="AA25" s="344">
        <v>0</v>
      </c>
      <c r="AB25" s="344">
        <v>0</v>
      </c>
      <c r="AC25" s="344">
        <v>0</v>
      </c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37" r:id="rId1"/>
  <headerFooter alignWithMargins="0">
    <oddFooter>&amp;L&amp;"Times New Roman,Normal"&amp;5&amp;F  - TRANSPORTE de ENERGÍA ELÉCTRICA -PJL -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AN45"/>
  <sheetViews>
    <sheetView zoomScale="75" zoomScaleNormal="75" zoomScalePageLayoutView="0" workbookViewId="0" topLeftCell="A1">
      <selection activeCell="G16" sqref="G16"/>
    </sheetView>
  </sheetViews>
  <sheetFormatPr defaultColWidth="11.421875" defaultRowHeight="12.75"/>
  <cols>
    <col min="1" max="2" width="4.140625" style="0" customWidth="1"/>
    <col min="3" max="3" width="4.8515625" style="0" customWidth="1"/>
    <col min="4" max="5" width="13.7109375" style="0" customWidth="1"/>
    <col min="6" max="6" width="40.7109375" style="0" customWidth="1"/>
    <col min="7" max="8" width="8.7109375" style="0" customWidth="1"/>
    <col min="9" max="9" width="7.421875" style="0" hidden="1" customWidth="1"/>
    <col min="10" max="10" width="16.8515625" style="0" customWidth="1"/>
    <col min="11" max="11" width="16.7109375" style="0" customWidth="1"/>
    <col min="12" max="14" width="9.7109375" style="0" customWidth="1"/>
    <col min="15" max="15" width="7.7109375" style="0" customWidth="1"/>
    <col min="16" max="17" width="12.28125" style="0" hidden="1" customWidth="1"/>
    <col min="18" max="23" width="6.421875" style="0" hidden="1" customWidth="1"/>
    <col min="24" max="25" width="12.2812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pans="5:40" s="32" customFormat="1" ht="26.25"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2:28" s="32" customFormat="1" ht="26.25">
      <c r="B2" s="348" t="str">
        <f>+'TOT-0714'!B2</f>
        <v>ANEXO IV al Memorandum D.T.E.E. N°  448  / 2015</v>
      </c>
      <c r="C2" s="35"/>
      <c r="D2" s="35"/>
      <c r="E2" s="35"/>
      <c r="F2" s="35"/>
      <c r="G2" s="109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110"/>
    </row>
    <row r="3" s="7" customFormat="1" ht="12.75">
      <c r="AB3" s="6"/>
    </row>
    <row r="4" spans="1:28" s="39" customFormat="1" ht="11.25">
      <c r="A4" s="349" t="s">
        <v>146</v>
      </c>
      <c r="B4" s="111"/>
      <c r="C4" s="349"/>
      <c r="AB4" s="40"/>
    </row>
    <row r="5" spans="1:28" s="39" customFormat="1" ht="11.25">
      <c r="A5" s="349" t="s">
        <v>147</v>
      </c>
      <c r="B5" s="111"/>
      <c r="C5" s="111"/>
      <c r="AB5" s="40"/>
    </row>
    <row r="6" spans="1:28" s="7" customFormat="1" ht="17.25" customHeight="1" thickBot="1">
      <c r="A6" s="6"/>
      <c r="B6" s="6"/>
      <c r="AB6" s="6"/>
    </row>
    <row r="7" spans="1:28" s="7" customFormat="1" ht="13.5" thickTop="1">
      <c r="A7" s="6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9"/>
    </row>
    <row r="8" spans="1:28" s="43" customFormat="1" ht="20.25">
      <c r="A8" s="44"/>
      <c r="B8" s="98"/>
      <c r="C8" s="44"/>
      <c r="D8" s="44"/>
      <c r="E8" s="44"/>
      <c r="F8" s="18" t="s">
        <v>17</v>
      </c>
      <c r="G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99"/>
    </row>
    <row r="9" spans="1:28" s="7" customFormat="1" ht="12.75">
      <c r="A9" s="6"/>
      <c r="B9" s="65"/>
      <c r="C9" s="6"/>
      <c r="D9" s="6"/>
      <c r="E9" s="6"/>
      <c r="F9" s="95"/>
      <c r="G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s="43" customFormat="1" ht="20.25">
      <c r="A10" s="44"/>
      <c r="B10" s="98"/>
      <c r="C10" s="44"/>
      <c r="D10" s="44"/>
      <c r="E10" s="44"/>
      <c r="F10" s="18" t="s">
        <v>18</v>
      </c>
      <c r="G10" s="18"/>
      <c r="H10" s="44"/>
      <c r="I10" s="100"/>
      <c r="J10" s="100"/>
      <c r="K10" s="100"/>
      <c r="L10" s="100"/>
      <c r="M10" s="100"/>
      <c r="N10" s="100"/>
      <c r="O10" s="10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99"/>
    </row>
    <row r="11" spans="1:28" s="7" customFormat="1" ht="12.75">
      <c r="A11" s="6"/>
      <c r="B11" s="65"/>
      <c r="C11" s="6"/>
      <c r="D11" s="6"/>
      <c r="E11" s="6"/>
      <c r="F11" s="95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8"/>
    </row>
    <row r="12" spans="1:28" s="43" customFormat="1" ht="20.25">
      <c r="A12" s="44"/>
      <c r="B12" s="98"/>
      <c r="C12" s="44"/>
      <c r="D12" s="44"/>
      <c r="E12" s="44"/>
      <c r="F12" s="18" t="s">
        <v>19</v>
      </c>
      <c r="G12" s="18"/>
      <c r="H12" s="44"/>
      <c r="I12" s="100"/>
      <c r="J12" s="100"/>
      <c r="K12" s="100"/>
      <c r="L12" s="100"/>
      <c r="M12" s="100"/>
      <c r="N12" s="100"/>
      <c r="O12" s="100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99"/>
    </row>
    <row r="13" spans="1:28" s="7" customFormat="1" ht="12.75">
      <c r="A13" s="6"/>
      <c r="B13" s="65"/>
      <c r="C13" s="6"/>
      <c r="D13" s="6"/>
      <c r="E13" s="6"/>
      <c r="F13" s="96"/>
      <c r="G13" s="94"/>
      <c r="H13" s="6"/>
      <c r="I13" s="90"/>
      <c r="J13" s="90"/>
      <c r="K13" s="90"/>
      <c r="L13" s="90"/>
      <c r="M13" s="90"/>
      <c r="N13" s="90"/>
      <c r="O13" s="9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8"/>
    </row>
    <row r="14" spans="1:28" s="50" customFormat="1" ht="19.5">
      <c r="A14" s="57"/>
      <c r="B14" s="318" t="str">
        <f>'TOT-0714'!B14</f>
        <v>Desde el 01 al 31 de julio de 2014</v>
      </c>
      <c r="C14" s="55"/>
      <c r="D14" s="55"/>
      <c r="E14" s="55"/>
      <c r="F14" s="55"/>
      <c r="G14" s="106"/>
      <c r="H14" s="107"/>
      <c r="I14" s="108"/>
      <c r="J14" s="108"/>
      <c r="K14" s="108"/>
      <c r="L14" s="108"/>
      <c r="M14" s="108"/>
      <c r="N14" s="108"/>
      <c r="O14" s="108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6"/>
    </row>
    <row r="15" spans="1:28" s="7" customFormat="1" ht="13.5" thickBot="1">
      <c r="A15" s="6"/>
      <c r="B15" s="65"/>
      <c r="C15" s="6"/>
      <c r="D15" s="6"/>
      <c r="E15" s="6"/>
      <c r="F15" s="6"/>
      <c r="G15" s="6"/>
      <c r="H15" s="97"/>
      <c r="I15" s="90"/>
      <c r="J15" s="90"/>
      <c r="K15" s="90"/>
      <c r="L15" s="90"/>
      <c r="M15" s="90"/>
      <c r="N15" s="90"/>
      <c r="O15" s="9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7" customFormat="1" ht="14.25" thickBot="1" thickTop="1">
      <c r="A16" s="6"/>
      <c r="B16" s="65"/>
      <c r="C16" s="6"/>
      <c r="D16" s="6"/>
      <c r="E16" s="6"/>
      <c r="F16" s="101" t="s">
        <v>20</v>
      </c>
      <c r="G16" s="289">
        <v>381.239</v>
      </c>
      <c r="H16" s="185"/>
      <c r="I16" s="6"/>
      <c r="J16"/>
      <c r="K16" s="102" t="s">
        <v>21</v>
      </c>
      <c r="L16" s="103">
        <f>30*'TOT-0714'!B13</f>
        <v>60</v>
      </c>
      <c r="M16" s="172" t="str">
        <f>IF(L16=30," ",IF(L16=60,"Coeficiente duplicado por tasa de falla &gt;4 Sal. x año/100 km.","REVISAR COEFICIENTE"))</f>
        <v>Coeficiente duplicado por tasa de falla &gt;4 Sal. x año/100 km.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8"/>
    </row>
    <row r="17" spans="1:28" s="7" customFormat="1" ht="14.25" thickBot="1" thickTop="1">
      <c r="A17" s="6"/>
      <c r="B17" s="65"/>
      <c r="C17" s="352">
        <v>3</v>
      </c>
      <c r="D17" s="352">
        <v>4</v>
      </c>
      <c r="E17" s="352">
        <v>5</v>
      </c>
      <c r="F17" s="352">
        <v>6</v>
      </c>
      <c r="G17" s="352">
        <v>7</v>
      </c>
      <c r="H17" s="352">
        <v>8</v>
      </c>
      <c r="I17" s="352">
        <v>9</v>
      </c>
      <c r="J17" s="352">
        <v>10</v>
      </c>
      <c r="K17" s="352">
        <v>11</v>
      </c>
      <c r="L17" s="352">
        <v>12</v>
      </c>
      <c r="M17" s="352">
        <v>13</v>
      </c>
      <c r="N17" s="352">
        <v>14</v>
      </c>
      <c r="O17" s="352">
        <v>15</v>
      </c>
      <c r="P17" s="352">
        <v>16</v>
      </c>
      <c r="Q17" s="352">
        <v>17</v>
      </c>
      <c r="R17" s="352">
        <v>18</v>
      </c>
      <c r="S17" s="352">
        <v>19</v>
      </c>
      <c r="T17" s="352">
        <v>20</v>
      </c>
      <c r="U17" s="352">
        <v>21</v>
      </c>
      <c r="V17" s="352">
        <v>22</v>
      </c>
      <c r="W17" s="352">
        <v>23</v>
      </c>
      <c r="X17" s="352">
        <v>24</v>
      </c>
      <c r="Y17" s="352">
        <v>25</v>
      </c>
      <c r="Z17" s="352">
        <v>26</v>
      </c>
      <c r="AA17" s="352">
        <v>27</v>
      </c>
      <c r="AB17" s="8"/>
    </row>
    <row r="18" spans="1:28" s="7" customFormat="1" ht="33.75" customHeight="1" thickBot="1" thickTop="1">
      <c r="A18" s="6"/>
      <c r="B18" s="65"/>
      <c r="C18" s="112" t="s">
        <v>22</v>
      </c>
      <c r="D18" s="112" t="s">
        <v>145</v>
      </c>
      <c r="E18" s="112" t="s">
        <v>144</v>
      </c>
      <c r="F18" s="113" t="s">
        <v>3</v>
      </c>
      <c r="G18" s="114" t="s">
        <v>23</v>
      </c>
      <c r="H18" s="115" t="s">
        <v>24</v>
      </c>
      <c r="I18" s="174" t="s">
        <v>25</v>
      </c>
      <c r="J18" s="113" t="s">
        <v>26</v>
      </c>
      <c r="K18" s="113" t="s">
        <v>27</v>
      </c>
      <c r="L18" s="114" t="s">
        <v>28</v>
      </c>
      <c r="M18" s="114" t="s">
        <v>29</v>
      </c>
      <c r="N18" s="116" t="s">
        <v>30</v>
      </c>
      <c r="O18" s="114" t="s">
        <v>31</v>
      </c>
      <c r="P18" s="187" t="s">
        <v>32</v>
      </c>
      <c r="Q18" s="192" t="s">
        <v>33</v>
      </c>
      <c r="R18" s="197" t="s">
        <v>34</v>
      </c>
      <c r="S18" s="198"/>
      <c r="T18" s="199"/>
      <c r="U18" s="210" t="s">
        <v>35</v>
      </c>
      <c r="V18" s="211"/>
      <c r="W18" s="212"/>
      <c r="X18" s="225" t="s">
        <v>36</v>
      </c>
      <c r="Y18" s="230" t="s">
        <v>37</v>
      </c>
      <c r="Z18" s="117" t="s">
        <v>38</v>
      </c>
      <c r="AA18" s="183" t="s">
        <v>39</v>
      </c>
      <c r="AB18" s="8"/>
    </row>
    <row r="19" spans="1:28" s="7" customFormat="1" ht="15.75" thickTop="1">
      <c r="A19" s="6"/>
      <c r="B19" s="65"/>
      <c r="C19" s="294"/>
      <c r="D19" s="347"/>
      <c r="E19" s="347"/>
      <c r="F19" s="295"/>
      <c r="G19" s="302"/>
      <c r="H19" s="303"/>
      <c r="I19" s="186"/>
      <c r="J19" s="308"/>
      <c r="K19" s="308"/>
      <c r="L19" s="9"/>
      <c r="M19" s="9"/>
      <c r="N19" s="295"/>
      <c r="O19" s="298"/>
      <c r="P19" s="188"/>
      <c r="Q19" s="193"/>
      <c r="R19" s="200"/>
      <c r="S19" s="206"/>
      <c r="T19" s="207"/>
      <c r="U19" s="213"/>
      <c r="V19" s="217"/>
      <c r="W19" s="221"/>
      <c r="X19" s="226"/>
      <c r="Y19" s="231"/>
      <c r="Z19" s="314"/>
      <c r="AA19" s="184"/>
      <c r="AB19" s="8"/>
    </row>
    <row r="20" spans="1:28" s="7" customFormat="1" ht="15">
      <c r="A20" s="6"/>
      <c r="B20" s="65"/>
      <c r="C20" s="296"/>
      <c r="D20" s="297"/>
      <c r="E20" s="297"/>
      <c r="F20" s="297"/>
      <c r="G20" s="296"/>
      <c r="H20" s="296"/>
      <c r="I20" s="175"/>
      <c r="J20" s="296"/>
      <c r="K20" s="304"/>
      <c r="L20" s="11"/>
      <c r="M20" s="11"/>
      <c r="N20" s="297"/>
      <c r="O20" s="296"/>
      <c r="P20" s="189"/>
      <c r="Q20" s="194"/>
      <c r="R20" s="200"/>
      <c r="S20" s="206"/>
      <c r="T20" s="207"/>
      <c r="U20" s="214"/>
      <c r="V20" s="218"/>
      <c r="W20" s="222"/>
      <c r="X20" s="227"/>
      <c r="Y20" s="232"/>
      <c r="Z20" s="315"/>
      <c r="AA20" s="104"/>
      <c r="AB20" s="8"/>
    </row>
    <row r="21" spans="1:28" s="7" customFormat="1" ht="15">
      <c r="A21" s="6"/>
      <c r="B21" s="65"/>
      <c r="C21" s="298">
        <v>1</v>
      </c>
      <c r="D21" s="295">
        <v>276463</v>
      </c>
      <c r="E21" s="295">
        <v>288</v>
      </c>
      <c r="F21" s="299" t="s">
        <v>165</v>
      </c>
      <c r="G21" s="304">
        <v>132</v>
      </c>
      <c r="H21" s="305">
        <v>10.90999984741211</v>
      </c>
      <c r="I21" s="176">
        <f aca="true" t="shared" si="0" ref="I21:I28">$G$16/100*IF(H21&gt;25,H21,25)</f>
        <v>95.30975</v>
      </c>
      <c r="J21" s="309">
        <v>41821.32430555556</v>
      </c>
      <c r="K21" s="309">
        <v>41821.78680555556</v>
      </c>
      <c r="L21" s="12">
        <f aca="true" t="shared" si="1" ref="L21:L26">IF(F21="","",(K21-J21)*24)</f>
        <v>11.100000000034925</v>
      </c>
      <c r="M21" s="13">
        <f aca="true" t="shared" si="2" ref="M21:M26">IF(F21="","",ROUND((K21-J21)*24*60,0))</f>
        <v>666</v>
      </c>
      <c r="N21" s="311" t="s">
        <v>163</v>
      </c>
      <c r="O21" s="312" t="str">
        <f aca="true" t="shared" si="3" ref="O21:O26">IF(F21="","","--")</f>
        <v>--</v>
      </c>
      <c r="P21" s="190">
        <f aca="true" t="shared" si="4" ref="P21:P26">IF(N21="P",ROUND(M21/60,2)*I21*$L$16*0.01,"--")</f>
        <v>634.762935</v>
      </c>
      <c r="Q21" s="195" t="str">
        <f aca="true" t="shared" si="5" ref="Q21:Q26">IF(N21="RP",I21*O21*ROUND(L21/60,2)*0.01*M21/100,"--")</f>
        <v>--</v>
      </c>
      <c r="R21" s="200" t="str">
        <f aca="true" t="shared" si="6" ref="R21:R26">IF(N21="F",I21*$L$16,"--")</f>
        <v>--</v>
      </c>
      <c r="S21" s="201" t="str">
        <f aca="true" t="shared" si="7" ref="S21:S26">IF(AND(M21&gt;10,N21="F"),I21*$L$16*IF(M21&gt;180,3,ROUND((M21)/60,2)),"--")</f>
        <v>--</v>
      </c>
      <c r="T21" s="202" t="str">
        <f aca="true" t="shared" si="8" ref="T21:T26">IF(AND(M21&gt;180,N21="F"),(ROUND(M21/60,2)-3)*I21*$L$16*0.1,"--")</f>
        <v>--</v>
      </c>
      <c r="U21" s="215" t="str">
        <f aca="true" t="shared" si="9" ref="U21:U26">IF(N21="R",I21*$L$16*O21/100,"--")</f>
        <v>--</v>
      </c>
      <c r="V21" s="219" t="str">
        <f aca="true" t="shared" si="10" ref="V21:V26">IF(AND(M21&gt;10,N21="R"),I21*$L$16*O21/100*IF(M21&gt;180,3,ROUND(M21/60,2)),"--")</f>
        <v>--</v>
      </c>
      <c r="W21" s="223" t="str">
        <f aca="true" t="shared" si="11" ref="W21:W26">IF(AND(M21&gt;180,N21="R"),(ROUND(M21/60,2)-3)*I21*$L$16*0.1*O21/100,"--")</f>
        <v>--</v>
      </c>
      <c r="X21" s="228" t="str">
        <f aca="true" t="shared" si="12" ref="X21:X26">IF(N21="RF",ROUND(M21/60,2)*I21*$L$16*0.1,"--")</f>
        <v>--</v>
      </c>
      <c r="Y21" s="233" t="str">
        <f aca="true" t="shared" si="13" ref="Y21:Y26">IF(N21="RR",ROUND(M21/60,2)*I21*$L$16*0.1*O21/100,"--")</f>
        <v>--</v>
      </c>
      <c r="Z21" s="316" t="s">
        <v>164</v>
      </c>
      <c r="AA21" s="28">
        <f aca="true" t="shared" si="14" ref="AA21:AA26">IF(F21="","",SUM(P21:Y21)*IF(Z21="SI",1,2))</f>
        <v>634.762935</v>
      </c>
      <c r="AB21" s="287"/>
    </row>
    <row r="22" spans="1:28" s="7" customFormat="1" ht="15">
      <c r="A22" s="6"/>
      <c r="B22" s="65"/>
      <c r="C22" s="298">
        <v>2</v>
      </c>
      <c r="D22" s="295">
        <v>276464</v>
      </c>
      <c r="E22" s="295">
        <v>313</v>
      </c>
      <c r="F22" s="299" t="s">
        <v>166</v>
      </c>
      <c r="G22" s="304">
        <v>132</v>
      </c>
      <c r="H22" s="305">
        <v>75.4000015258789</v>
      </c>
      <c r="I22" s="176">
        <f t="shared" si="0"/>
        <v>287.45421181724544</v>
      </c>
      <c r="J22" s="309">
        <v>41822.339583333334</v>
      </c>
      <c r="K22" s="309">
        <v>41822.68125</v>
      </c>
      <c r="L22" s="12">
        <f t="shared" si="1"/>
        <v>8.200000000011642</v>
      </c>
      <c r="M22" s="13">
        <f t="shared" si="2"/>
        <v>492</v>
      </c>
      <c r="N22" s="311" t="s">
        <v>163</v>
      </c>
      <c r="O22" s="312" t="str">
        <f t="shared" si="3"/>
        <v>--</v>
      </c>
      <c r="P22" s="190">
        <f t="shared" si="4"/>
        <v>1414.2747221408474</v>
      </c>
      <c r="Q22" s="195" t="str">
        <f t="shared" si="5"/>
        <v>--</v>
      </c>
      <c r="R22" s="200" t="str">
        <f t="shared" si="6"/>
        <v>--</v>
      </c>
      <c r="S22" s="201" t="str">
        <f t="shared" si="7"/>
        <v>--</v>
      </c>
      <c r="T22" s="202" t="str">
        <f t="shared" si="8"/>
        <v>--</v>
      </c>
      <c r="U22" s="215" t="str">
        <f t="shared" si="9"/>
        <v>--</v>
      </c>
      <c r="V22" s="219" t="str">
        <f t="shared" si="10"/>
        <v>--</v>
      </c>
      <c r="W22" s="223" t="str">
        <f t="shared" si="11"/>
        <v>--</v>
      </c>
      <c r="X22" s="228" t="str">
        <f t="shared" si="12"/>
        <v>--</v>
      </c>
      <c r="Y22" s="233" t="str">
        <f t="shared" si="13"/>
        <v>--</v>
      </c>
      <c r="Z22" s="316" t="s">
        <v>164</v>
      </c>
      <c r="AA22" s="28">
        <f t="shared" si="14"/>
        <v>1414.2747221408474</v>
      </c>
      <c r="AB22" s="287"/>
    </row>
    <row r="23" spans="1:28" s="7" customFormat="1" ht="15">
      <c r="A23" s="6"/>
      <c r="B23" s="65"/>
      <c r="C23" s="298">
        <v>3</v>
      </c>
      <c r="D23" s="295">
        <v>276471</v>
      </c>
      <c r="E23" s="295">
        <v>313</v>
      </c>
      <c r="F23" s="299" t="s">
        <v>166</v>
      </c>
      <c r="G23" s="304">
        <v>132</v>
      </c>
      <c r="H23" s="305">
        <v>75.4000015258789</v>
      </c>
      <c r="I23" s="176">
        <f t="shared" si="0"/>
        <v>287.45421181724544</v>
      </c>
      <c r="J23" s="309">
        <v>41823.30347222222</v>
      </c>
      <c r="K23" s="309">
        <v>41823.64097222222</v>
      </c>
      <c r="L23" s="12">
        <f t="shared" si="1"/>
        <v>8.100000000034925</v>
      </c>
      <c r="M23" s="13">
        <f t="shared" si="2"/>
        <v>486</v>
      </c>
      <c r="N23" s="311" t="s">
        <v>163</v>
      </c>
      <c r="O23" s="312" t="str">
        <f t="shared" si="3"/>
        <v>--</v>
      </c>
      <c r="P23" s="190">
        <f t="shared" si="4"/>
        <v>1397.0274694318127</v>
      </c>
      <c r="Q23" s="195" t="str">
        <f t="shared" si="5"/>
        <v>--</v>
      </c>
      <c r="R23" s="200" t="str">
        <f t="shared" si="6"/>
        <v>--</v>
      </c>
      <c r="S23" s="201" t="str">
        <f t="shared" si="7"/>
        <v>--</v>
      </c>
      <c r="T23" s="202" t="str">
        <f t="shared" si="8"/>
        <v>--</v>
      </c>
      <c r="U23" s="215" t="str">
        <f t="shared" si="9"/>
        <v>--</v>
      </c>
      <c r="V23" s="219" t="str">
        <f t="shared" si="10"/>
        <v>--</v>
      </c>
      <c r="W23" s="223" t="str">
        <f t="shared" si="11"/>
        <v>--</v>
      </c>
      <c r="X23" s="228" t="str">
        <f t="shared" si="12"/>
        <v>--</v>
      </c>
      <c r="Y23" s="233" t="str">
        <f t="shared" si="13"/>
        <v>--</v>
      </c>
      <c r="Z23" s="316" t="s">
        <v>164</v>
      </c>
      <c r="AA23" s="28">
        <f t="shared" si="14"/>
        <v>1397.0274694318127</v>
      </c>
      <c r="AB23" s="287"/>
    </row>
    <row r="24" spans="1:28" s="7" customFormat="1" ht="15">
      <c r="A24" s="6"/>
      <c r="B24" s="65"/>
      <c r="C24" s="298">
        <v>4</v>
      </c>
      <c r="D24" s="295">
        <v>276472</v>
      </c>
      <c r="E24" s="295">
        <v>313</v>
      </c>
      <c r="F24" s="299" t="s">
        <v>166</v>
      </c>
      <c r="G24" s="304">
        <v>132</v>
      </c>
      <c r="H24" s="305">
        <v>75.4000015258789</v>
      </c>
      <c r="I24" s="176">
        <f t="shared" si="0"/>
        <v>287.45421181724544</v>
      </c>
      <c r="J24" s="309">
        <v>41824.302083333336</v>
      </c>
      <c r="K24" s="309">
        <v>41824.54305555556</v>
      </c>
      <c r="L24" s="12">
        <f t="shared" si="1"/>
        <v>5.783333333325572</v>
      </c>
      <c r="M24" s="13">
        <f t="shared" si="2"/>
        <v>347</v>
      </c>
      <c r="N24" s="311" t="s">
        <v>163</v>
      </c>
      <c r="O24" s="312" t="str">
        <f t="shared" si="3"/>
        <v>--</v>
      </c>
      <c r="P24" s="190">
        <f t="shared" si="4"/>
        <v>996.8912065822072</v>
      </c>
      <c r="Q24" s="195" t="str">
        <f t="shared" si="5"/>
        <v>--</v>
      </c>
      <c r="R24" s="200" t="str">
        <f t="shared" si="6"/>
        <v>--</v>
      </c>
      <c r="S24" s="201" t="str">
        <f t="shared" si="7"/>
        <v>--</v>
      </c>
      <c r="T24" s="202" t="str">
        <f t="shared" si="8"/>
        <v>--</v>
      </c>
      <c r="U24" s="215" t="str">
        <f t="shared" si="9"/>
        <v>--</v>
      </c>
      <c r="V24" s="219" t="str">
        <f t="shared" si="10"/>
        <v>--</v>
      </c>
      <c r="W24" s="223" t="str">
        <f t="shared" si="11"/>
        <v>--</v>
      </c>
      <c r="X24" s="228" t="str">
        <f t="shared" si="12"/>
        <v>--</v>
      </c>
      <c r="Y24" s="233" t="str">
        <f t="shared" si="13"/>
        <v>--</v>
      </c>
      <c r="Z24" s="316" t="s">
        <v>164</v>
      </c>
      <c r="AA24" s="28">
        <f t="shared" si="14"/>
        <v>996.8912065822072</v>
      </c>
      <c r="AB24" s="287"/>
    </row>
    <row r="25" spans="1:28" s="7" customFormat="1" ht="15">
      <c r="A25" s="6"/>
      <c r="B25" s="65"/>
      <c r="C25" s="298">
        <v>5</v>
      </c>
      <c r="D25" s="295">
        <v>276473</v>
      </c>
      <c r="E25" s="295">
        <v>2623</v>
      </c>
      <c r="F25" s="299" t="s">
        <v>167</v>
      </c>
      <c r="G25" s="304">
        <v>132</v>
      </c>
      <c r="H25" s="305">
        <v>12.25</v>
      </c>
      <c r="I25" s="176">
        <f t="shared" si="0"/>
        <v>95.30975</v>
      </c>
      <c r="J25" s="309">
        <v>41824.33611111111</v>
      </c>
      <c r="K25" s="309">
        <v>41824.46805555555</v>
      </c>
      <c r="L25" s="12">
        <f t="shared" si="1"/>
        <v>3.166666666686069</v>
      </c>
      <c r="M25" s="13">
        <f t="shared" si="2"/>
        <v>190</v>
      </c>
      <c r="N25" s="311" t="s">
        <v>163</v>
      </c>
      <c r="O25" s="312" t="str">
        <f t="shared" si="3"/>
        <v>--</v>
      </c>
      <c r="P25" s="190">
        <f t="shared" si="4"/>
        <v>181.27914449999997</v>
      </c>
      <c r="Q25" s="195" t="str">
        <f t="shared" si="5"/>
        <v>--</v>
      </c>
      <c r="R25" s="200" t="str">
        <f t="shared" si="6"/>
        <v>--</v>
      </c>
      <c r="S25" s="201" t="str">
        <f t="shared" si="7"/>
        <v>--</v>
      </c>
      <c r="T25" s="202" t="str">
        <f t="shared" si="8"/>
        <v>--</v>
      </c>
      <c r="U25" s="215" t="str">
        <f t="shared" si="9"/>
        <v>--</v>
      </c>
      <c r="V25" s="219" t="str">
        <f t="shared" si="10"/>
        <v>--</v>
      </c>
      <c r="W25" s="223" t="str">
        <f t="shared" si="11"/>
        <v>--</v>
      </c>
      <c r="X25" s="228" t="str">
        <f t="shared" si="12"/>
        <v>--</v>
      </c>
      <c r="Y25" s="233" t="str">
        <f t="shared" si="13"/>
        <v>--</v>
      </c>
      <c r="Z25" s="316" t="s">
        <v>164</v>
      </c>
      <c r="AA25" s="28">
        <f t="shared" si="14"/>
        <v>181.27914449999997</v>
      </c>
      <c r="AB25" s="287"/>
    </row>
    <row r="26" spans="1:28" s="7" customFormat="1" ht="15">
      <c r="A26" s="6"/>
      <c r="B26" s="65"/>
      <c r="C26" s="298">
        <v>6</v>
      </c>
      <c r="D26" s="295">
        <v>276475</v>
      </c>
      <c r="E26" s="295">
        <v>288</v>
      </c>
      <c r="F26" s="299" t="s">
        <v>165</v>
      </c>
      <c r="G26" s="304">
        <v>132</v>
      </c>
      <c r="H26" s="305">
        <v>10.90999984741211</v>
      </c>
      <c r="I26" s="176">
        <f t="shared" si="0"/>
        <v>95.30975</v>
      </c>
      <c r="J26" s="309">
        <v>41824.42847222222</v>
      </c>
      <c r="K26" s="309">
        <v>41824.63333333333</v>
      </c>
      <c r="L26" s="12">
        <f t="shared" si="1"/>
        <v>4.916666666627862</v>
      </c>
      <c r="M26" s="13">
        <f t="shared" si="2"/>
        <v>295</v>
      </c>
      <c r="N26" s="311" t="s">
        <v>163</v>
      </c>
      <c r="O26" s="312" t="str">
        <f t="shared" si="3"/>
        <v>--</v>
      </c>
      <c r="P26" s="190">
        <f t="shared" si="4"/>
        <v>281.354382</v>
      </c>
      <c r="Q26" s="195" t="str">
        <f t="shared" si="5"/>
        <v>--</v>
      </c>
      <c r="R26" s="200" t="str">
        <f t="shared" si="6"/>
        <v>--</v>
      </c>
      <c r="S26" s="201" t="str">
        <f t="shared" si="7"/>
        <v>--</v>
      </c>
      <c r="T26" s="202" t="str">
        <f t="shared" si="8"/>
        <v>--</v>
      </c>
      <c r="U26" s="215" t="str">
        <f t="shared" si="9"/>
        <v>--</v>
      </c>
      <c r="V26" s="219" t="str">
        <f t="shared" si="10"/>
        <v>--</v>
      </c>
      <c r="W26" s="223" t="str">
        <f t="shared" si="11"/>
        <v>--</v>
      </c>
      <c r="X26" s="228" t="str">
        <f t="shared" si="12"/>
        <v>--</v>
      </c>
      <c r="Y26" s="233" t="str">
        <f t="shared" si="13"/>
        <v>--</v>
      </c>
      <c r="Z26" s="316" t="s">
        <v>164</v>
      </c>
      <c r="AA26" s="28">
        <f t="shared" si="14"/>
        <v>281.354382</v>
      </c>
      <c r="AB26" s="287"/>
    </row>
    <row r="27" spans="1:28" s="7" customFormat="1" ht="15">
      <c r="A27" s="6"/>
      <c r="B27" s="65"/>
      <c r="C27" s="298">
        <v>7</v>
      </c>
      <c r="D27" s="295">
        <v>276476</v>
      </c>
      <c r="E27" s="295">
        <v>271</v>
      </c>
      <c r="F27" s="299" t="s">
        <v>168</v>
      </c>
      <c r="G27" s="304">
        <v>132</v>
      </c>
      <c r="H27" s="305">
        <v>23.799999237060547</v>
      </c>
      <c r="I27" s="176">
        <f t="shared" si="0"/>
        <v>95.30975</v>
      </c>
      <c r="J27" s="309">
        <v>41825.33541666667</v>
      </c>
      <c r="K27" s="309">
        <v>41825.42222222222</v>
      </c>
      <c r="L27" s="12">
        <f aca="true" t="shared" si="15" ref="L27:L40">IF(F27="","",(K27-J27)*24)</f>
        <v>2.083333333313931</v>
      </c>
      <c r="M27" s="13">
        <f aca="true" t="shared" si="16" ref="M27:M40">IF(F27="","",ROUND((K27-J27)*24*60,0))</f>
        <v>125</v>
      </c>
      <c r="N27" s="311" t="s">
        <v>163</v>
      </c>
      <c r="O27" s="312" t="str">
        <f aca="true" t="shared" si="17" ref="O27:O40">IF(F27="","","--")</f>
        <v>--</v>
      </c>
      <c r="P27" s="190">
        <f aca="true" t="shared" si="18" ref="P27:P40">IF(N27="P",ROUND(M27/60,2)*I27*$L$16*0.01,"--")</f>
        <v>118.94656800000001</v>
      </c>
      <c r="Q27" s="195" t="str">
        <f aca="true" t="shared" si="19" ref="Q27:Q40">IF(N27="RP",I27*O27*ROUND(L27/60,2)*0.01*M27/100,"--")</f>
        <v>--</v>
      </c>
      <c r="R27" s="200" t="str">
        <f aca="true" t="shared" si="20" ref="R27:R40">IF(N27="F",I27*$L$16,"--")</f>
        <v>--</v>
      </c>
      <c r="S27" s="201" t="str">
        <f aca="true" t="shared" si="21" ref="S27:S40">IF(AND(M27&gt;10,N27="F"),I27*$L$16*IF(M27&gt;180,3,ROUND((M27)/60,2)),"--")</f>
        <v>--</v>
      </c>
      <c r="T27" s="202" t="str">
        <f aca="true" t="shared" si="22" ref="T27:T40">IF(AND(M27&gt;180,N27="F"),(ROUND(M27/60,2)-3)*I27*$L$16*0.1,"--")</f>
        <v>--</v>
      </c>
      <c r="U27" s="215" t="str">
        <f aca="true" t="shared" si="23" ref="U27:U40">IF(N27="R",I27*$L$16*O27/100,"--")</f>
        <v>--</v>
      </c>
      <c r="V27" s="219" t="str">
        <f aca="true" t="shared" si="24" ref="V27:V40">IF(AND(M27&gt;10,N27="R"),I27*$L$16*O27/100*IF(M27&gt;180,3,ROUND(M27/60,2)),"--")</f>
        <v>--</v>
      </c>
      <c r="W27" s="223" t="str">
        <f aca="true" t="shared" si="25" ref="W27:W40">IF(AND(M27&gt;180,N27="R"),(ROUND(M27/60,2)-3)*I27*$L$16*0.1*O27/100,"--")</f>
        <v>--</v>
      </c>
      <c r="X27" s="228" t="str">
        <f aca="true" t="shared" si="26" ref="X27:X40">IF(N27="RF",ROUND(M27/60,2)*I27*$L$16*0.1,"--")</f>
        <v>--</v>
      </c>
      <c r="Y27" s="233" t="str">
        <f aca="true" t="shared" si="27" ref="Y27:Y40">IF(N27="RR",ROUND(M27/60,2)*I27*$L$16*0.1*O27/100,"--")</f>
        <v>--</v>
      </c>
      <c r="Z27" s="316" t="s">
        <v>164</v>
      </c>
      <c r="AA27" s="28">
        <f aca="true" t="shared" si="28" ref="AA27:AA40">IF(F27="","",SUM(P27:Y27)*IF(Z27="SI",1,2))</f>
        <v>118.94656800000001</v>
      </c>
      <c r="AB27" s="287"/>
    </row>
    <row r="28" spans="1:28" s="7" customFormat="1" ht="15">
      <c r="A28" s="6"/>
      <c r="B28" s="65"/>
      <c r="C28" s="298">
        <v>8</v>
      </c>
      <c r="D28" s="295">
        <v>276477</v>
      </c>
      <c r="E28" s="295">
        <v>5139</v>
      </c>
      <c r="F28" s="299" t="s">
        <v>169</v>
      </c>
      <c r="G28" s="304">
        <v>132</v>
      </c>
      <c r="H28" s="305">
        <v>67.30000305175781</v>
      </c>
      <c r="I28" s="176">
        <f t="shared" si="0"/>
        <v>256.57385863449093</v>
      </c>
      <c r="J28" s="309">
        <v>41825.356944444444</v>
      </c>
      <c r="K28" s="309">
        <v>41825.42152777778</v>
      </c>
      <c r="L28" s="12">
        <f t="shared" si="15"/>
        <v>1.5499999999883585</v>
      </c>
      <c r="M28" s="13">
        <f t="shared" si="16"/>
        <v>93</v>
      </c>
      <c r="N28" s="311" t="s">
        <v>163</v>
      </c>
      <c r="O28" s="312" t="str">
        <f t="shared" si="17"/>
        <v>--</v>
      </c>
      <c r="P28" s="190">
        <f t="shared" si="18"/>
        <v>238.61368853007656</v>
      </c>
      <c r="Q28" s="195" t="str">
        <f t="shared" si="19"/>
        <v>--</v>
      </c>
      <c r="R28" s="200" t="str">
        <f t="shared" si="20"/>
        <v>--</v>
      </c>
      <c r="S28" s="201" t="str">
        <f t="shared" si="21"/>
        <v>--</v>
      </c>
      <c r="T28" s="202" t="str">
        <f t="shared" si="22"/>
        <v>--</v>
      </c>
      <c r="U28" s="215" t="str">
        <f t="shared" si="23"/>
        <v>--</v>
      </c>
      <c r="V28" s="219" t="str">
        <f t="shared" si="24"/>
        <v>--</v>
      </c>
      <c r="W28" s="223" t="str">
        <f t="shared" si="25"/>
        <v>--</v>
      </c>
      <c r="X28" s="228" t="str">
        <f t="shared" si="26"/>
        <v>--</v>
      </c>
      <c r="Y28" s="233" t="str">
        <f t="shared" si="27"/>
        <v>--</v>
      </c>
      <c r="Z28" s="316" t="s">
        <v>164</v>
      </c>
      <c r="AA28" s="28">
        <f t="shared" si="28"/>
        <v>238.61368853007656</v>
      </c>
      <c r="AB28" s="8"/>
    </row>
    <row r="29" spans="1:28" s="7" customFormat="1" ht="15">
      <c r="A29" s="6"/>
      <c r="B29" s="65"/>
      <c r="C29" s="298">
        <v>9</v>
      </c>
      <c r="D29" s="295">
        <v>276478</v>
      </c>
      <c r="E29" s="295">
        <v>3772</v>
      </c>
      <c r="F29" s="299" t="s">
        <v>170</v>
      </c>
      <c r="G29" s="304">
        <v>132</v>
      </c>
      <c r="H29" s="305">
        <v>203</v>
      </c>
      <c r="I29" s="176">
        <f aca="true" t="shared" si="29" ref="I29:I40">$G$16/100*IF(H29&gt;25,H29,25)</f>
        <v>773.91517</v>
      </c>
      <c r="J29" s="309">
        <v>41825.35763888889</v>
      </c>
      <c r="K29" s="309">
        <v>41825.51111111111</v>
      </c>
      <c r="L29" s="12">
        <f t="shared" si="15"/>
        <v>3.6833333332906477</v>
      </c>
      <c r="M29" s="13">
        <f t="shared" si="16"/>
        <v>221</v>
      </c>
      <c r="N29" s="311" t="s">
        <v>163</v>
      </c>
      <c r="O29" s="312" t="str">
        <f t="shared" si="17"/>
        <v>--</v>
      </c>
      <c r="P29" s="190">
        <f t="shared" si="18"/>
        <v>1708.8046953600003</v>
      </c>
      <c r="Q29" s="195" t="str">
        <f t="shared" si="19"/>
        <v>--</v>
      </c>
      <c r="R29" s="200" t="str">
        <f t="shared" si="20"/>
        <v>--</v>
      </c>
      <c r="S29" s="201" t="str">
        <f t="shared" si="21"/>
        <v>--</v>
      </c>
      <c r="T29" s="202" t="str">
        <f t="shared" si="22"/>
        <v>--</v>
      </c>
      <c r="U29" s="215" t="str">
        <f t="shared" si="23"/>
        <v>--</v>
      </c>
      <c r="V29" s="219" t="str">
        <f t="shared" si="24"/>
        <v>--</v>
      </c>
      <c r="W29" s="223" t="str">
        <f t="shared" si="25"/>
        <v>--</v>
      </c>
      <c r="X29" s="228" t="str">
        <f t="shared" si="26"/>
        <v>--</v>
      </c>
      <c r="Y29" s="233" t="str">
        <f t="shared" si="27"/>
        <v>--</v>
      </c>
      <c r="Z29" s="316" t="s">
        <v>164</v>
      </c>
      <c r="AA29" s="28">
        <f t="shared" si="28"/>
        <v>1708.8046953600003</v>
      </c>
      <c r="AB29" s="8"/>
    </row>
    <row r="30" spans="1:28" s="7" customFormat="1" ht="15">
      <c r="A30" s="6"/>
      <c r="B30" s="65"/>
      <c r="C30" s="298">
        <v>10</v>
      </c>
      <c r="D30" s="295">
        <v>276685</v>
      </c>
      <c r="E30" s="295">
        <v>4250</v>
      </c>
      <c r="F30" s="299" t="s">
        <v>171</v>
      </c>
      <c r="G30" s="304">
        <v>132</v>
      </c>
      <c r="H30" s="305">
        <v>55</v>
      </c>
      <c r="I30" s="176">
        <f t="shared" si="29"/>
        <v>209.68144999999998</v>
      </c>
      <c r="J30" s="309">
        <v>41827.4125</v>
      </c>
      <c r="K30" s="309">
        <v>41827.67361111111</v>
      </c>
      <c r="L30" s="12">
        <f t="shared" si="15"/>
        <v>6.266666666662786</v>
      </c>
      <c r="M30" s="13">
        <f t="shared" si="16"/>
        <v>376</v>
      </c>
      <c r="N30" s="311" t="s">
        <v>163</v>
      </c>
      <c r="O30" s="312" t="str">
        <f t="shared" si="17"/>
        <v>--</v>
      </c>
      <c r="P30" s="190">
        <f t="shared" si="18"/>
        <v>788.8216149</v>
      </c>
      <c r="Q30" s="195" t="str">
        <f t="shared" si="19"/>
        <v>--</v>
      </c>
      <c r="R30" s="200" t="str">
        <f t="shared" si="20"/>
        <v>--</v>
      </c>
      <c r="S30" s="201" t="str">
        <f t="shared" si="21"/>
        <v>--</v>
      </c>
      <c r="T30" s="202" t="str">
        <f t="shared" si="22"/>
        <v>--</v>
      </c>
      <c r="U30" s="215" t="str">
        <f t="shared" si="23"/>
        <v>--</v>
      </c>
      <c r="V30" s="219" t="str">
        <f t="shared" si="24"/>
        <v>--</v>
      </c>
      <c r="W30" s="223" t="str">
        <f t="shared" si="25"/>
        <v>--</v>
      </c>
      <c r="X30" s="228" t="str">
        <f t="shared" si="26"/>
        <v>--</v>
      </c>
      <c r="Y30" s="233" t="str">
        <f t="shared" si="27"/>
        <v>--</v>
      </c>
      <c r="Z30" s="316" t="s">
        <v>164</v>
      </c>
      <c r="AA30" s="28">
        <f t="shared" si="28"/>
        <v>788.8216149</v>
      </c>
      <c r="AB30" s="8"/>
    </row>
    <row r="31" spans="1:28" s="7" customFormat="1" ht="15">
      <c r="A31" s="6"/>
      <c r="B31" s="65"/>
      <c r="C31" s="298">
        <v>11</v>
      </c>
      <c r="D31" s="295">
        <v>276687</v>
      </c>
      <c r="E31" s="295">
        <v>4250</v>
      </c>
      <c r="F31" s="299" t="s">
        <v>171</v>
      </c>
      <c r="G31" s="304">
        <v>132</v>
      </c>
      <c r="H31" s="305">
        <v>55</v>
      </c>
      <c r="I31" s="176">
        <f t="shared" si="29"/>
        <v>209.68144999999998</v>
      </c>
      <c r="J31" s="309">
        <v>41828.342361111114</v>
      </c>
      <c r="K31" s="309">
        <v>41828.67361111111</v>
      </c>
      <c r="L31" s="12">
        <f t="shared" si="15"/>
        <v>7.949999999895226</v>
      </c>
      <c r="M31" s="13">
        <f t="shared" si="16"/>
        <v>477</v>
      </c>
      <c r="N31" s="311" t="s">
        <v>163</v>
      </c>
      <c r="O31" s="312" t="str">
        <f t="shared" si="17"/>
        <v>--</v>
      </c>
      <c r="P31" s="190">
        <f t="shared" si="18"/>
        <v>1000.1805165</v>
      </c>
      <c r="Q31" s="195" t="str">
        <f t="shared" si="19"/>
        <v>--</v>
      </c>
      <c r="R31" s="200" t="str">
        <f t="shared" si="20"/>
        <v>--</v>
      </c>
      <c r="S31" s="201" t="str">
        <f t="shared" si="21"/>
        <v>--</v>
      </c>
      <c r="T31" s="202" t="str">
        <f t="shared" si="22"/>
        <v>--</v>
      </c>
      <c r="U31" s="215" t="str">
        <f t="shared" si="23"/>
        <v>--</v>
      </c>
      <c r="V31" s="219" t="str">
        <f t="shared" si="24"/>
        <v>--</v>
      </c>
      <c r="W31" s="223" t="str">
        <f t="shared" si="25"/>
        <v>--</v>
      </c>
      <c r="X31" s="228" t="str">
        <f t="shared" si="26"/>
        <v>--</v>
      </c>
      <c r="Y31" s="233" t="str">
        <f t="shared" si="27"/>
        <v>--</v>
      </c>
      <c r="Z31" s="316" t="s">
        <v>164</v>
      </c>
      <c r="AA31" s="28">
        <f t="shared" si="28"/>
        <v>1000.1805165</v>
      </c>
      <c r="AB31" s="8"/>
    </row>
    <row r="32" spans="1:28" s="7" customFormat="1" ht="15">
      <c r="A32" s="6"/>
      <c r="B32" s="65"/>
      <c r="C32" s="298">
        <v>12</v>
      </c>
      <c r="D32" s="295">
        <v>276688</v>
      </c>
      <c r="E32" s="295">
        <v>312</v>
      </c>
      <c r="F32" s="299" t="s">
        <v>172</v>
      </c>
      <c r="G32" s="304">
        <v>132</v>
      </c>
      <c r="H32" s="305">
        <v>24.5</v>
      </c>
      <c r="I32" s="176">
        <f t="shared" si="29"/>
        <v>95.30975</v>
      </c>
      <c r="J32" s="309">
        <v>41828.42013888889</v>
      </c>
      <c r="K32" s="309">
        <v>41828.52777777778</v>
      </c>
      <c r="L32" s="12">
        <f t="shared" si="15"/>
        <v>2.5833333333721384</v>
      </c>
      <c r="M32" s="13">
        <f t="shared" si="16"/>
        <v>155</v>
      </c>
      <c r="N32" s="311" t="s">
        <v>173</v>
      </c>
      <c r="O32" s="312" t="str">
        <f t="shared" si="17"/>
        <v>--</v>
      </c>
      <c r="P32" s="190" t="str">
        <f t="shared" si="18"/>
        <v>--</v>
      </c>
      <c r="Q32" s="195" t="str">
        <f t="shared" si="19"/>
        <v>--</v>
      </c>
      <c r="R32" s="200">
        <f t="shared" si="20"/>
        <v>5718.585</v>
      </c>
      <c r="S32" s="201">
        <f t="shared" si="21"/>
        <v>14753.9493</v>
      </c>
      <c r="T32" s="202" t="str">
        <f t="shared" si="22"/>
        <v>--</v>
      </c>
      <c r="U32" s="215" t="str">
        <f t="shared" si="23"/>
        <v>--</v>
      </c>
      <c r="V32" s="219" t="str">
        <f t="shared" si="24"/>
        <v>--</v>
      </c>
      <c r="W32" s="223" t="str">
        <f t="shared" si="25"/>
        <v>--</v>
      </c>
      <c r="X32" s="228" t="str">
        <f t="shared" si="26"/>
        <v>--</v>
      </c>
      <c r="Y32" s="233" t="str">
        <f t="shared" si="27"/>
        <v>--</v>
      </c>
      <c r="Z32" s="316" t="s">
        <v>164</v>
      </c>
      <c r="AA32" s="28">
        <f t="shared" si="28"/>
        <v>20472.5343</v>
      </c>
      <c r="AB32" s="8"/>
    </row>
    <row r="33" spans="1:28" s="7" customFormat="1" ht="15">
      <c r="A33" s="6"/>
      <c r="B33" s="65"/>
      <c r="C33" s="298">
        <v>13</v>
      </c>
      <c r="D33" s="295">
        <v>276689</v>
      </c>
      <c r="E33" s="295">
        <v>4250</v>
      </c>
      <c r="F33" s="299" t="s">
        <v>171</v>
      </c>
      <c r="G33" s="304">
        <v>132</v>
      </c>
      <c r="H33" s="305">
        <v>55</v>
      </c>
      <c r="I33" s="176">
        <f t="shared" si="29"/>
        <v>209.68144999999998</v>
      </c>
      <c r="J33" s="309">
        <v>41830.370833333334</v>
      </c>
      <c r="K33" s="309">
        <v>41830.67291666667</v>
      </c>
      <c r="L33" s="12">
        <f t="shared" si="15"/>
        <v>7.250000000058208</v>
      </c>
      <c r="M33" s="13">
        <f t="shared" si="16"/>
        <v>435</v>
      </c>
      <c r="N33" s="311" t="s">
        <v>163</v>
      </c>
      <c r="O33" s="312" t="str">
        <f t="shared" si="17"/>
        <v>--</v>
      </c>
      <c r="P33" s="190">
        <f t="shared" si="18"/>
        <v>912.1143074999999</v>
      </c>
      <c r="Q33" s="195" t="str">
        <f t="shared" si="19"/>
        <v>--</v>
      </c>
      <c r="R33" s="200" t="str">
        <f t="shared" si="20"/>
        <v>--</v>
      </c>
      <c r="S33" s="201" t="str">
        <f t="shared" si="21"/>
        <v>--</v>
      </c>
      <c r="T33" s="202" t="str">
        <f t="shared" si="22"/>
        <v>--</v>
      </c>
      <c r="U33" s="215" t="str">
        <f t="shared" si="23"/>
        <v>--</v>
      </c>
      <c r="V33" s="219" t="str">
        <f t="shared" si="24"/>
        <v>--</v>
      </c>
      <c r="W33" s="223" t="str">
        <f t="shared" si="25"/>
        <v>--</v>
      </c>
      <c r="X33" s="228" t="str">
        <f t="shared" si="26"/>
        <v>--</v>
      </c>
      <c r="Y33" s="233" t="str">
        <f t="shared" si="27"/>
        <v>--</v>
      </c>
      <c r="Z33" s="316" t="s">
        <v>164</v>
      </c>
      <c r="AA33" s="28">
        <f t="shared" si="28"/>
        <v>912.1143074999999</v>
      </c>
      <c r="AB33" s="8"/>
    </row>
    <row r="34" spans="1:28" s="7" customFormat="1" ht="15">
      <c r="A34" s="6"/>
      <c r="B34" s="65"/>
      <c r="C34" s="298"/>
      <c r="D34" s="295"/>
      <c r="E34" s="295"/>
      <c r="F34" s="299"/>
      <c r="G34" s="304"/>
      <c r="H34" s="305"/>
      <c r="I34" s="176">
        <f t="shared" si="29"/>
        <v>95.30975</v>
      </c>
      <c r="J34" s="309"/>
      <c r="K34" s="309"/>
      <c r="L34" s="12">
        <f t="shared" si="15"/>
      </c>
      <c r="M34" s="13">
        <f t="shared" si="16"/>
      </c>
      <c r="N34" s="311"/>
      <c r="O34" s="312">
        <f t="shared" si="17"/>
      </c>
      <c r="P34" s="190" t="str">
        <f t="shared" si="18"/>
        <v>--</v>
      </c>
      <c r="Q34" s="195" t="str">
        <f t="shared" si="19"/>
        <v>--</v>
      </c>
      <c r="R34" s="200" t="str">
        <f t="shared" si="20"/>
        <v>--</v>
      </c>
      <c r="S34" s="201" t="str">
        <f t="shared" si="21"/>
        <v>--</v>
      </c>
      <c r="T34" s="202" t="str">
        <f t="shared" si="22"/>
        <v>--</v>
      </c>
      <c r="U34" s="215" t="str">
        <f t="shared" si="23"/>
        <v>--</v>
      </c>
      <c r="V34" s="219" t="str">
        <f t="shared" si="24"/>
        <v>--</v>
      </c>
      <c r="W34" s="223" t="str">
        <f t="shared" si="25"/>
        <v>--</v>
      </c>
      <c r="X34" s="228" t="str">
        <f t="shared" si="26"/>
        <v>--</v>
      </c>
      <c r="Y34" s="233" t="str">
        <f t="shared" si="27"/>
        <v>--</v>
      </c>
      <c r="Z34" s="316">
        <f aca="true" t="shared" si="30" ref="Z34:Z39">IF(F34="","","SI")</f>
      </c>
      <c r="AA34" s="28">
        <f t="shared" si="28"/>
      </c>
      <c r="AB34" s="8"/>
    </row>
    <row r="35" spans="1:28" s="7" customFormat="1" ht="15">
      <c r="A35" s="6"/>
      <c r="B35" s="65"/>
      <c r="C35" s="298"/>
      <c r="D35" s="295"/>
      <c r="E35" s="295"/>
      <c r="F35" s="299"/>
      <c r="G35" s="304"/>
      <c r="H35" s="305"/>
      <c r="I35" s="176">
        <f t="shared" si="29"/>
        <v>95.30975</v>
      </c>
      <c r="J35" s="309"/>
      <c r="K35" s="309"/>
      <c r="L35" s="12">
        <f t="shared" si="15"/>
      </c>
      <c r="M35" s="13">
        <f t="shared" si="16"/>
      </c>
      <c r="N35" s="311"/>
      <c r="O35" s="312">
        <f t="shared" si="17"/>
      </c>
      <c r="P35" s="190" t="str">
        <f t="shared" si="18"/>
        <v>--</v>
      </c>
      <c r="Q35" s="195" t="str">
        <f t="shared" si="19"/>
        <v>--</v>
      </c>
      <c r="R35" s="200" t="str">
        <f t="shared" si="20"/>
        <v>--</v>
      </c>
      <c r="S35" s="201" t="str">
        <f t="shared" si="21"/>
        <v>--</v>
      </c>
      <c r="T35" s="202" t="str">
        <f t="shared" si="22"/>
        <v>--</v>
      </c>
      <c r="U35" s="215" t="str">
        <f t="shared" si="23"/>
        <v>--</v>
      </c>
      <c r="V35" s="219" t="str">
        <f t="shared" si="24"/>
        <v>--</v>
      </c>
      <c r="W35" s="223" t="str">
        <f t="shared" si="25"/>
        <v>--</v>
      </c>
      <c r="X35" s="228" t="str">
        <f t="shared" si="26"/>
        <v>--</v>
      </c>
      <c r="Y35" s="233" t="str">
        <f t="shared" si="27"/>
        <v>--</v>
      </c>
      <c r="Z35" s="316">
        <f t="shared" si="30"/>
      </c>
      <c r="AA35" s="28">
        <f t="shared" si="28"/>
      </c>
      <c r="AB35" s="8"/>
    </row>
    <row r="36" spans="1:28" s="7" customFormat="1" ht="15">
      <c r="A36" s="6"/>
      <c r="B36" s="65"/>
      <c r="C36" s="298"/>
      <c r="D36" s="295"/>
      <c r="E36" s="295"/>
      <c r="F36" s="299"/>
      <c r="G36" s="304"/>
      <c r="H36" s="305"/>
      <c r="I36" s="176">
        <f t="shared" si="29"/>
        <v>95.30975</v>
      </c>
      <c r="J36" s="309"/>
      <c r="K36" s="309"/>
      <c r="L36" s="12">
        <f t="shared" si="15"/>
      </c>
      <c r="M36" s="13">
        <f t="shared" si="16"/>
      </c>
      <c r="N36" s="311"/>
      <c r="O36" s="312">
        <f t="shared" si="17"/>
      </c>
      <c r="P36" s="190" t="str">
        <f t="shared" si="18"/>
        <v>--</v>
      </c>
      <c r="Q36" s="195" t="str">
        <f t="shared" si="19"/>
        <v>--</v>
      </c>
      <c r="R36" s="200" t="str">
        <f t="shared" si="20"/>
        <v>--</v>
      </c>
      <c r="S36" s="201" t="str">
        <f t="shared" si="21"/>
        <v>--</v>
      </c>
      <c r="T36" s="202" t="str">
        <f t="shared" si="22"/>
        <v>--</v>
      </c>
      <c r="U36" s="215" t="str">
        <f t="shared" si="23"/>
        <v>--</v>
      </c>
      <c r="V36" s="219" t="str">
        <f t="shared" si="24"/>
        <v>--</v>
      </c>
      <c r="W36" s="223" t="str">
        <f t="shared" si="25"/>
        <v>--</v>
      </c>
      <c r="X36" s="228" t="str">
        <f t="shared" si="26"/>
        <v>--</v>
      </c>
      <c r="Y36" s="233" t="str">
        <f t="shared" si="27"/>
        <v>--</v>
      </c>
      <c r="Z36" s="316">
        <f t="shared" si="30"/>
      </c>
      <c r="AA36" s="28">
        <f t="shared" si="28"/>
      </c>
      <c r="AB36" s="8"/>
    </row>
    <row r="37" spans="1:28" s="7" customFormat="1" ht="15">
      <c r="A37" s="6"/>
      <c r="B37" s="65"/>
      <c r="C37" s="298"/>
      <c r="D37" s="295"/>
      <c r="E37" s="295"/>
      <c r="F37" s="299"/>
      <c r="G37" s="304"/>
      <c r="H37" s="305"/>
      <c r="I37" s="176">
        <f t="shared" si="29"/>
        <v>95.30975</v>
      </c>
      <c r="J37" s="309"/>
      <c r="K37" s="309"/>
      <c r="L37" s="12">
        <f t="shared" si="15"/>
      </c>
      <c r="M37" s="13">
        <f t="shared" si="16"/>
      </c>
      <c r="N37" s="311"/>
      <c r="O37" s="312">
        <f t="shared" si="17"/>
      </c>
      <c r="P37" s="190" t="str">
        <f t="shared" si="18"/>
        <v>--</v>
      </c>
      <c r="Q37" s="195" t="str">
        <f t="shared" si="19"/>
        <v>--</v>
      </c>
      <c r="R37" s="200" t="str">
        <f t="shared" si="20"/>
        <v>--</v>
      </c>
      <c r="S37" s="201" t="str">
        <f t="shared" si="21"/>
        <v>--</v>
      </c>
      <c r="T37" s="202" t="str">
        <f t="shared" si="22"/>
        <v>--</v>
      </c>
      <c r="U37" s="215" t="str">
        <f t="shared" si="23"/>
        <v>--</v>
      </c>
      <c r="V37" s="219" t="str">
        <f t="shared" si="24"/>
        <v>--</v>
      </c>
      <c r="W37" s="223" t="str">
        <f t="shared" si="25"/>
        <v>--</v>
      </c>
      <c r="X37" s="228" t="str">
        <f t="shared" si="26"/>
        <v>--</v>
      </c>
      <c r="Y37" s="233" t="str">
        <f t="shared" si="27"/>
        <v>--</v>
      </c>
      <c r="Z37" s="316">
        <f t="shared" si="30"/>
      </c>
      <c r="AA37" s="28">
        <f t="shared" si="28"/>
      </c>
      <c r="AB37" s="8"/>
    </row>
    <row r="38" spans="1:28" s="7" customFormat="1" ht="15">
      <c r="A38" s="6"/>
      <c r="B38" s="65"/>
      <c r="C38" s="298"/>
      <c r="D38" s="295"/>
      <c r="E38" s="295"/>
      <c r="F38" s="299"/>
      <c r="G38" s="304"/>
      <c r="H38" s="305"/>
      <c r="I38" s="176">
        <f t="shared" si="29"/>
        <v>95.30975</v>
      </c>
      <c r="J38" s="309"/>
      <c r="K38" s="309"/>
      <c r="L38" s="12">
        <f t="shared" si="15"/>
      </c>
      <c r="M38" s="13">
        <f t="shared" si="16"/>
      </c>
      <c r="N38" s="311"/>
      <c r="O38" s="312">
        <f t="shared" si="17"/>
      </c>
      <c r="P38" s="190" t="str">
        <f t="shared" si="18"/>
        <v>--</v>
      </c>
      <c r="Q38" s="195" t="str">
        <f t="shared" si="19"/>
        <v>--</v>
      </c>
      <c r="R38" s="200" t="str">
        <f t="shared" si="20"/>
        <v>--</v>
      </c>
      <c r="S38" s="201" t="str">
        <f t="shared" si="21"/>
        <v>--</v>
      </c>
      <c r="T38" s="202" t="str">
        <f t="shared" si="22"/>
        <v>--</v>
      </c>
      <c r="U38" s="215" t="str">
        <f t="shared" si="23"/>
        <v>--</v>
      </c>
      <c r="V38" s="219" t="str">
        <f t="shared" si="24"/>
        <v>--</v>
      </c>
      <c r="W38" s="223" t="str">
        <f t="shared" si="25"/>
        <v>--</v>
      </c>
      <c r="X38" s="228" t="str">
        <f t="shared" si="26"/>
        <v>--</v>
      </c>
      <c r="Y38" s="233" t="str">
        <f t="shared" si="27"/>
        <v>--</v>
      </c>
      <c r="Z38" s="316">
        <f t="shared" si="30"/>
      </c>
      <c r="AA38" s="28">
        <f t="shared" si="28"/>
      </c>
      <c r="AB38" s="8"/>
    </row>
    <row r="39" spans="1:28" s="7" customFormat="1" ht="15">
      <c r="A39" s="6"/>
      <c r="B39" s="65"/>
      <c r="C39" s="298"/>
      <c r="D39" s="295"/>
      <c r="E39" s="295"/>
      <c r="F39" s="299"/>
      <c r="G39" s="304"/>
      <c r="H39" s="305"/>
      <c r="I39" s="176">
        <f t="shared" si="29"/>
        <v>95.30975</v>
      </c>
      <c r="J39" s="309"/>
      <c r="K39" s="309"/>
      <c r="L39" s="12">
        <f t="shared" si="15"/>
      </c>
      <c r="M39" s="13">
        <f t="shared" si="16"/>
      </c>
      <c r="N39" s="311"/>
      <c r="O39" s="312">
        <f t="shared" si="17"/>
      </c>
      <c r="P39" s="190" t="str">
        <f t="shared" si="18"/>
        <v>--</v>
      </c>
      <c r="Q39" s="195" t="str">
        <f t="shared" si="19"/>
        <v>--</v>
      </c>
      <c r="R39" s="200" t="str">
        <f t="shared" si="20"/>
        <v>--</v>
      </c>
      <c r="S39" s="201" t="str">
        <f t="shared" si="21"/>
        <v>--</v>
      </c>
      <c r="T39" s="202" t="str">
        <f t="shared" si="22"/>
        <v>--</v>
      </c>
      <c r="U39" s="215" t="str">
        <f t="shared" si="23"/>
        <v>--</v>
      </c>
      <c r="V39" s="219" t="str">
        <f t="shared" si="24"/>
        <v>--</v>
      </c>
      <c r="W39" s="223" t="str">
        <f t="shared" si="25"/>
        <v>--</v>
      </c>
      <c r="X39" s="228" t="str">
        <f t="shared" si="26"/>
        <v>--</v>
      </c>
      <c r="Y39" s="233" t="str">
        <f t="shared" si="27"/>
        <v>--</v>
      </c>
      <c r="Z39" s="316">
        <f t="shared" si="30"/>
      </c>
      <c r="AA39" s="28">
        <f t="shared" si="28"/>
      </c>
      <c r="AB39" s="8"/>
    </row>
    <row r="40" spans="1:28" s="7" customFormat="1" ht="15">
      <c r="A40" s="6"/>
      <c r="B40" s="65"/>
      <c r="C40" s="298"/>
      <c r="D40" s="295"/>
      <c r="E40" s="295"/>
      <c r="F40" s="299"/>
      <c r="G40" s="304"/>
      <c r="H40" s="305"/>
      <c r="I40" s="176">
        <f t="shared" si="29"/>
        <v>95.30975</v>
      </c>
      <c r="J40" s="309"/>
      <c r="K40" s="309"/>
      <c r="L40" s="12">
        <f t="shared" si="15"/>
      </c>
      <c r="M40" s="13">
        <f t="shared" si="16"/>
      </c>
      <c r="N40" s="311"/>
      <c r="O40" s="312">
        <f t="shared" si="17"/>
      </c>
      <c r="P40" s="190" t="str">
        <f t="shared" si="18"/>
        <v>--</v>
      </c>
      <c r="Q40" s="195" t="str">
        <f t="shared" si="19"/>
        <v>--</v>
      </c>
      <c r="R40" s="200" t="str">
        <f t="shared" si="20"/>
        <v>--</v>
      </c>
      <c r="S40" s="201" t="str">
        <f t="shared" si="21"/>
        <v>--</v>
      </c>
      <c r="T40" s="202" t="str">
        <f t="shared" si="22"/>
        <v>--</v>
      </c>
      <c r="U40" s="215" t="str">
        <f t="shared" si="23"/>
        <v>--</v>
      </c>
      <c r="V40" s="219" t="str">
        <f t="shared" si="24"/>
        <v>--</v>
      </c>
      <c r="W40" s="223" t="str">
        <f t="shared" si="25"/>
        <v>--</v>
      </c>
      <c r="X40" s="228" t="str">
        <f t="shared" si="26"/>
        <v>--</v>
      </c>
      <c r="Y40" s="233" t="str">
        <f t="shared" si="27"/>
        <v>--</v>
      </c>
      <c r="Z40" s="316">
        <f>IF(F40="","","SI")</f>
      </c>
      <c r="AA40" s="28">
        <f t="shared" si="28"/>
      </c>
      <c r="AB40" s="8"/>
    </row>
    <row r="41" spans="1:28" s="7" customFormat="1" ht="15.75" thickBot="1">
      <c r="A41" s="6"/>
      <c r="B41" s="65"/>
      <c r="C41" s="300"/>
      <c r="D41" s="300"/>
      <c r="E41" s="300"/>
      <c r="F41" s="301"/>
      <c r="G41" s="306"/>
      <c r="H41" s="307"/>
      <c r="I41" s="177"/>
      <c r="J41" s="310"/>
      <c r="K41" s="310"/>
      <c r="L41" s="15"/>
      <c r="M41" s="15"/>
      <c r="N41" s="310"/>
      <c r="O41" s="313"/>
      <c r="P41" s="191"/>
      <c r="Q41" s="196"/>
      <c r="R41" s="203"/>
      <c r="S41" s="204"/>
      <c r="T41" s="205"/>
      <c r="U41" s="216"/>
      <c r="V41" s="220"/>
      <c r="W41" s="224"/>
      <c r="X41" s="229"/>
      <c r="Y41" s="234"/>
      <c r="Z41" s="317"/>
      <c r="AA41" s="105"/>
      <c r="AB41" s="8"/>
    </row>
    <row r="42" spans="1:28" s="7" customFormat="1" ht="17.25" thickBot="1" thickTop="1">
      <c r="A42" s="6"/>
      <c r="B42" s="65"/>
      <c r="C42" s="164" t="s">
        <v>40</v>
      </c>
      <c r="D42" s="490" t="s">
        <v>228</v>
      </c>
      <c r="E42" s="166"/>
      <c r="F42" s="165"/>
      <c r="G42" s="6"/>
      <c r="H42" s="6"/>
      <c r="I42" s="6"/>
      <c r="J42" s="6"/>
      <c r="K42" s="6"/>
      <c r="L42" s="6"/>
      <c r="M42" s="6"/>
      <c r="N42" s="6"/>
      <c r="O42" s="6"/>
      <c r="P42" s="208">
        <f aca="true" t="shared" si="31" ref="P42:Y42">SUM(P19:P41)</f>
        <v>9673.071250444944</v>
      </c>
      <c r="Q42" s="209">
        <f t="shared" si="31"/>
        <v>0</v>
      </c>
      <c r="R42" s="235">
        <f t="shared" si="31"/>
        <v>5718.585</v>
      </c>
      <c r="S42" s="235">
        <f t="shared" si="31"/>
        <v>14753.9493</v>
      </c>
      <c r="T42" s="235">
        <f t="shared" si="31"/>
        <v>0</v>
      </c>
      <c r="U42" s="236">
        <f t="shared" si="31"/>
        <v>0</v>
      </c>
      <c r="V42" s="236">
        <f t="shared" si="31"/>
        <v>0</v>
      </c>
      <c r="W42" s="236">
        <f t="shared" si="31"/>
        <v>0</v>
      </c>
      <c r="X42" s="237">
        <f t="shared" si="31"/>
        <v>0</v>
      </c>
      <c r="Y42" s="238">
        <f t="shared" si="31"/>
        <v>0</v>
      </c>
      <c r="Z42" s="6"/>
      <c r="AA42" s="173">
        <f>ROUND(SUM(AA19:AA41),2)</f>
        <v>30145.61</v>
      </c>
      <c r="AB42" s="8"/>
    </row>
    <row r="43" spans="1:28" s="170" customFormat="1" ht="13.5" thickTop="1">
      <c r="A43" s="168"/>
      <c r="B43" s="169"/>
      <c r="C43" s="166"/>
      <c r="D43" s="166"/>
      <c r="E43" s="166"/>
      <c r="F43" s="167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71"/>
    </row>
    <row r="44" spans="1:28" s="7" customFormat="1" ht="13.5" thickBot="1">
      <c r="A44" s="6"/>
      <c r="B44" s="91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3"/>
    </row>
    <row r="45" spans="1:2" ht="13.5" thickTop="1">
      <c r="A45" s="1"/>
      <c r="B45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8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N45"/>
  <sheetViews>
    <sheetView zoomScale="75" zoomScaleNormal="75" zoomScalePageLayoutView="0" workbookViewId="0" topLeftCell="A1">
      <selection activeCell="G16" sqref="G16"/>
    </sheetView>
  </sheetViews>
  <sheetFormatPr defaultColWidth="11.421875" defaultRowHeight="12.75"/>
  <cols>
    <col min="1" max="2" width="4.140625" style="0" customWidth="1"/>
    <col min="3" max="3" width="4.8515625" style="0" customWidth="1"/>
    <col min="4" max="5" width="13.7109375" style="0" customWidth="1"/>
    <col min="6" max="6" width="40.7109375" style="0" customWidth="1"/>
    <col min="7" max="8" width="8.7109375" style="0" customWidth="1"/>
    <col min="9" max="9" width="7.421875" style="0" hidden="1" customWidth="1"/>
    <col min="10" max="11" width="16.7109375" style="0" customWidth="1"/>
    <col min="12" max="14" width="9.7109375" style="0" customWidth="1"/>
    <col min="15" max="15" width="7.7109375" style="0" customWidth="1"/>
    <col min="16" max="17" width="12.28125" style="0" hidden="1" customWidth="1"/>
    <col min="18" max="18" width="10.00390625" style="0" hidden="1" customWidth="1"/>
    <col min="19" max="19" width="10.8515625" style="0" hidden="1" customWidth="1"/>
    <col min="20" max="23" width="6.421875" style="0" hidden="1" customWidth="1"/>
    <col min="24" max="25" width="12.2812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pans="5:40" s="32" customFormat="1" ht="26.25"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2:28" s="32" customFormat="1" ht="26.25">
      <c r="B2" s="348" t="str">
        <f>+'TOT-0714'!B2</f>
        <v>ANEXO IV al Memorandum D.T.E.E. N°  448  / 2015</v>
      </c>
      <c r="C2" s="35"/>
      <c r="D2" s="35"/>
      <c r="E2" s="35"/>
      <c r="F2" s="35"/>
      <c r="G2" s="109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110"/>
    </row>
    <row r="3" s="7" customFormat="1" ht="12.75">
      <c r="AB3" s="6"/>
    </row>
    <row r="4" spans="1:28" s="39" customFormat="1" ht="11.25">
      <c r="A4" s="349" t="s">
        <v>146</v>
      </c>
      <c r="B4" s="111"/>
      <c r="C4" s="349"/>
      <c r="AB4" s="40"/>
    </row>
    <row r="5" spans="1:28" s="39" customFormat="1" ht="11.25">
      <c r="A5" s="349" t="s">
        <v>147</v>
      </c>
      <c r="B5" s="111"/>
      <c r="C5" s="111"/>
      <c r="AB5" s="40"/>
    </row>
    <row r="6" spans="1:28" s="7" customFormat="1" ht="17.25" customHeight="1" thickBot="1">
      <c r="A6" s="6"/>
      <c r="B6" s="6"/>
      <c r="AB6" s="6"/>
    </row>
    <row r="7" spans="1:28" s="7" customFormat="1" ht="13.5" thickTop="1">
      <c r="A7" s="6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9"/>
    </row>
    <row r="8" spans="1:28" s="43" customFormat="1" ht="20.25">
      <c r="A8" s="44"/>
      <c r="B8" s="98"/>
      <c r="C8" s="44"/>
      <c r="D8" s="44"/>
      <c r="E8" s="44"/>
      <c r="F8" s="18" t="s">
        <v>17</v>
      </c>
      <c r="G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99"/>
    </row>
    <row r="9" spans="1:28" s="7" customFormat="1" ht="12.75">
      <c r="A9" s="6"/>
      <c r="B9" s="65"/>
      <c r="C9" s="6"/>
      <c r="D9" s="6"/>
      <c r="E9" s="6"/>
      <c r="F9" s="95"/>
      <c r="G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s="43" customFormat="1" ht="20.25">
      <c r="A10" s="44"/>
      <c r="B10" s="98"/>
      <c r="C10" s="44"/>
      <c r="D10" s="44"/>
      <c r="E10" s="44"/>
      <c r="F10" s="18" t="s">
        <v>18</v>
      </c>
      <c r="G10" s="18"/>
      <c r="H10" s="44"/>
      <c r="I10" s="100"/>
      <c r="J10" s="100"/>
      <c r="K10" s="100"/>
      <c r="L10" s="100"/>
      <c r="M10" s="100"/>
      <c r="N10" s="100"/>
      <c r="O10" s="10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99"/>
    </row>
    <row r="11" spans="1:28" s="7" customFormat="1" ht="12.75">
      <c r="A11" s="6"/>
      <c r="B11" s="65"/>
      <c r="C11" s="6"/>
      <c r="D11" s="6"/>
      <c r="E11" s="6"/>
      <c r="F11" s="95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8"/>
    </row>
    <row r="12" spans="1:28" s="43" customFormat="1" ht="20.25">
      <c r="A12" s="44"/>
      <c r="B12" s="98"/>
      <c r="C12" s="44"/>
      <c r="D12" s="44"/>
      <c r="E12" s="44"/>
      <c r="F12" s="18" t="s">
        <v>19</v>
      </c>
      <c r="G12" s="18"/>
      <c r="H12" s="44"/>
      <c r="I12" s="100"/>
      <c r="J12" s="100"/>
      <c r="K12" s="100"/>
      <c r="L12" s="100"/>
      <c r="M12" s="100"/>
      <c r="N12" s="100"/>
      <c r="O12" s="100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99"/>
    </row>
    <row r="13" spans="1:28" s="7" customFormat="1" ht="12.75">
      <c r="A13" s="6"/>
      <c r="B13" s="65"/>
      <c r="C13" s="6"/>
      <c r="D13" s="6"/>
      <c r="E13" s="6"/>
      <c r="F13" s="96"/>
      <c r="G13" s="94"/>
      <c r="H13" s="6"/>
      <c r="I13" s="90"/>
      <c r="J13" s="90"/>
      <c r="K13" s="90"/>
      <c r="L13" s="90"/>
      <c r="M13" s="90"/>
      <c r="N13" s="90"/>
      <c r="O13" s="9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8"/>
    </row>
    <row r="14" spans="1:28" s="50" customFormat="1" ht="19.5">
      <c r="A14" s="57"/>
      <c r="B14" s="318" t="str">
        <f>'TOT-0714'!B14</f>
        <v>Desde el 01 al 31 de julio de 2014</v>
      </c>
      <c r="C14" s="55"/>
      <c r="D14" s="55"/>
      <c r="E14" s="55"/>
      <c r="F14" s="55"/>
      <c r="G14" s="106"/>
      <c r="H14" s="107"/>
      <c r="I14" s="108"/>
      <c r="J14" s="108"/>
      <c r="K14" s="108"/>
      <c r="L14" s="108"/>
      <c r="M14" s="108"/>
      <c r="N14" s="108"/>
      <c r="O14" s="108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6"/>
    </row>
    <row r="15" spans="1:28" s="7" customFormat="1" ht="13.5" thickBot="1">
      <c r="A15" s="6"/>
      <c r="B15" s="65"/>
      <c r="C15" s="6"/>
      <c r="D15" s="6"/>
      <c r="E15" s="6"/>
      <c r="F15" s="6"/>
      <c r="G15" s="6"/>
      <c r="H15" s="97"/>
      <c r="I15" s="90"/>
      <c r="J15" s="90"/>
      <c r="K15" s="90"/>
      <c r="L15" s="90"/>
      <c r="M15" s="90"/>
      <c r="N15" s="90"/>
      <c r="O15" s="9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7" customFormat="1" ht="14.25" thickBot="1" thickTop="1">
      <c r="A16" s="6"/>
      <c r="B16" s="65"/>
      <c r="C16" s="6"/>
      <c r="D16" s="6"/>
      <c r="E16" s="6"/>
      <c r="F16" s="101" t="s">
        <v>20</v>
      </c>
      <c r="G16" s="289">
        <v>381.239</v>
      </c>
      <c r="H16" s="185"/>
      <c r="I16" s="6"/>
      <c r="J16"/>
      <c r="K16" s="102" t="s">
        <v>21</v>
      </c>
      <c r="L16" s="103">
        <f>30*'TOT-0714'!B13</f>
        <v>60</v>
      </c>
      <c r="M16" s="172" t="str">
        <f>IF(L16=30," ",IF(L16=60,"Coeficiente duplicado por tasa de falla &gt;4 Sal. x año/100 km.","REVISAR COEFICIENTE"))</f>
        <v>Coeficiente duplicado por tasa de falla &gt;4 Sal. x año/100 km.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8"/>
    </row>
    <row r="17" spans="1:28" s="7" customFormat="1" ht="14.25" thickBot="1" thickTop="1">
      <c r="A17" s="6"/>
      <c r="B17" s="65"/>
      <c r="C17" s="352">
        <v>3</v>
      </c>
      <c r="D17" s="352">
        <v>4</v>
      </c>
      <c r="E17" s="352">
        <v>5</v>
      </c>
      <c r="F17" s="352">
        <v>6</v>
      </c>
      <c r="G17" s="352">
        <v>7</v>
      </c>
      <c r="H17" s="352">
        <v>8</v>
      </c>
      <c r="I17" s="352">
        <v>9</v>
      </c>
      <c r="J17" s="352">
        <v>10</v>
      </c>
      <c r="K17" s="352">
        <v>11</v>
      </c>
      <c r="L17" s="352">
        <v>12</v>
      </c>
      <c r="M17" s="352">
        <v>13</v>
      </c>
      <c r="N17" s="352">
        <v>14</v>
      </c>
      <c r="O17" s="352">
        <v>15</v>
      </c>
      <c r="P17" s="352">
        <v>16</v>
      </c>
      <c r="Q17" s="352">
        <v>17</v>
      </c>
      <c r="R17" s="352">
        <v>18</v>
      </c>
      <c r="S17" s="352">
        <v>19</v>
      </c>
      <c r="T17" s="352">
        <v>20</v>
      </c>
      <c r="U17" s="352">
        <v>21</v>
      </c>
      <c r="V17" s="352">
        <v>22</v>
      </c>
      <c r="W17" s="352">
        <v>23</v>
      </c>
      <c r="X17" s="352">
        <v>24</v>
      </c>
      <c r="Y17" s="352">
        <v>25</v>
      </c>
      <c r="Z17" s="352">
        <v>26</v>
      </c>
      <c r="AA17" s="352">
        <v>27</v>
      </c>
      <c r="AB17" s="8"/>
    </row>
    <row r="18" spans="1:28" s="7" customFormat="1" ht="33.75" customHeight="1" thickBot="1" thickTop="1">
      <c r="A18" s="6"/>
      <c r="B18" s="65"/>
      <c r="C18" s="112" t="s">
        <v>22</v>
      </c>
      <c r="D18" s="112" t="s">
        <v>145</v>
      </c>
      <c r="E18" s="112" t="s">
        <v>144</v>
      </c>
      <c r="F18" s="113" t="s">
        <v>3</v>
      </c>
      <c r="G18" s="114" t="s">
        <v>23</v>
      </c>
      <c r="H18" s="115" t="s">
        <v>24</v>
      </c>
      <c r="I18" s="174" t="s">
        <v>25</v>
      </c>
      <c r="J18" s="113" t="s">
        <v>26</v>
      </c>
      <c r="K18" s="113" t="s">
        <v>27</v>
      </c>
      <c r="L18" s="114" t="s">
        <v>28</v>
      </c>
      <c r="M18" s="114" t="s">
        <v>29</v>
      </c>
      <c r="N18" s="116" t="s">
        <v>30</v>
      </c>
      <c r="O18" s="114" t="s">
        <v>31</v>
      </c>
      <c r="P18" s="187" t="s">
        <v>32</v>
      </c>
      <c r="Q18" s="192" t="s">
        <v>33</v>
      </c>
      <c r="R18" s="197" t="s">
        <v>34</v>
      </c>
      <c r="S18" s="198"/>
      <c r="T18" s="199"/>
      <c r="U18" s="210" t="s">
        <v>35</v>
      </c>
      <c r="V18" s="211"/>
      <c r="W18" s="212"/>
      <c r="X18" s="225" t="s">
        <v>36</v>
      </c>
      <c r="Y18" s="230" t="s">
        <v>37</v>
      </c>
      <c r="Z18" s="117" t="s">
        <v>38</v>
      </c>
      <c r="AA18" s="183" t="s">
        <v>39</v>
      </c>
      <c r="AB18" s="8"/>
    </row>
    <row r="19" spans="1:28" s="7" customFormat="1" ht="15.75" thickTop="1">
      <c r="A19" s="6"/>
      <c r="B19" s="65"/>
      <c r="C19" s="294"/>
      <c r="D19" s="347"/>
      <c r="E19" s="347"/>
      <c r="F19" s="295"/>
      <c r="G19" s="302"/>
      <c r="H19" s="303"/>
      <c r="I19" s="186"/>
      <c r="J19" s="308"/>
      <c r="K19" s="308"/>
      <c r="L19" s="9"/>
      <c r="M19" s="9"/>
      <c r="N19" s="295"/>
      <c r="O19" s="298"/>
      <c r="P19" s="188"/>
      <c r="Q19" s="193"/>
      <c r="R19" s="200"/>
      <c r="S19" s="206"/>
      <c r="T19" s="207"/>
      <c r="U19" s="213"/>
      <c r="V19" s="217"/>
      <c r="W19" s="221"/>
      <c r="X19" s="226"/>
      <c r="Y19" s="231"/>
      <c r="Z19" s="314"/>
      <c r="AA19" s="184">
        <f>'LI-07 (1)'!AA42</f>
        <v>30145.61</v>
      </c>
      <c r="AB19" s="8"/>
    </row>
    <row r="20" spans="1:28" s="7" customFormat="1" ht="15">
      <c r="A20" s="6"/>
      <c r="B20" s="65"/>
      <c r="C20" s="298"/>
      <c r="D20" s="295"/>
      <c r="E20" s="295"/>
      <c r="F20" s="299"/>
      <c r="G20" s="304"/>
      <c r="H20" s="305"/>
      <c r="I20" s="176"/>
      <c r="J20" s="309"/>
      <c r="K20" s="309"/>
      <c r="L20" s="12"/>
      <c r="M20" s="13"/>
      <c r="N20" s="311"/>
      <c r="O20" s="312"/>
      <c r="P20" s="190"/>
      <c r="Q20" s="195"/>
      <c r="R20" s="200"/>
      <c r="S20" s="201"/>
      <c r="T20" s="202"/>
      <c r="U20" s="215"/>
      <c r="V20" s="219"/>
      <c r="W20" s="223"/>
      <c r="X20" s="228"/>
      <c r="Y20" s="233"/>
      <c r="Z20" s="316"/>
      <c r="AA20" s="28"/>
      <c r="AB20" s="287"/>
    </row>
    <row r="21" spans="1:28" s="7" customFormat="1" ht="15">
      <c r="A21" s="6"/>
      <c r="B21" s="65"/>
      <c r="C21" s="298">
        <v>14</v>
      </c>
      <c r="D21" s="295">
        <v>276690</v>
      </c>
      <c r="E21" s="295">
        <v>4250</v>
      </c>
      <c r="F21" s="299" t="s">
        <v>171</v>
      </c>
      <c r="G21" s="304">
        <v>132</v>
      </c>
      <c r="H21" s="305">
        <v>55</v>
      </c>
      <c r="I21" s="176">
        <f aca="true" t="shared" si="0" ref="I21:I40">$G$16/100*IF(H21&gt;25,H21,25)</f>
        <v>209.68144999999998</v>
      </c>
      <c r="J21" s="309">
        <v>41831.31527777778</v>
      </c>
      <c r="K21" s="309">
        <v>41831.64097222222</v>
      </c>
      <c r="L21" s="12">
        <f aca="true" t="shared" si="1" ref="L21:L32">IF(F21="","",(K21-J21)*24)</f>
        <v>7.816666666651145</v>
      </c>
      <c r="M21" s="13">
        <f aca="true" t="shared" si="2" ref="M21:M32">IF(F21="","",ROUND((K21-J21)*24*60,0))</f>
        <v>469</v>
      </c>
      <c r="N21" s="311" t="s">
        <v>163</v>
      </c>
      <c r="O21" s="312" t="str">
        <f aca="true" t="shared" si="3" ref="O21:O32">IF(F21="","","--")</f>
        <v>--</v>
      </c>
      <c r="P21" s="190">
        <f aca="true" t="shared" si="4" ref="P21:P32">IF(N21="P",ROUND(M21/60,2)*I21*$L$16*0.01,"--")</f>
        <v>983.8253633999999</v>
      </c>
      <c r="Q21" s="195" t="str">
        <f aca="true" t="shared" si="5" ref="Q21:Q32">IF(N21="RP",I21*O21*ROUND(L21/60,2)*0.01*M21/100,"--")</f>
        <v>--</v>
      </c>
      <c r="R21" s="200" t="str">
        <f aca="true" t="shared" si="6" ref="R21:R32">IF(N21="F",I21*$L$16,"--")</f>
        <v>--</v>
      </c>
      <c r="S21" s="201" t="str">
        <f aca="true" t="shared" si="7" ref="S21:S32">IF(AND(M21&gt;10,N21="F"),I21*$L$16*IF(M21&gt;180,3,ROUND((M21)/60,2)),"--")</f>
        <v>--</v>
      </c>
      <c r="T21" s="202" t="str">
        <f aca="true" t="shared" si="8" ref="T21:T32">IF(AND(M21&gt;180,N21="F"),(ROUND(M21/60,2)-3)*I21*$L$16*0.1,"--")</f>
        <v>--</v>
      </c>
      <c r="U21" s="215" t="str">
        <f aca="true" t="shared" si="9" ref="U21:U32">IF(N21="R",I21*$L$16*O21/100,"--")</f>
        <v>--</v>
      </c>
      <c r="V21" s="219" t="str">
        <f aca="true" t="shared" si="10" ref="V21:V32">IF(AND(M21&gt;10,N21="R"),I21*$L$16*O21/100*IF(M21&gt;180,3,ROUND(M21/60,2)),"--")</f>
        <v>--</v>
      </c>
      <c r="W21" s="223" t="str">
        <f aca="true" t="shared" si="11" ref="W21:W32">IF(AND(M21&gt;180,N21="R"),(ROUND(M21/60,2)-3)*I21*$L$16*0.1*O21/100,"--")</f>
        <v>--</v>
      </c>
      <c r="X21" s="228" t="str">
        <f aca="true" t="shared" si="12" ref="X21:X32">IF(N21="RF",ROUND(M21/60,2)*I21*$L$16*0.1,"--")</f>
        <v>--</v>
      </c>
      <c r="Y21" s="233" t="str">
        <f aca="true" t="shared" si="13" ref="Y21:Y32">IF(N21="RR",ROUND(M21/60,2)*I21*$L$16*0.1*O21/100,"--")</f>
        <v>--</v>
      </c>
      <c r="Z21" s="316" t="s">
        <v>164</v>
      </c>
      <c r="AA21" s="28">
        <f aca="true" t="shared" si="14" ref="AA21:AA32">IF(F21="","",SUM(P21:Y21)*IF(Z21="SI",1,2))</f>
        <v>983.8253633999999</v>
      </c>
      <c r="AB21" s="287"/>
    </row>
    <row r="22" spans="1:28" s="7" customFormat="1" ht="15">
      <c r="A22" s="6"/>
      <c r="B22" s="65"/>
      <c r="C22" s="298">
        <v>15</v>
      </c>
      <c r="D22" s="295">
        <v>276691</v>
      </c>
      <c r="E22" s="295">
        <v>310</v>
      </c>
      <c r="F22" s="299" t="s">
        <v>174</v>
      </c>
      <c r="G22" s="304">
        <v>132</v>
      </c>
      <c r="H22" s="305">
        <v>3.299999952316284</v>
      </c>
      <c r="I22" s="176">
        <f t="shared" si="0"/>
        <v>95.30975</v>
      </c>
      <c r="J22" s="309">
        <v>41831.33888888889</v>
      </c>
      <c r="K22" s="309">
        <v>41831.54027777778</v>
      </c>
      <c r="L22" s="12">
        <f t="shared" si="1"/>
        <v>4.833333333372138</v>
      </c>
      <c r="M22" s="13">
        <f t="shared" si="2"/>
        <v>290</v>
      </c>
      <c r="N22" s="311" t="s">
        <v>163</v>
      </c>
      <c r="O22" s="312" t="str">
        <f t="shared" si="3"/>
        <v>--</v>
      </c>
      <c r="P22" s="190">
        <f t="shared" si="4"/>
        <v>276.2076555</v>
      </c>
      <c r="Q22" s="195" t="str">
        <f t="shared" si="5"/>
        <v>--</v>
      </c>
      <c r="R22" s="200" t="str">
        <f t="shared" si="6"/>
        <v>--</v>
      </c>
      <c r="S22" s="201" t="str">
        <f t="shared" si="7"/>
        <v>--</v>
      </c>
      <c r="T22" s="202" t="str">
        <f t="shared" si="8"/>
        <v>--</v>
      </c>
      <c r="U22" s="215" t="str">
        <f t="shared" si="9"/>
        <v>--</v>
      </c>
      <c r="V22" s="219" t="str">
        <f t="shared" si="10"/>
        <v>--</v>
      </c>
      <c r="W22" s="223" t="str">
        <f t="shared" si="11"/>
        <v>--</v>
      </c>
      <c r="X22" s="228" t="str">
        <f t="shared" si="12"/>
        <v>--</v>
      </c>
      <c r="Y22" s="233" t="str">
        <f t="shared" si="13"/>
        <v>--</v>
      </c>
      <c r="Z22" s="316" t="s">
        <v>164</v>
      </c>
      <c r="AA22" s="28">
        <f t="shared" si="14"/>
        <v>276.2076555</v>
      </c>
      <c r="AB22" s="287"/>
    </row>
    <row r="23" spans="1:28" s="7" customFormat="1" ht="15">
      <c r="A23" s="6"/>
      <c r="B23" s="65"/>
      <c r="C23" s="298">
        <v>16</v>
      </c>
      <c r="D23" s="295">
        <v>276870</v>
      </c>
      <c r="E23" s="295">
        <v>2623</v>
      </c>
      <c r="F23" s="299" t="s">
        <v>167</v>
      </c>
      <c r="G23" s="304">
        <v>132</v>
      </c>
      <c r="H23" s="305">
        <v>12.25</v>
      </c>
      <c r="I23" s="176">
        <f t="shared" si="0"/>
        <v>95.30975</v>
      </c>
      <c r="J23" s="309">
        <v>41840.347916666666</v>
      </c>
      <c r="K23" s="309">
        <v>41840.498611111114</v>
      </c>
      <c r="L23" s="12">
        <f t="shared" si="1"/>
        <v>3.6166666667559184</v>
      </c>
      <c r="M23" s="13">
        <f t="shared" si="2"/>
        <v>217</v>
      </c>
      <c r="N23" s="311" t="s">
        <v>163</v>
      </c>
      <c r="O23" s="312" t="str">
        <f t="shared" si="3"/>
        <v>--</v>
      </c>
      <c r="P23" s="190">
        <f t="shared" si="4"/>
        <v>207.012777</v>
      </c>
      <c r="Q23" s="195" t="str">
        <f t="shared" si="5"/>
        <v>--</v>
      </c>
      <c r="R23" s="200" t="str">
        <f t="shared" si="6"/>
        <v>--</v>
      </c>
      <c r="S23" s="201" t="str">
        <f t="shared" si="7"/>
        <v>--</v>
      </c>
      <c r="T23" s="202" t="str">
        <f t="shared" si="8"/>
        <v>--</v>
      </c>
      <c r="U23" s="215" t="str">
        <f t="shared" si="9"/>
        <v>--</v>
      </c>
      <c r="V23" s="219" t="str">
        <f t="shared" si="10"/>
        <v>--</v>
      </c>
      <c r="W23" s="223" t="str">
        <f t="shared" si="11"/>
        <v>--</v>
      </c>
      <c r="X23" s="228" t="str">
        <f t="shared" si="12"/>
        <v>--</v>
      </c>
      <c r="Y23" s="233" t="str">
        <f t="shared" si="13"/>
        <v>--</v>
      </c>
      <c r="Z23" s="316" t="s">
        <v>164</v>
      </c>
      <c r="AA23" s="28">
        <f t="shared" si="14"/>
        <v>207.012777</v>
      </c>
      <c r="AB23" s="8"/>
    </row>
    <row r="24" spans="1:28" s="7" customFormat="1" ht="15">
      <c r="A24" s="6"/>
      <c r="B24" s="65"/>
      <c r="C24" s="298">
        <v>17</v>
      </c>
      <c r="D24" s="295">
        <v>276871</v>
      </c>
      <c r="E24" s="295">
        <v>299</v>
      </c>
      <c r="F24" s="299" t="s">
        <v>175</v>
      </c>
      <c r="G24" s="304">
        <v>132</v>
      </c>
      <c r="H24" s="305">
        <v>23.899999618530273</v>
      </c>
      <c r="I24" s="176">
        <f t="shared" si="0"/>
        <v>95.30975</v>
      </c>
      <c r="J24" s="309">
        <v>41840.34861111111</v>
      </c>
      <c r="K24" s="309">
        <v>41840.49722222222</v>
      </c>
      <c r="L24" s="12">
        <f t="shared" si="1"/>
        <v>3.566666666592937</v>
      </c>
      <c r="M24" s="13">
        <f t="shared" si="2"/>
        <v>214</v>
      </c>
      <c r="N24" s="311" t="s">
        <v>163</v>
      </c>
      <c r="O24" s="312" t="str">
        <f t="shared" si="3"/>
        <v>--</v>
      </c>
      <c r="P24" s="190">
        <f t="shared" si="4"/>
        <v>204.1534845</v>
      </c>
      <c r="Q24" s="195" t="str">
        <f t="shared" si="5"/>
        <v>--</v>
      </c>
      <c r="R24" s="200" t="str">
        <f t="shared" si="6"/>
        <v>--</v>
      </c>
      <c r="S24" s="201" t="str">
        <f t="shared" si="7"/>
        <v>--</v>
      </c>
      <c r="T24" s="202" t="str">
        <f t="shared" si="8"/>
        <v>--</v>
      </c>
      <c r="U24" s="215" t="str">
        <f t="shared" si="9"/>
        <v>--</v>
      </c>
      <c r="V24" s="219" t="str">
        <f t="shared" si="10"/>
        <v>--</v>
      </c>
      <c r="W24" s="223" t="str">
        <f t="shared" si="11"/>
        <v>--</v>
      </c>
      <c r="X24" s="228" t="str">
        <f t="shared" si="12"/>
        <v>--</v>
      </c>
      <c r="Y24" s="233" t="str">
        <f t="shared" si="13"/>
        <v>--</v>
      </c>
      <c r="Z24" s="316" t="s">
        <v>164</v>
      </c>
      <c r="AA24" s="28">
        <f t="shared" si="14"/>
        <v>204.1534845</v>
      </c>
      <c r="AB24" s="8"/>
    </row>
    <row r="25" spans="1:28" s="7" customFormat="1" ht="15">
      <c r="A25" s="6"/>
      <c r="B25" s="65"/>
      <c r="C25" s="298">
        <v>18</v>
      </c>
      <c r="D25" s="295">
        <v>276872</v>
      </c>
      <c r="E25" s="295">
        <v>283</v>
      </c>
      <c r="F25" s="299" t="s">
        <v>176</v>
      </c>
      <c r="G25" s="304">
        <v>132</v>
      </c>
      <c r="H25" s="305">
        <v>91.19999694824219</v>
      </c>
      <c r="I25" s="176">
        <f t="shared" si="0"/>
        <v>347.68995636550903</v>
      </c>
      <c r="J25" s="309">
        <v>41840.36111111111</v>
      </c>
      <c r="K25" s="309">
        <v>41840.61666666667</v>
      </c>
      <c r="L25" s="12">
        <f t="shared" si="1"/>
        <v>6.133333333418705</v>
      </c>
      <c r="M25" s="13">
        <f t="shared" si="2"/>
        <v>368</v>
      </c>
      <c r="N25" s="311" t="s">
        <v>163</v>
      </c>
      <c r="O25" s="312" t="str">
        <f t="shared" si="3"/>
        <v>--</v>
      </c>
      <c r="P25" s="190">
        <f t="shared" si="4"/>
        <v>1278.8036595123424</v>
      </c>
      <c r="Q25" s="195" t="str">
        <f t="shared" si="5"/>
        <v>--</v>
      </c>
      <c r="R25" s="200" t="str">
        <f t="shared" si="6"/>
        <v>--</v>
      </c>
      <c r="S25" s="201" t="str">
        <f t="shared" si="7"/>
        <v>--</v>
      </c>
      <c r="T25" s="202" t="str">
        <f t="shared" si="8"/>
        <v>--</v>
      </c>
      <c r="U25" s="215" t="str">
        <f t="shared" si="9"/>
        <v>--</v>
      </c>
      <c r="V25" s="219" t="str">
        <f t="shared" si="10"/>
        <v>--</v>
      </c>
      <c r="W25" s="223" t="str">
        <f t="shared" si="11"/>
        <v>--</v>
      </c>
      <c r="X25" s="228" t="str">
        <f t="shared" si="12"/>
        <v>--</v>
      </c>
      <c r="Y25" s="233" t="str">
        <f t="shared" si="13"/>
        <v>--</v>
      </c>
      <c r="Z25" s="316" t="s">
        <v>164</v>
      </c>
      <c r="AA25" s="28">
        <f t="shared" si="14"/>
        <v>1278.8036595123424</v>
      </c>
      <c r="AB25" s="8"/>
    </row>
    <row r="26" spans="1:28" s="7" customFormat="1" ht="15">
      <c r="A26" s="6"/>
      <c r="B26" s="65"/>
      <c r="C26" s="298">
        <v>19</v>
      </c>
      <c r="D26" s="295">
        <v>276873</v>
      </c>
      <c r="E26" s="295">
        <v>289</v>
      </c>
      <c r="F26" s="299" t="s">
        <v>177</v>
      </c>
      <c r="G26" s="304">
        <v>132</v>
      </c>
      <c r="H26" s="305">
        <v>27.299999237060547</v>
      </c>
      <c r="I26" s="176">
        <f t="shared" si="0"/>
        <v>104.07824409137726</v>
      </c>
      <c r="J26" s="309">
        <v>41840.36111111111</v>
      </c>
      <c r="K26" s="309">
        <v>41840.61666666667</v>
      </c>
      <c r="L26" s="12">
        <f t="shared" si="1"/>
        <v>6.133333333418705</v>
      </c>
      <c r="M26" s="13">
        <f t="shared" si="2"/>
        <v>368</v>
      </c>
      <c r="N26" s="311" t="s">
        <v>163</v>
      </c>
      <c r="O26" s="312" t="str">
        <f t="shared" si="3"/>
        <v>--</v>
      </c>
      <c r="P26" s="190">
        <f t="shared" si="4"/>
        <v>382.79978176808555</v>
      </c>
      <c r="Q26" s="195" t="str">
        <f t="shared" si="5"/>
        <v>--</v>
      </c>
      <c r="R26" s="200" t="str">
        <f t="shared" si="6"/>
        <v>--</v>
      </c>
      <c r="S26" s="201" t="str">
        <f t="shared" si="7"/>
        <v>--</v>
      </c>
      <c r="T26" s="202" t="str">
        <f t="shared" si="8"/>
        <v>--</v>
      </c>
      <c r="U26" s="215" t="str">
        <f t="shared" si="9"/>
        <v>--</v>
      </c>
      <c r="V26" s="219" t="str">
        <f t="shared" si="10"/>
        <v>--</v>
      </c>
      <c r="W26" s="223" t="str">
        <f t="shared" si="11"/>
        <v>--</v>
      </c>
      <c r="X26" s="228" t="str">
        <f t="shared" si="12"/>
        <v>--</v>
      </c>
      <c r="Y26" s="233" t="str">
        <f t="shared" si="13"/>
        <v>--</v>
      </c>
      <c r="Z26" s="316" t="s">
        <v>164</v>
      </c>
      <c r="AA26" s="28">
        <f t="shared" si="14"/>
        <v>382.79978176808555</v>
      </c>
      <c r="AB26" s="8"/>
    </row>
    <row r="27" spans="1:28" s="7" customFormat="1" ht="15">
      <c r="A27" s="6"/>
      <c r="B27" s="65"/>
      <c r="C27" s="298">
        <v>20</v>
      </c>
      <c r="D27" s="295">
        <v>276887</v>
      </c>
      <c r="E27" s="295">
        <v>287</v>
      </c>
      <c r="F27" s="299" t="s">
        <v>178</v>
      </c>
      <c r="G27" s="304">
        <v>132</v>
      </c>
      <c r="H27" s="305">
        <v>34.13999938964844</v>
      </c>
      <c r="I27" s="176">
        <f t="shared" si="0"/>
        <v>130.1549922731018</v>
      </c>
      <c r="J27" s="309">
        <v>41840.38333333333</v>
      </c>
      <c r="K27" s="309">
        <v>41840.42222222222</v>
      </c>
      <c r="L27" s="12">
        <f t="shared" si="1"/>
        <v>0.933333333407063</v>
      </c>
      <c r="M27" s="13">
        <f t="shared" si="2"/>
        <v>56</v>
      </c>
      <c r="N27" s="311" t="s">
        <v>163</v>
      </c>
      <c r="O27" s="312" t="str">
        <f t="shared" si="3"/>
        <v>--</v>
      </c>
      <c r="P27" s="190">
        <f t="shared" si="4"/>
        <v>72.62648568839082</v>
      </c>
      <c r="Q27" s="195" t="str">
        <f t="shared" si="5"/>
        <v>--</v>
      </c>
      <c r="R27" s="200" t="str">
        <f t="shared" si="6"/>
        <v>--</v>
      </c>
      <c r="S27" s="201" t="str">
        <f t="shared" si="7"/>
        <v>--</v>
      </c>
      <c r="T27" s="202" t="str">
        <f t="shared" si="8"/>
        <v>--</v>
      </c>
      <c r="U27" s="215" t="str">
        <f t="shared" si="9"/>
        <v>--</v>
      </c>
      <c r="V27" s="219" t="str">
        <f t="shared" si="10"/>
        <v>--</v>
      </c>
      <c r="W27" s="223" t="str">
        <f t="shared" si="11"/>
        <v>--</v>
      </c>
      <c r="X27" s="228" t="str">
        <f t="shared" si="12"/>
        <v>--</v>
      </c>
      <c r="Y27" s="233" t="str">
        <f t="shared" si="13"/>
        <v>--</v>
      </c>
      <c r="Z27" s="316" t="s">
        <v>164</v>
      </c>
      <c r="AA27" s="28">
        <f t="shared" si="14"/>
        <v>72.62648568839082</v>
      </c>
      <c r="AB27" s="8"/>
    </row>
    <row r="28" spans="1:28" s="7" customFormat="1" ht="15">
      <c r="A28" s="6"/>
      <c r="B28" s="65"/>
      <c r="C28" s="298">
        <v>21</v>
      </c>
      <c r="D28" s="295">
        <v>277085</v>
      </c>
      <c r="E28" s="295">
        <v>278</v>
      </c>
      <c r="F28" s="299" t="s">
        <v>179</v>
      </c>
      <c r="G28" s="304">
        <v>132</v>
      </c>
      <c r="H28" s="305">
        <v>4.400000095367432</v>
      </c>
      <c r="I28" s="176">
        <f t="shared" si="0"/>
        <v>95.30975</v>
      </c>
      <c r="J28" s="309">
        <v>41842.336805555555</v>
      </c>
      <c r="K28" s="309">
        <v>41842.57430555556</v>
      </c>
      <c r="L28" s="12">
        <f t="shared" si="1"/>
        <v>5.700000000069849</v>
      </c>
      <c r="M28" s="13">
        <f t="shared" si="2"/>
        <v>342</v>
      </c>
      <c r="N28" s="311" t="s">
        <v>163</v>
      </c>
      <c r="O28" s="312" t="str">
        <f t="shared" si="3"/>
        <v>--</v>
      </c>
      <c r="P28" s="190">
        <f t="shared" si="4"/>
        <v>325.959345</v>
      </c>
      <c r="Q28" s="195" t="str">
        <f t="shared" si="5"/>
        <v>--</v>
      </c>
      <c r="R28" s="200" t="str">
        <f t="shared" si="6"/>
        <v>--</v>
      </c>
      <c r="S28" s="201" t="str">
        <f t="shared" si="7"/>
        <v>--</v>
      </c>
      <c r="T28" s="202" t="str">
        <f t="shared" si="8"/>
        <v>--</v>
      </c>
      <c r="U28" s="215" t="str">
        <f t="shared" si="9"/>
        <v>--</v>
      </c>
      <c r="V28" s="219" t="str">
        <f t="shared" si="10"/>
        <v>--</v>
      </c>
      <c r="W28" s="223" t="str">
        <f t="shared" si="11"/>
        <v>--</v>
      </c>
      <c r="X28" s="228" t="str">
        <f t="shared" si="12"/>
        <v>--</v>
      </c>
      <c r="Y28" s="233" t="str">
        <f t="shared" si="13"/>
        <v>--</v>
      </c>
      <c r="Z28" s="316" t="s">
        <v>164</v>
      </c>
      <c r="AA28" s="28">
        <f t="shared" si="14"/>
        <v>325.959345</v>
      </c>
      <c r="AB28" s="8"/>
    </row>
    <row r="29" spans="1:28" s="7" customFormat="1" ht="15">
      <c r="A29" s="6"/>
      <c r="B29" s="65"/>
      <c r="C29" s="298">
        <v>22</v>
      </c>
      <c r="D29" s="295">
        <v>277086</v>
      </c>
      <c r="E29" s="295">
        <v>4249</v>
      </c>
      <c r="F29" s="299" t="s">
        <v>180</v>
      </c>
      <c r="G29" s="304">
        <v>132</v>
      </c>
      <c r="H29" s="305">
        <v>60</v>
      </c>
      <c r="I29" s="176">
        <f t="shared" si="0"/>
        <v>228.74339999999998</v>
      </c>
      <c r="J29" s="309">
        <v>41843.313888888886</v>
      </c>
      <c r="K29" s="309">
        <v>41843.595138888886</v>
      </c>
      <c r="L29" s="12">
        <f t="shared" si="1"/>
        <v>6.75</v>
      </c>
      <c r="M29" s="13">
        <f t="shared" si="2"/>
        <v>405</v>
      </c>
      <c r="N29" s="311" t="s">
        <v>163</v>
      </c>
      <c r="O29" s="312" t="str">
        <f t="shared" si="3"/>
        <v>--</v>
      </c>
      <c r="P29" s="190">
        <f t="shared" si="4"/>
        <v>926.41077</v>
      </c>
      <c r="Q29" s="195" t="str">
        <f t="shared" si="5"/>
        <v>--</v>
      </c>
      <c r="R29" s="200" t="str">
        <f t="shared" si="6"/>
        <v>--</v>
      </c>
      <c r="S29" s="201" t="str">
        <f t="shared" si="7"/>
        <v>--</v>
      </c>
      <c r="T29" s="202" t="str">
        <f t="shared" si="8"/>
        <v>--</v>
      </c>
      <c r="U29" s="215" t="str">
        <f t="shared" si="9"/>
        <v>--</v>
      </c>
      <c r="V29" s="219" t="str">
        <f t="shared" si="10"/>
        <v>--</v>
      </c>
      <c r="W29" s="223" t="str">
        <f t="shared" si="11"/>
        <v>--</v>
      </c>
      <c r="X29" s="228" t="str">
        <f t="shared" si="12"/>
        <v>--</v>
      </c>
      <c r="Y29" s="233" t="str">
        <f t="shared" si="13"/>
        <v>--</v>
      </c>
      <c r="Z29" s="316" t="s">
        <v>164</v>
      </c>
      <c r="AA29" s="28">
        <f t="shared" si="14"/>
        <v>926.41077</v>
      </c>
      <c r="AB29" s="8"/>
    </row>
    <row r="30" spans="1:28" s="7" customFormat="1" ht="15">
      <c r="A30" s="6"/>
      <c r="B30" s="65"/>
      <c r="C30" s="298">
        <v>23</v>
      </c>
      <c r="D30" s="295">
        <v>277087</v>
      </c>
      <c r="E30" s="295">
        <v>278</v>
      </c>
      <c r="F30" s="299" t="s">
        <v>179</v>
      </c>
      <c r="G30" s="304">
        <v>132</v>
      </c>
      <c r="H30" s="305">
        <v>4.400000095367432</v>
      </c>
      <c r="I30" s="176">
        <f t="shared" si="0"/>
        <v>95.30975</v>
      </c>
      <c r="J30" s="309">
        <v>41843.33611111111</v>
      </c>
      <c r="K30" s="309">
        <v>41843.72777777778</v>
      </c>
      <c r="L30" s="12">
        <f t="shared" si="1"/>
        <v>9.40000000008149</v>
      </c>
      <c r="M30" s="13">
        <f t="shared" si="2"/>
        <v>564</v>
      </c>
      <c r="N30" s="311" t="s">
        <v>163</v>
      </c>
      <c r="O30" s="312" t="str">
        <f t="shared" si="3"/>
        <v>--</v>
      </c>
      <c r="P30" s="190">
        <f t="shared" si="4"/>
        <v>537.54699</v>
      </c>
      <c r="Q30" s="195" t="str">
        <f t="shared" si="5"/>
        <v>--</v>
      </c>
      <c r="R30" s="200" t="str">
        <f t="shared" si="6"/>
        <v>--</v>
      </c>
      <c r="S30" s="201" t="str">
        <f t="shared" si="7"/>
        <v>--</v>
      </c>
      <c r="T30" s="202" t="str">
        <f t="shared" si="8"/>
        <v>--</v>
      </c>
      <c r="U30" s="215" t="str">
        <f t="shared" si="9"/>
        <v>--</v>
      </c>
      <c r="V30" s="219" t="str">
        <f t="shared" si="10"/>
        <v>--</v>
      </c>
      <c r="W30" s="223" t="str">
        <f t="shared" si="11"/>
        <v>--</v>
      </c>
      <c r="X30" s="228" t="str">
        <f t="shared" si="12"/>
        <v>--</v>
      </c>
      <c r="Y30" s="233" t="str">
        <f t="shared" si="13"/>
        <v>--</v>
      </c>
      <c r="Z30" s="316" t="s">
        <v>164</v>
      </c>
      <c r="AA30" s="28">
        <f t="shared" si="14"/>
        <v>537.54699</v>
      </c>
      <c r="AB30" s="8"/>
    </row>
    <row r="31" spans="1:28" s="7" customFormat="1" ht="15">
      <c r="A31" s="6"/>
      <c r="B31" s="65"/>
      <c r="C31" s="298">
        <v>24</v>
      </c>
      <c r="D31" s="295">
        <v>277088</v>
      </c>
      <c r="E31" s="295">
        <v>4249</v>
      </c>
      <c r="F31" s="299" t="s">
        <v>180</v>
      </c>
      <c r="G31" s="304">
        <v>132</v>
      </c>
      <c r="H31" s="305">
        <v>60</v>
      </c>
      <c r="I31" s="176">
        <f t="shared" si="0"/>
        <v>228.74339999999998</v>
      </c>
      <c r="J31" s="309">
        <v>41844.325694444444</v>
      </c>
      <c r="K31" s="309">
        <v>41844.69236111111</v>
      </c>
      <c r="L31" s="12">
        <f t="shared" si="1"/>
        <v>8.800000000046566</v>
      </c>
      <c r="M31" s="13">
        <f t="shared" si="2"/>
        <v>528</v>
      </c>
      <c r="N31" s="311" t="s">
        <v>163</v>
      </c>
      <c r="O31" s="312" t="str">
        <f t="shared" si="3"/>
        <v>--</v>
      </c>
      <c r="P31" s="190">
        <f t="shared" si="4"/>
        <v>1207.765152</v>
      </c>
      <c r="Q31" s="195" t="str">
        <f t="shared" si="5"/>
        <v>--</v>
      </c>
      <c r="R31" s="200" t="str">
        <f t="shared" si="6"/>
        <v>--</v>
      </c>
      <c r="S31" s="201" t="str">
        <f t="shared" si="7"/>
        <v>--</v>
      </c>
      <c r="T31" s="202" t="str">
        <f t="shared" si="8"/>
        <v>--</v>
      </c>
      <c r="U31" s="215" t="str">
        <f t="shared" si="9"/>
        <v>--</v>
      </c>
      <c r="V31" s="219" t="str">
        <f t="shared" si="10"/>
        <v>--</v>
      </c>
      <c r="W31" s="223" t="str">
        <f t="shared" si="11"/>
        <v>--</v>
      </c>
      <c r="X31" s="228" t="str">
        <f t="shared" si="12"/>
        <v>--</v>
      </c>
      <c r="Y31" s="233" t="str">
        <f t="shared" si="13"/>
        <v>--</v>
      </c>
      <c r="Z31" s="316" t="s">
        <v>164</v>
      </c>
      <c r="AA31" s="28">
        <f t="shared" si="14"/>
        <v>1207.765152</v>
      </c>
      <c r="AB31" s="8"/>
    </row>
    <row r="32" spans="1:28" s="7" customFormat="1" ht="15">
      <c r="A32" s="6"/>
      <c r="B32" s="65"/>
      <c r="C32" s="298">
        <v>25</v>
      </c>
      <c r="D32" s="295">
        <v>276502</v>
      </c>
      <c r="E32" s="295">
        <v>278</v>
      </c>
      <c r="F32" s="299" t="s">
        <v>179</v>
      </c>
      <c r="G32" s="304">
        <v>132</v>
      </c>
      <c r="H32" s="305">
        <v>4.400000095367432</v>
      </c>
      <c r="I32" s="176">
        <f t="shared" si="0"/>
        <v>95.30975</v>
      </c>
      <c r="J32" s="309">
        <v>41844.34097222222</v>
      </c>
      <c r="K32" s="309">
        <v>41844.55</v>
      </c>
      <c r="L32" s="12">
        <f t="shared" si="1"/>
        <v>5.0166666667792015</v>
      </c>
      <c r="M32" s="13">
        <f t="shared" si="2"/>
        <v>301</v>
      </c>
      <c r="N32" s="311" t="s">
        <v>163</v>
      </c>
      <c r="O32" s="312" t="str">
        <f t="shared" si="3"/>
        <v>--</v>
      </c>
      <c r="P32" s="190">
        <f t="shared" si="4"/>
        <v>287.072967</v>
      </c>
      <c r="Q32" s="195" t="str">
        <f t="shared" si="5"/>
        <v>--</v>
      </c>
      <c r="R32" s="200" t="str">
        <f t="shared" si="6"/>
        <v>--</v>
      </c>
      <c r="S32" s="201" t="str">
        <f t="shared" si="7"/>
        <v>--</v>
      </c>
      <c r="T32" s="202" t="str">
        <f t="shared" si="8"/>
        <v>--</v>
      </c>
      <c r="U32" s="215" t="str">
        <f t="shared" si="9"/>
        <v>--</v>
      </c>
      <c r="V32" s="219" t="str">
        <f t="shared" si="10"/>
        <v>--</v>
      </c>
      <c r="W32" s="223" t="str">
        <f t="shared" si="11"/>
        <v>--</v>
      </c>
      <c r="X32" s="228" t="str">
        <f t="shared" si="12"/>
        <v>--</v>
      </c>
      <c r="Y32" s="233" t="str">
        <f t="shared" si="13"/>
        <v>--</v>
      </c>
      <c r="Z32" s="316" t="s">
        <v>164</v>
      </c>
      <c r="AA32" s="28">
        <f t="shared" si="14"/>
        <v>287.072967</v>
      </c>
      <c r="AB32" s="8"/>
    </row>
    <row r="33" spans="1:28" s="7" customFormat="1" ht="15">
      <c r="A33" s="6"/>
      <c r="B33" s="65"/>
      <c r="C33" s="298">
        <v>26</v>
      </c>
      <c r="D33" s="295">
        <v>277093</v>
      </c>
      <c r="E33" s="295">
        <v>4249</v>
      </c>
      <c r="F33" s="299" t="s">
        <v>180</v>
      </c>
      <c r="G33" s="304">
        <v>132</v>
      </c>
      <c r="H33" s="305">
        <v>60</v>
      </c>
      <c r="I33" s="176">
        <f t="shared" si="0"/>
        <v>228.74339999999998</v>
      </c>
      <c r="J33" s="309">
        <v>41845.24722222222</v>
      </c>
      <c r="K33" s="309">
        <v>41845.25486111111</v>
      </c>
      <c r="L33" s="12">
        <f aca="true" t="shared" si="15" ref="L33:L40">IF(F33="","",(K33-J33)*24)</f>
        <v>0.18333333340706304</v>
      </c>
      <c r="M33" s="13">
        <f aca="true" t="shared" si="16" ref="M33:M40">IF(F33="","",ROUND((K33-J33)*24*60,0))</f>
        <v>11</v>
      </c>
      <c r="N33" s="311" t="s">
        <v>173</v>
      </c>
      <c r="O33" s="312" t="str">
        <f aca="true" t="shared" si="17" ref="O33:O40">IF(F33="","","--")</f>
        <v>--</v>
      </c>
      <c r="P33" s="190" t="str">
        <f aca="true" t="shared" si="18" ref="P33:P40">IF(N33="P",ROUND(M33/60,2)*I33*$L$16*0.01,"--")</f>
        <v>--</v>
      </c>
      <c r="Q33" s="195" t="str">
        <f aca="true" t="shared" si="19" ref="Q33:Q40">IF(N33="RP",I33*O33*ROUND(L33/60,2)*0.01*M33/100,"--")</f>
        <v>--</v>
      </c>
      <c r="R33" s="200">
        <f aca="true" t="shared" si="20" ref="R33:R40">IF(N33="F",I33*$L$16,"--")</f>
        <v>13724.604</v>
      </c>
      <c r="S33" s="201">
        <f aca="true" t="shared" si="21" ref="S33:S40">IF(AND(M33&gt;10,N33="F"),I33*$L$16*IF(M33&gt;180,3,ROUND((M33)/60,2)),"--")</f>
        <v>2470.42872</v>
      </c>
      <c r="T33" s="202" t="str">
        <f aca="true" t="shared" si="22" ref="T33:T40">IF(AND(M33&gt;180,N33="F"),(ROUND(M33/60,2)-3)*I33*$L$16*0.1,"--")</f>
        <v>--</v>
      </c>
      <c r="U33" s="215" t="str">
        <f aca="true" t="shared" si="23" ref="U33:U40">IF(N33="R",I33*$L$16*O33/100,"--")</f>
        <v>--</v>
      </c>
      <c r="V33" s="219" t="str">
        <f aca="true" t="shared" si="24" ref="V33:V40">IF(AND(M33&gt;10,N33="R"),I33*$L$16*O33/100*IF(M33&gt;180,3,ROUND(M33/60,2)),"--")</f>
        <v>--</v>
      </c>
      <c r="W33" s="223" t="str">
        <f aca="true" t="shared" si="25" ref="W33:W40">IF(AND(M33&gt;180,N33="R"),(ROUND(M33/60,2)-3)*I33*$L$16*0.1*O33/100,"--")</f>
        <v>--</v>
      </c>
      <c r="X33" s="228" t="str">
        <f aca="true" t="shared" si="26" ref="X33:X40">IF(N33="RF",ROUND(M33/60,2)*I33*$L$16*0.1,"--")</f>
        <v>--</v>
      </c>
      <c r="Y33" s="233" t="str">
        <f aca="true" t="shared" si="27" ref="Y33:Y40">IF(N33="RR",ROUND(M33/60,2)*I33*$L$16*0.1*O33/100,"--")</f>
        <v>--</v>
      </c>
      <c r="Z33" s="316" t="s">
        <v>164</v>
      </c>
      <c r="AA33" s="28">
        <f aca="true" t="shared" si="28" ref="AA33:AA40">IF(F33="","",SUM(P33:Y33)*IF(Z33="SI",1,2))</f>
        <v>16195.03272</v>
      </c>
      <c r="AB33" s="8"/>
    </row>
    <row r="34" spans="1:28" s="7" customFormat="1" ht="15">
      <c r="A34" s="6"/>
      <c r="B34" s="65"/>
      <c r="C34" s="298">
        <v>27</v>
      </c>
      <c r="D34" s="295">
        <v>277094</v>
      </c>
      <c r="E34" s="295">
        <v>307</v>
      </c>
      <c r="F34" s="299" t="s">
        <v>181</v>
      </c>
      <c r="G34" s="304">
        <v>132</v>
      </c>
      <c r="H34" s="305">
        <v>155.60000610351562</v>
      </c>
      <c r="I34" s="176">
        <f t="shared" si="0"/>
        <v>593.2079072689819</v>
      </c>
      <c r="J34" s="309">
        <v>41845.32152777778</v>
      </c>
      <c r="K34" s="309">
        <v>41845.74930555555</v>
      </c>
      <c r="L34" s="12">
        <f t="shared" si="15"/>
        <v>10.266666666604578</v>
      </c>
      <c r="M34" s="13">
        <f t="shared" si="16"/>
        <v>616</v>
      </c>
      <c r="N34" s="311" t="s">
        <v>163</v>
      </c>
      <c r="O34" s="312" t="str">
        <f t="shared" si="17"/>
        <v>--</v>
      </c>
      <c r="P34" s="190">
        <f t="shared" si="18"/>
        <v>3655.347124591466</v>
      </c>
      <c r="Q34" s="195" t="str">
        <f t="shared" si="19"/>
        <v>--</v>
      </c>
      <c r="R34" s="200" t="str">
        <f t="shared" si="20"/>
        <v>--</v>
      </c>
      <c r="S34" s="201" t="str">
        <f t="shared" si="21"/>
        <v>--</v>
      </c>
      <c r="T34" s="202" t="str">
        <f t="shared" si="22"/>
        <v>--</v>
      </c>
      <c r="U34" s="215" t="str">
        <f t="shared" si="23"/>
        <v>--</v>
      </c>
      <c r="V34" s="219" t="str">
        <f t="shared" si="24"/>
        <v>--</v>
      </c>
      <c r="W34" s="223" t="str">
        <f t="shared" si="25"/>
        <v>--</v>
      </c>
      <c r="X34" s="228" t="str">
        <f t="shared" si="26"/>
        <v>--</v>
      </c>
      <c r="Y34" s="233" t="str">
        <f t="shared" si="27"/>
        <v>--</v>
      </c>
      <c r="Z34" s="316" t="s">
        <v>164</v>
      </c>
      <c r="AA34" s="28">
        <f t="shared" si="28"/>
        <v>3655.347124591466</v>
      </c>
      <c r="AB34" s="8"/>
    </row>
    <row r="35" spans="1:28" s="7" customFormat="1" ht="15">
      <c r="A35" s="6"/>
      <c r="B35" s="65"/>
      <c r="C35" s="298">
        <v>28</v>
      </c>
      <c r="D35" s="295">
        <v>277290</v>
      </c>
      <c r="E35" s="295">
        <v>4250</v>
      </c>
      <c r="F35" s="299" t="s">
        <v>171</v>
      </c>
      <c r="G35" s="304">
        <v>132</v>
      </c>
      <c r="H35" s="305">
        <v>55</v>
      </c>
      <c r="I35" s="176">
        <f t="shared" si="0"/>
        <v>209.68144999999998</v>
      </c>
      <c r="J35" s="309">
        <v>41849.32430555556</v>
      </c>
      <c r="K35" s="309">
        <v>41849.59166666667</v>
      </c>
      <c r="L35" s="12">
        <f t="shared" si="15"/>
        <v>6.416666666627862</v>
      </c>
      <c r="M35" s="13">
        <f t="shared" si="16"/>
        <v>385</v>
      </c>
      <c r="N35" s="311" t="s">
        <v>163</v>
      </c>
      <c r="O35" s="312" t="str">
        <f t="shared" si="17"/>
        <v>--</v>
      </c>
      <c r="P35" s="190">
        <f t="shared" si="18"/>
        <v>807.6929453999999</v>
      </c>
      <c r="Q35" s="195" t="str">
        <f t="shared" si="19"/>
        <v>--</v>
      </c>
      <c r="R35" s="200" t="str">
        <f t="shared" si="20"/>
        <v>--</v>
      </c>
      <c r="S35" s="201" t="str">
        <f t="shared" si="21"/>
        <v>--</v>
      </c>
      <c r="T35" s="202" t="str">
        <f t="shared" si="22"/>
        <v>--</v>
      </c>
      <c r="U35" s="215" t="str">
        <f t="shared" si="23"/>
        <v>--</v>
      </c>
      <c r="V35" s="219" t="str">
        <f t="shared" si="24"/>
        <v>--</v>
      </c>
      <c r="W35" s="223" t="str">
        <f t="shared" si="25"/>
        <v>--</v>
      </c>
      <c r="X35" s="228" t="str">
        <f t="shared" si="26"/>
        <v>--</v>
      </c>
      <c r="Y35" s="233" t="str">
        <f t="shared" si="27"/>
        <v>--</v>
      </c>
      <c r="Z35" s="316" t="s">
        <v>164</v>
      </c>
      <c r="AA35" s="28">
        <f t="shared" si="28"/>
        <v>807.6929453999999</v>
      </c>
      <c r="AB35" s="8"/>
    </row>
    <row r="36" spans="1:28" s="7" customFormat="1" ht="15">
      <c r="A36" s="6"/>
      <c r="B36" s="65"/>
      <c r="C36" s="298"/>
      <c r="D36" s="295"/>
      <c r="E36" s="295"/>
      <c r="F36" s="299"/>
      <c r="G36" s="304"/>
      <c r="H36" s="305"/>
      <c r="I36" s="176">
        <f t="shared" si="0"/>
        <v>95.30975</v>
      </c>
      <c r="J36" s="309"/>
      <c r="K36" s="309"/>
      <c r="L36" s="12">
        <f t="shared" si="15"/>
      </c>
      <c r="M36" s="13">
        <f t="shared" si="16"/>
      </c>
      <c r="N36" s="311"/>
      <c r="O36" s="312">
        <f t="shared" si="17"/>
      </c>
      <c r="P36" s="190" t="str">
        <f t="shared" si="18"/>
        <v>--</v>
      </c>
      <c r="Q36" s="195" t="str">
        <f t="shared" si="19"/>
        <v>--</v>
      </c>
      <c r="R36" s="200" t="str">
        <f t="shared" si="20"/>
        <v>--</v>
      </c>
      <c r="S36" s="201" t="str">
        <f t="shared" si="21"/>
        <v>--</v>
      </c>
      <c r="T36" s="202" t="str">
        <f t="shared" si="22"/>
        <v>--</v>
      </c>
      <c r="U36" s="215" t="str">
        <f t="shared" si="23"/>
        <v>--</v>
      </c>
      <c r="V36" s="219" t="str">
        <f t="shared" si="24"/>
        <v>--</v>
      </c>
      <c r="W36" s="223" t="str">
        <f t="shared" si="25"/>
        <v>--</v>
      </c>
      <c r="X36" s="228" t="str">
        <f t="shared" si="26"/>
        <v>--</v>
      </c>
      <c r="Y36" s="233" t="str">
        <f t="shared" si="27"/>
        <v>--</v>
      </c>
      <c r="Z36" s="316">
        <f>IF(F36="","","SI")</f>
      </c>
      <c r="AA36" s="28">
        <f t="shared" si="28"/>
      </c>
      <c r="AB36" s="8"/>
    </row>
    <row r="37" spans="1:28" s="7" customFormat="1" ht="15">
      <c r="A37" s="6"/>
      <c r="B37" s="65"/>
      <c r="C37" s="298"/>
      <c r="D37" s="295"/>
      <c r="E37" s="295"/>
      <c r="F37" s="299"/>
      <c r="G37" s="304"/>
      <c r="H37" s="305"/>
      <c r="I37" s="176">
        <f t="shared" si="0"/>
        <v>95.30975</v>
      </c>
      <c r="J37" s="309"/>
      <c r="K37" s="309"/>
      <c r="L37" s="12">
        <f t="shared" si="15"/>
      </c>
      <c r="M37" s="13">
        <f t="shared" si="16"/>
      </c>
      <c r="N37" s="311"/>
      <c r="O37" s="312">
        <f t="shared" si="17"/>
      </c>
      <c r="P37" s="190" t="str">
        <f t="shared" si="18"/>
        <v>--</v>
      </c>
      <c r="Q37" s="195" t="str">
        <f t="shared" si="19"/>
        <v>--</v>
      </c>
      <c r="R37" s="200" t="str">
        <f t="shared" si="20"/>
        <v>--</v>
      </c>
      <c r="S37" s="201" t="str">
        <f t="shared" si="21"/>
        <v>--</v>
      </c>
      <c r="T37" s="202" t="str">
        <f t="shared" si="22"/>
        <v>--</v>
      </c>
      <c r="U37" s="215" t="str">
        <f t="shared" si="23"/>
        <v>--</v>
      </c>
      <c r="V37" s="219" t="str">
        <f t="shared" si="24"/>
        <v>--</v>
      </c>
      <c r="W37" s="223" t="str">
        <f t="shared" si="25"/>
        <v>--</v>
      </c>
      <c r="X37" s="228" t="str">
        <f t="shared" si="26"/>
        <v>--</v>
      </c>
      <c r="Y37" s="233" t="str">
        <f t="shared" si="27"/>
        <v>--</v>
      </c>
      <c r="Z37" s="316">
        <f>IF(F37="","","SI")</f>
      </c>
      <c r="AA37" s="28">
        <f t="shared" si="28"/>
      </c>
      <c r="AB37" s="8"/>
    </row>
    <row r="38" spans="1:28" s="7" customFormat="1" ht="15">
      <c r="A38" s="6"/>
      <c r="B38" s="65"/>
      <c r="C38" s="298"/>
      <c r="D38" s="295"/>
      <c r="E38" s="295"/>
      <c r="F38" s="299"/>
      <c r="G38" s="304"/>
      <c r="H38" s="305"/>
      <c r="I38" s="176">
        <f t="shared" si="0"/>
        <v>95.30975</v>
      </c>
      <c r="J38" s="309"/>
      <c r="K38" s="309"/>
      <c r="L38" s="12">
        <f t="shared" si="15"/>
      </c>
      <c r="M38" s="13">
        <f t="shared" si="16"/>
      </c>
      <c r="N38" s="311"/>
      <c r="O38" s="312">
        <f t="shared" si="17"/>
      </c>
      <c r="P38" s="190" t="str">
        <f t="shared" si="18"/>
        <v>--</v>
      </c>
      <c r="Q38" s="195" t="str">
        <f t="shared" si="19"/>
        <v>--</v>
      </c>
      <c r="R38" s="200" t="str">
        <f t="shared" si="20"/>
        <v>--</v>
      </c>
      <c r="S38" s="201" t="str">
        <f t="shared" si="21"/>
        <v>--</v>
      </c>
      <c r="T38" s="202" t="str">
        <f t="shared" si="22"/>
        <v>--</v>
      </c>
      <c r="U38" s="215" t="str">
        <f t="shared" si="23"/>
        <v>--</v>
      </c>
      <c r="V38" s="219" t="str">
        <f t="shared" si="24"/>
        <v>--</v>
      </c>
      <c r="W38" s="223" t="str">
        <f t="shared" si="25"/>
        <v>--</v>
      </c>
      <c r="X38" s="228" t="str">
        <f t="shared" si="26"/>
        <v>--</v>
      </c>
      <c r="Y38" s="233" t="str">
        <f t="shared" si="27"/>
        <v>--</v>
      </c>
      <c r="Z38" s="316">
        <f>IF(F38="","","SI")</f>
      </c>
      <c r="AA38" s="28">
        <f t="shared" si="28"/>
      </c>
      <c r="AB38" s="8"/>
    </row>
    <row r="39" spans="1:28" s="7" customFormat="1" ht="15">
      <c r="A39" s="6"/>
      <c r="B39" s="65"/>
      <c r="C39" s="298"/>
      <c r="D39" s="295"/>
      <c r="E39" s="295"/>
      <c r="F39" s="299"/>
      <c r="G39" s="304"/>
      <c r="H39" s="305"/>
      <c r="I39" s="176">
        <f t="shared" si="0"/>
        <v>95.30975</v>
      </c>
      <c r="J39" s="309"/>
      <c r="K39" s="309"/>
      <c r="L39" s="12">
        <f t="shared" si="15"/>
      </c>
      <c r="M39" s="13">
        <f t="shared" si="16"/>
      </c>
      <c r="N39" s="311"/>
      <c r="O39" s="312">
        <f t="shared" si="17"/>
      </c>
      <c r="P39" s="190" t="str">
        <f t="shared" si="18"/>
        <v>--</v>
      </c>
      <c r="Q39" s="195" t="str">
        <f t="shared" si="19"/>
        <v>--</v>
      </c>
      <c r="R39" s="200" t="str">
        <f t="shared" si="20"/>
        <v>--</v>
      </c>
      <c r="S39" s="201" t="str">
        <f t="shared" si="21"/>
        <v>--</v>
      </c>
      <c r="T39" s="202" t="str">
        <f t="shared" si="22"/>
        <v>--</v>
      </c>
      <c r="U39" s="215" t="str">
        <f t="shared" si="23"/>
        <v>--</v>
      </c>
      <c r="V39" s="219" t="str">
        <f t="shared" si="24"/>
        <v>--</v>
      </c>
      <c r="W39" s="223" t="str">
        <f t="shared" si="25"/>
        <v>--</v>
      </c>
      <c r="X39" s="228" t="str">
        <f t="shared" si="26"/>
        <v>--</v>
      </c>
      <c r="Y39" s="233" t="str">
        <f t="shared" si="27"/>
        <v>--</v>
      </c>
      <c r="Z39" s="316">
        <f>IF(F39="","","SI")</f>
      </c>
      <c r="AA39" s="28">
        <f t="shared" si="28"/>
      </c>
      <c r="AB39" s="8"/>
    </row>
    <row r="40" spans="1:28" s="7" customFormat="1" ht="15">
      <c r="A40" s="6"/>
      <c r="B40" s="65"/>
      <c r="C40" s="298"/>
      <c r="D40" s="295"/>
      <c r="E40" s="295"/>
      <c r="F40" s="299"/>
      <c r="G40" s="304"/>
      <c r="H40" s="305"/>
      <c r="I40" s="176">
        <f t="shared" si="0"/>
        <v>95.30975</v>
      </c>
      <c r="J40" s="309"/>
      <c r="K40" s="309"/>
      <c r="L40" s="12">
        <f t="shared" si="15"/>
      </c>
      <c r="M40" s="13">
        <f t="shared" si="16"/>
      </c>
      <c r="N40" s="311"/>
      <c r="O40" s="312">
        <f t="shared" si="17"/>
      </c>
      <c r="P40" s="190" t="str">
        <f t="shared" si="18"/>
        <v>--</v>
      </c>
      <c r="Q40" s="195" t="str">
        <f t="shared" si="19"/>
        <v>--</v>
      </c>
      <c r="R40" s="200" t="str">
        <f t="shared" si="20"/>
        <v>--</v>
      </c>
      <c r="S40" s="201" t="str">
        <f t="shared" si="21"/>
        <v>--</v>
      </c>
      <c r="T40" s="202" t="str">
        <f t="shared" si="22"/>
        <v>--</v>
      </c>
      <c r="U40" s="215" t="str">
        <f t="shared" si="23"/>
        <v>--</v>
      </c>
      <c r="V40" s="219" t="str">
        <f t="shared" si="24"/>
        <v>--</v>
      </c>
      <c r="W40" s="223" t="str">
        <f t="shared" si="25"/>
        <v>--</v>
      </c>
      <c r="X40" s="228" t="str">
        <f t="shared" si="26"/>
        <v>--</v>
      </c>
      <c r="Y40" s="233" t="str">
        <f t="shared" si="27"/>
        <v>--</v>
      </c>
      <c r="Z40" s="316">
        <f>IF(F40="","","SI")</f>
      </c>
      <c r="AA40" s="28">
        <f t="shared" si="28"/>
      </c>
      <c r="AB40" s="8"/>
    </row>
    <row r="41" spans="1:28" s="7" customFormat="1" ht="15.75" thickBot="1">
      <c r="A41" s="6"/>
      <c r="B41" s="65"/>
      <c r="C41" s="300"/>
      <c r="D41" s="300"/>
      <c r="E41" s="300"/>
      <c r="F41" s="301"/>
      <c r="G41" s="306"/>
      <c r="H41" s="307"/>
      <c r="I41" s="177"/>
      <c r="J41" s="310"/>
      <c r="K41" s="310"/>
      <c r="L41" s="15"/>
      <c r="M41" s="15"/>
      <c r="N41" s="310"/>
      <c r="O41" s="313"/>
      <c r="P41" s="191"/>
      <c r="Q41" s="196"/>
      <c r="R41" s="203"/>
      <c r="S41" s="204"/>
      <c r="T41" s="205"/>
      <c r="U41" s="216"/>
      <c r="V41" s="220"/>
      <c r="W41" s="224"/>
      <c r="X41" s="229"/>
      <c r="Y41" s="234"/>
      <c r="Z41" s="317"/>
      <c r="AA41" s="105"/>
      <c r="AB41" s="8"/>
    </row>
    <row r="42" spans="1:28" s="7" customFormat="1" ht="17.25" thickBot="1" thickTop="1">
      <c r="A42" s="6"/>
      <c r="B42" s="65"/>
      <c r="C42" s="164" t="s">
        <v>40</v>
      </c>
      <c r="D42" s="490" t="s">
        <v>228</v>
      </c>
      <c r="E42" s="166"/>
      <c r="F42" s="165"/>
      <c r="G42" s="6"/>
      <c r="H42" s="6"/>
      <c r="I42" s="6"/>
      <c r="J42" s="6"/>
      <c r="K42" s="6"/>
      <c r="L42" s="6"/>
      <c r="M42" s="6"/>
      <c r="N42" s="6"/>
      <c r="O42" s="6"/>
      <c r="P42" s="208">
        <f aca="true" t="shared" si="29" ref="P42:Y42">SUM(P19:P41)</f>
        <v>11153.224501360286</v>
      </c>
      <c r="Q42" s="209">
        <f t="shared" si="29"/>
        <v>0</v>
      </c>
      <c r="R42" s="235">
        <f t="shared" si="29"/>
        <v>13724.604</v>
      </c>
      <c r="S42" s="235">
        <f t="shared" si="29"/>
        <v>2470.42872</v>
      </c>
      <c r="T42" s="235">
        <f t="shared" si="29"/>
        <v>0</v>
      </c>
      <c r="U42" s="236">
        <f t="shared" si="29"/>
        <v>0</v>
      </c>
      <c r="V42" s="236">
        <f t="shared" si="29"/>
        <v>0</v>
      </c>
      <c r="W42" s="236">
        <f t="shared" si="29"/>
        <v>0</v>
      </c>
      <c r="X42" s="237">
        <f t="shared" si="29"/>
        <v>0</v>
      </c>
      <c r="Y42" s="238">
        <f t="shared" si="29"/>
        <v>0</v>
      </c>
      <c r="Z42" s="6"/>
      <c r="AA42" s="173">
        <f>ROUND(SUM(AA19:AA41),2)</f>
        <v>57493.87</v>
      </c>
      <c r="AB42" s="8"/>
    </row>
    <row r="43" spans="1:28" s="170" customFormat="1" ht="13.5" thickTop="1">
      <c r="A43" s="168"/>
      <c r="B43" s="169"/>
      <c r="C43" s="166"/>
      <c r="D43" s="166"/>
      <c r="E43" s="166"/>
      <c r="F43" s="167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71"/>
    </row>
    <row r="44" spans="1:28" s="7" customFormat="1" ht="13.5" thickBot="1">
      <c r="A44" s="6"/>
      <c r="B44" s="91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3"/>
    </row>
    <row r="45" spans="1:2" ht="13.5" thickTop="1">
      <c r="A45" s="1"/>
      <c r="B45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8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AN45"/>
  <sheetViews>
    <sheetView zoomScale="75" zoomScaleNormal="75" zoomScalePageLayoutView="0" workbookViewId="0" topLeftCell="A1">
      <selection activeCell="G16" sqref="G16"/>
    </sheetView>
  </sheetViews>
  <sheetFormatPr defaultColWidth="11.421875" defaultRowHeight="12.75"/>
  <cols>
    <col min="1" max="2" width="4.140625" style="0" customWidth="1"/>
    <col min="3" max="3" width="4.8515625" style="0" customWidth="1"/>
    <col min="4" max="5" width="13.7109375" style="0" customWidth="1"/>
    <col min="6" max="6" width="40.7109375" style="0" customWidth="1"/>
    <col min="7" max="8" width="8.7109375" style="0" customWidth="1"/>
    <col min="9" max="9" width="13.140625" style="0" hidden="1" customWidth="1"/>
    <col min="10" max="10" width="16.7109375" style="0" customWidth="1"/>
    <col min="11" max="11" width="16.421875" style="0" customWidth="1"/>
    <col min="12" max="14" width="9.7109375" style="0" customWidth="1"/>
    <col min="15" max="15" width="7.7109375" style="0" customWidth="1"/>
    <col min="16" max="16" width="12.28125" style="0" hidden="1" customWidth="1"/>
    <col min="17" max="17" width="17.7109375" style="0" hidden="1" customWidth="1"/>
    <col min="18" max="18" width="11.421875" style="0" hidden="1" customWidth="1"/>
    <col min="19" max="19" width="13.140625" style="0" hidden="1" customWidth="1"/>
    <col min="20" max="20" width="11.7109375" style="0" hidden="1" customWidth="1"/>
    <col min="21" max="21" width="11.421875" style="0" hidden="1" customWidth="1"/>
    <col min="22" max="22" width="15.8515625" style="0" hidden="1" customWidth="1"/>
    <col min="23" max="23" width="12.57421875" style="0" hidden="1" customWidth="1"/>
    <col min="24" max="24" width="16.00390625" style="0" hidden="1" customWidth="1"/>
    <col min="25" max="25" width="14.710937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pans="5:40" s="32" customFormat="1" ht="26.25"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2:28" s="32" customFormat="1" ht="26.25">
      <c r="B2" s="348" t="str">
        <f>+'TOT-0714'!B2</f>
        <v>ANEXO IV al Memorandum D.T.E.E. N°  448  / 2015</v>
      </c>
      <c r="C2" s="35"/>
      <c r="D2" s="35"/>
      <c r="E2" s="35"/>
      <c r="F2" s="35"/>
      <c r="G2" s="109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110"/>
    </row>
    <row r="3" s="7" customFormat="1" ht="12.75">
      <c r="AB3" s="6"/>
    </row>
    <row r="4" spans="1:28" s="39" customFormat="1" ht="11.25">
      <c r="A4" s="349" t="s">
        <v>146</v>
      </c>
      <c r="B4" s="111"/>
      <c r="C4" s="349"/>
      <c r="AB4" s="40"/>
    </row>
    <row r="5" spans="1:28" s="39" customFormat="1" ht="11.25">
      <c r="A5" s="349" t="s">
        <v>147</v>
      </c>
      <c r="B5" s="111"/>
      <c r="C5" s="111"/>
      <c r="AB5" s="40"/>
    </row>
    <row r="6" spans="1:28" s="7" customFormat="1" ht="17.25" customHeight="1" thickBot="1">
      <c r="A6" s="6"/>
      <c r="B6" s="6"/>
      <c r="AB6" s="6"/>
    </row>
    <row r="7" spans="1:28" s="7" customFormat="1" ht="13.5" thickTop="1">
      <c r="A7" s="6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9"/>
    </row>
    <row r="8" spans="1:28" s="43" customFormat="1" ht="20.25">
      <c r="A8" s="44"/>
      <c r="B8" s="98"/>
      <c r="C8" s="44"/>
      <c r="D8" s="44"/>
      <c r="E8" s="44"/>
      <c r="F8" s="18" t="s">
        <v>17</v>
      </c>
      <c r="G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99"/>
    </row>
    <row r="9" spans="1:28" s="7" customFormat="1" ht="12.75">
      <c r="A9" s="6"/>
      <c r="B9" s="65"/>
      <c r="C9" s="6"/>
      <c r="D9" s="6"/>
      <c r="E9" s="6"/>
      <c r="F9" s="95"/>
      <c r="G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s="43" customFormat="1" ht="20.25">
      <c r="A10" s="44"/>
      <c r="B10" s="98"/>
      <c r="C10" s="44"/>
      <c r="D10" s="44"/>
      <c r="E10" s="44"/>
      <c r="F10" s="18" t="s">
        <v>18</v>
      </c>
      <c r="G10" s="18"/>
      <c r="H10" s="44"/>
      <c r="I10" s="100"/>
      <c r="J10" s="100"/>
      <c r="K10" s="100"/>
      <c r="L10" s="100"/>
      <c r="M10" s="100"/>
      <c r="N10" s="100"/>
      <c r="O10" s="10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99"/>
    </row>
    <row r="11" spans="1:28" s="7" customFormat="1" ht="12.75">
      <c r="A11" s="6"/>
      <c r="B11" s="65"/>
      <c r="C11" s="6"/>
      <c r="D11" s="6"/>
      <c r="E11" s="6"/>
      <c r="F11" s="95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8"/>
    </row>
    <row r="12" spans="1:28" s="43" customFormat="1" ht="20.25">
      <c r="A12" s="44"/>
      <c r="B12" s="98"/>
      <c r="C12" s="44"/>
      <c r="D12" s="44"/>
      <c r="E12" s="44"/>
      <c r="F12" s="18" t="s">
        <v>19</v>
      </c>
      <c r="G12" s="18"/>
      <c r="H12" s="44"/>
      <c r="I12" s="100"/>
      <c r="J12" s="100"/>
      <c r="K12" s="100"/>
      <c r="L12" s="100"/>
      <c r="M12" s="100"/>
      <c r="N12" s="100"/>
      <c r="O12" s="100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99"/>
    </row>
    <row r="13" spans="1:28" s="7" customFormat="1" ht="12.75">
      <c r="A13" s="6"/>
      <c r="B13" s="65"/>
      <c r="C13" s="6"/>
      <c r="D13" s="6"/>
      <c r="E13" s="6"/>
      <c r="F13" s="96"/>
      <c r="G13" s="94"/>
      <c r="H13" s="6"/>
      <c r="I13" s="90"/>
      <c r="J13" s="90"/>
      <c r="K13" s="90"/>
      <c r="L13" s="90"/>
      <c r="M13" s="90"/>
      <c r="N13" s="90"/>
      <c r="O13" s="9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8"/>
    </row>
    <row r="14" spans="1:28" s="50" customFormat="1" ht="19.5">
      <c r="A14" s="57"/>
      <c r="B14" s="318" t="str">
        <f>'TOT-0714'!B14</f>
        <v>Desde el 01 al 31 de julio de 2014</v>
      </c>
      <c r="C14" s="55"/>
      <c r="D14" s="55"/>
      <c r="E14" s="55"/>
      <c r="F14" s="55"/>
      <c r="G14" s="106"/>
      <c r="H14" s="107"/>
      <c r="I14" s="108"/>
      <c r="J14" s="108"/>
      <c r="K14" s="108"/>
      <c r="L14" s="108"/>
      <c r="M14" s="108"/>
      <c r="N14" s="108"/>
      <c r="O14" s="108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6"/>
    </row>
    <row r="15" spans="1:28" s="7" customFormat="1" ht="13.5" thickBot="1">
      <c r="A15" s="6"/>
      <c r="B15" s="65"/>
      <c r="C15" s="6"/>
      <c r="D15" s="6"/>
      <c r="E15" s="6"/>
      <c r="F15" s="6"/>
      <c r="G15" s="6"/>
      <c r="H15" s="97"/>
      <c r="I15" s="90"/>
      <c r="J15" s="90"/>
      <c r="K15" s="90"/>
      <c r="L15" s="90"/>
      <c r="M15" s="90"/>
      <c r="N15" s="90"/>
      <c r="O15" s="9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7" customFormat="1" ht="14.25" thickBot="1" thickTop="1">
      <c r="A16" s="6"/>
      <c r="B16" s="65"/>
      <c r="C16" s="6"/>
      <c r="D16" s="6"/>
      <c r="E16" s="6"/>
      <c r="F16" s="101" t="s">
        <v>20</v>
      </c>
      <c r="G16" s="289">
        <v>381.239</v>
      </c>
      <c r="H16" s="185"/>
      <c r="I16" s="6"/>
      <c r="J16"/>
      <c r="K16" s="102" t="s">
        <v>21</v>
      </c>
      <c r="L16" s="103">
        <f>30*'TOT-0714'!B13</f>
        <v>60</v>
      </c>
      <c r="M16" s="172" t="str">
        <f>IF(L16=30," ",IF(L16=60,"Coeficiente duplicado por tasa de falla &gt;4 Sal. x año/100 km.","REVISAR COEFICIENTE"))</f>
        <v>Coeficiente duplicado por tasa de falla &gt;4 Sal. x año/100 km.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8"/>
    </row>
    <row r="17" spans="1:28" s="7" customFormat="1" ht="14.25" thickBot="1" thickTop="1">
      <c r="A17" s="6"/>
      <c r="B17" s="65"/>
      <c r="C17" s="352">
        <v>3</v>
      </c>
      <c r="D17" s="352">
        <v>4</v>
      </c>
      <c r="E17" s="352">
        <v>5</v>
      </c>
      <c r="F17" s="352">
        <v>6</v>
      </c>
      <c r="G17" s="352">
        <v>7</v>
      </c>
      <c r="H17" s="352">
        <v>8</v>
      </c>
      <c r="I17" s="352">
        <v>9</v>
      </c>
      <c r="J17" s="352">
        <v>10</v>
      </c>
      <c r="K17" s="352">
        <v>11</v>
      </c>
      <c r="L17" s="352">
        <v>12</v>
      </c>
      <c r="M17" s="352">
        <v>13</v>
      </c>
      <c r="N17" s="352">
        <v>14</v>
      </c>
      <c r="O17" s="352">
        <v>15</v>
      </c>
      <c r="P17" s="352">
        <v>16</v>
      </c>
      <c r="Q17" s="352">
        <v>17</v>
      </c>
      <c r="R17" s="352">
        <v>18</v>
      </c>
      <c r="S17" s="352">
        <v>19</v>
      </c>
      <c r="T17" s="352">
        <v>20</v>
      </c>
      <c r="U17" s="352">
        <v>21</v>
      </c>
      <c r="V17" s="352">
        <v>22</v>
      </c>
      <c r="W17" s="352">
        <v>23</v>
      </c>
      <c r="X17" s="352">
        <v>24</v>
      </c>
      <c r="Y17" s="352">
        <v>25</v>
      </c>
      <c r="Z17" s="352">
        <v>26</v>
      </c>
      <c r="AA17" s="352">
        <v>27</v>
      </c>
      <c r="AB17" s="8"/>
    </row>
    <row r="18" spans="1:28" s="7" customFormat="1" ht="33.75" customHeight="1" thickBot="1" thickTop="1">
      <c r="A18" s="6"/>
      <c r="B18" s="65"/>
      <c r="C18" s="112" t="s">
        <v>22</v>
      </c>
      <c r="D18" s="112" t="s">
        <v>145</v>
      </c>
      <c r="E18" s="112" t="s">
        <v>144</v>
      </c>
      <c r="F18" s="113" t="s">
        <v>3</v>
      </c>
      <c r="G18" s="114" t="s">
        <v>23</v>
      </c>
      <c r="H18" s="115" t="s">
        <v>24</v>
      </c>
      <c r="I18" s="174" t="s">
        <v>25</v>
      </c>
      <c r="J18" s="113" t="s">
        <v>26</v>
      </c>
      <c r="K18" s="113" t="s">
        <v>27</v>
      </c>
      <c r="L18" s="114" t="s">
        <v>28</v>
      </c>
      <c r="M18" s="114" t="s">
        <v>29</v>
      </c>
      <c r="N18" s="116" t="s">
        <v>30</v>
      </c>
      <c r="O18" s="114" t="s">
        <v>31</v>
      </c>
      <c r="P18" s="187" t="s">
        <v>32</v>
      </c>
      <c r="Q18" s="192" t="s">
        <v>33</v>
      </c>
      <c r="R18" s="197" t="s">
        <v>34</v>
      </c>
      <c r="S18" s="198"/>
      <c r="T18" s="199"/>
      <c r="U18" s="210" t="s">
        <v>35</v>
      </c>
      <c r="V18" s="211"/>
      <c r="W18" s="212"/>
      <c r="X18" s="225" t="s">
        <v>36</v>
      </c>
      <c r="Y18" s="230" t="s">
        <v>37</v>
      </c>
      <c r="Z18" s="117" t="s">
        <v>38</v>
      </c>
      <c r="AA18" s="183" t="s">
        <v>39</v>
      </c>
      <c r="AB18" s="8"/>
    </row>
    <row r="19" spans="1:28" s="7" customFormat="1" ht="15.75" thickTop="1">
      <c r="A19" s="6"/>
      <c r="B19" s="65"/>
      <c r="C19" s="294"/>
      <c r="D19" s="347"/>
      <c r="E19" s="347"/>
      <c r="F19" s="295"/>
      <c r="G19" s="302"/>
      <c r="H19" s="303"/>
      <c r="I19" s="186"/>
      <c r="J19" s="308"/>
      <c r="K19" s="308"/>
      <c r="L19" s="9"/>
      <c r="M19" s="9"/>
      <c r="N19" s="295"/>
      <c r="O19" s="298"/>
      <c r="P19" s="188"/>
      <c r="Q19" s="193"/>
      <c r="R19" s="200"/>
      <c r="S19" s="206"/>
      <c r="T19" s="207"/>
      <c r="U19" s="213"/>
      <c r="V19" s="217"/>
      <c r="W19" s="221"/>
      <c r="X19" s="226"/>
      <c r="Y19" s="231"/>
      <c r="Z19" s="314"/>
      <c r="AA19" s="184">
        <f>'LI-07 (2)'!AA42</f>
        <v>57493.87</v>
      </c>
      <c r="AB19" s="8"/>
    </row>
    <row r="20" spans="1:28" s="7" customFormat="1" ht="15">
      <c r="A20" s="6"/>
      <c r="B20" s="65"/>
      <c r="C20" s="296"/>
      <c r="D20" s="297"/>
      <c r="E20" s="297"/>
      <c r="F20" s="297"/>
      <c r="G20" s="296"/>
      <c r="H20" s="296"/>
      <c r="I20" s="175"/>
      <c r="J20" s="296"/>
      <c r="K20" s="304"/>
      <c r="L20" s="11"/>
      <c r="M20" s="11"/>
      <c r="N20" s="297"/>
      <c r="O20" s="296"/>
      <c r="P20" s="189"/>
      <c r="Q20" s="194"/>
      <c r="R20" s="200"/>
      <c r="S20" s="206"/>
      <c r="T20" s="207"/>
      <c r="U20" s="214"/>
      <c r="V20" s="218"/>
      <c r="W20" s="222"/>
      <c r="X20" s="227"/>
      <c r="Y20" s="232"/>
      <c r="Z20" s="315"/>
      <c r="AA20" s="104"/>
      <c r="AB20" s="8"/>
    </row>
    <row r="21" spans="1:28" s="7" customFormat="1" ht="15">
      <c r="A21" s="6"/>
      <c r="B21" s="65"/>
      <c r="C21" s="298">
        <v>29</v>
      </c>
      <c r="D21" s="295">
        <v>277291</v>
      </c>
      <c r="E21" s="295">
        <v>4250</v>
      </c>
      <c r="F21" s="299" t="s">
        <v>171</v>
      </c>
      <c r="G21" s="304">
        <v>132</v>
      </c>
      <c r="H21" s="305">
        <v>55</v>
      </c>
      <c r="I21" s="176">
        <f>$G$16/100*IF(H21&gt;25,H21,25)</f>
        <v>209.68144999999998</v>
      </c>
      <c r="J21" s="309">
        <v>41850.33819444444</v>
      </c>
      <c r="K21" s="309">
        <v>41850.597916666666</v>
      </c>
      <c r="L21" s="12">
        <f>IF(F21="","",(K21-J21)*24)</f>
        <v>6.2333333333954215</v>
      </c>
      <c r="M21" s="13">
        <f>IF(F21="","",ROUND((K21-J21)*24*60,0))</f>
        <v>374</v>
      </c>
      <c r="N21" s="311" t="s">
        <v>163</v>
      </c>
      <c r="O21" s="312" t="str">
        <f>IF(F21="","","--")</f>
        <v>--</v>
      </c>
      <c r="P21" s="190">
        <f>IF(N21="P",ROUND(M21/60,2)*I21*$L$16*0.01,"--")</f>
        <v>783.7892601</v>
      </c>
      <c r="Q21" s="195" t="str">
        <f>IF(N21="RP",I21*O21*ROUND(L21/60,2)*0.01*M21/100,"--")</f>
        <v>--</v>
      </c>
      <c r="R21" s="200" t="str">
        <f>IF(N21="F",I21*$L$16,"--")</f>
        <v>--</v>
      </c>
      <c r="S21" s="201" t="str">
        <f>IF(AND(M21&gt;10,N21="F"),I21*$L$16*IF(M21&gt;180,3,ROUND((M21)/60,2)),"--")</f>
        <v>--</v>
      </c>
      <c r="T21" s="202" t="str">
        <f>IF(AND(M21&gt;180,N21="F"),(ROUND(M21/60,2)-3)*I21*$L$16*0.1,"--")</f>
        <v>--</v>
      </c>
      <c r="U21" s="215" t="str">
        <f>IF(N21="R",I21*$L$16*O21/100,"--")</f>
        <v>--</v>
      </c>
      <c r="V21" s="219" t="str">
        <f>IF(AND(M21&gt;10,N21="R"),I21*$L$16*O21/100*IF(M21&gt;180,3,ROUND(M21/60,2)),"--")</f>
        <v>--</v>
      </c>
      <c r="W21" s="223" t="str">
        <f>IF(AND(M21&gt;180,N21="R"),(ROUND(M21/60,2)-3)*I21*$L$16*0.1*O21/100,"--")</f>
        <v>--</v>
      </c>
      <c r="X21" s="228" t="str">
        <f>IF(N21="RF",ROUND(M21/60,2)*I21*$L$16*0.1,"--")</f>
        <v>--</v>
      </c>
      <c r="Y21" s="233" t="str">
        <f>IF(N21="RR",ROUND(M21/60,2)*I21*$L$16*0.1*O21/100,"--")</f>
        <v>--</v>
      </c>
      <c r="Z21" s="316" t="s">
        <v>164</v>
      </c>
      <c r="AA21" s="28">
        <f>IF(F21="","",SUM(P21:Y21)*IF(Z21="SI",1,2))</f>
        <v>783.7892601</v>
      </c>
      <c r="AB21" s="287"/>
    </row>
    <row r="22" spans="1:28" s="7" customFormat="1" ht="15">
      <c r="A22" s="6"/>
      <c r="B22" s="65"/>
      <c r="C22" s="298">
        <v>30</v>
      </c>
      <c r="D22" s="295">
        <v>277292</v>
      </c>
      <c r="E22" s="295">
        <v>4250</v>
      </c>
      <c r="F22" s="299" t="s">
        <v>171</v>
      </c>
      <c r="G22" s="304">
        <v>132</v>
      </c>
      <c r="H22" s="305">
        <v>55</v>
      </c>
      <c r="I22" s="176">
        <f aca="true" t="shared" si="0" ref="I22:I40">$G$16/100*IF(H22&gt;25,H22,25)</f>
        <v>209.68144999999998</v>
      </c>
      <c r="J22" s="309">
        <v>41851.31597222222</v>
      </c>
      <c r="K22" s="309">
        <v>41851.59583333333</v>
      </c>
      <c r="L22" s="12">
        <f aca="true" t="shared" si="1" ref="L22:L37">IF(F22="","",(K22-J22)*24)</f>
        <v>6.716666666732635</v>
      </c>
      <c r="M22" s="13">
        <f aca="true" t="shared" si="2" ref="M22:M37">IF(F22="","",ROUND((K22-J22)*24*60,0))</f>
        <v>403</v>
      </c>
      <c r="N22" s="311" t="s">
        <v>163</v>
      </c>
      <c r="O22" s="312" t="str">
        <f aca="true" t="shared" si="3" ref="O22:O37">IF(F22="","","--")</f>
        <v>--</v>
      </c>
      <c r="P22" s="190">
        <f aca="true" t="shared" si="4" ref="P22:P37">IF(N22="P",ROUND(M22/60,2)*I22*$L$16*0.01,"--")</f>
        <v>845.4356063999999</v>
      </c>
      <c r="Q22" s="195" t="str">
        <f aca="true" t="shared" si="5" ref="Q22:Q37">IF(N22="RP",I22*O22*ROUND(L22/60,2)*0.01*M22/100,"--")</f>
        <v>--</v>
      </c>
      <c r="R22" s="200" t="str">
        <f aca="true" t="shared" si="6" ref="R22:R37">IF(N22="F",I22*$L$16,"--")</f>
        <v>--</v>
      </c>
      <c r="S22" s="201" t="str">
        <f aca="true" t="shared" si="7" ref="S22:S37">IF(AND(M22&gt;10,N22="F"),I22*$L$16*IF(M22&gt;180,3,ROUND((M22)/60,2)),"--")</f>
        <v>--</v>
      </c>
      <c r="T22" s="202" t="str">
        <f aca="true" t="shared" si="8" ref="T22:T37">IF(AND(M22&gt;180,N22="F"),(ROUND(M22/60,2)-3)*I22*$L$16*0.1,"--")</f>
        <v>--</v>
      </c>
      <c r="U22" s="215" t="str">
        <f aca="true" t="shared" si="9" ref="U22:U37">IF(N22="R",I22*$L$16*O22/100,"--")</f>
        <v>--</v>
      </c>
      <c r="V22" s="219" t="str">
        <f aca="true" t="shared" si="10" ref="V22:V37">IF(AND(M22&gt;10,N22="R"),I22*$L$16*O22/100*IF(M22&gt;180,3,ROUND(M22/60,2)),"--")</f>
        <v>--</v>
      </c>
      <c r="W22" s="223" t="str">
        <f aca="true" t="shared" si="11" ref="W22:W37">IF(AND(M22&gt;180,N22="R"),(ROUND(M22/60,2)-3)*I22*$L$16*0.1*O22/100,"--")</f>
        <v>--</v>
      </c>
      <c r="X22" s="228" t="str">
        <f aca="true" t="shared" si="12" ref="X22:X37">IF(N22="RF",ROUND(M22/60,2)*I22*$L$16*0.1,"--")</f>
        <v>--</v>
      </c>
      <c r="Y22" s="233" t="str">
        <f aca="true" t="shared" si="13" ref="Y22:Y37">IF(N22="RR",ROUND(M22/60,2)*I22*$L$16*0.1*O22/100,"--")</f>
        <v>--</v>
      </c>
      <c r="Z22" s="316" t="s">
        <v>164</v>
      </c>
      <c r="AA22" s="28">
        <f aca="true" t="shared" si="14" ref="AA22:AA37">IF(F22="","",SUM(P22:Y22)*IF(Z22="SI",1,2))</f>
        <v>845.4356063999999</v>
      </c>
      <c r="AB22" s="287"/>
    </row>
    <row r="23" spans="1:28" s="7" customFormat="1" ht="15">
      <c r="A23" s="6"/>
      <c r="B23" s="65"/>
      <c r="C23" s="298">
        <v>31</v>
      </c>
      <c r="D23" s="295">
        <v>277293</v>
      </c>
      <c r="E23" s="295">
        <v>4677</v>
      </c>
      <c r="F23" s="299" t="s">
        <v>182</v>
      </c>
      <c r="G23" s="304">
        <v>132</v>
      </c>
      <c r="H23" s="305">
        <v>36.099998474121094</v>
      </c>
      <c r="I23" s="176">
        <f t="shared" si="0"/>
        <v>137.6272731827545</v>
      </c>
      <c r="J23" s="309">
        <v>41851.33472222222</v>
      </c>
      <c r="K23" s="309">
        <v>41851.67569444444</v>
      </c>
      <c r="L23" s="12">
        <f t="shared" si="1"/>
        <v>8.183333333290648</v>
      </c>
      <c r="M23" s="13">
        <f t="shared" si="2"/>
        <v>491</v>
      </c>
      <c r="N23" s="311" t="s">
        <v>163</v>
      </c>
      <c r="O23" s="312" t="str">
        <f t="shared" si="3"/>
        <v>--</v>
      </c>
      <c r="P23" s="190">
        <f t="shared" si="4"/>
        <v>675.4746567809591</v>
      </c>
      <c r="Q23" s="195" t="str">
        <f t="shared" si="5"/>
        <v>--</v>
      </c>
      <c r="R23" s="200" t="str">
        <f t="shared" si="6"/>
        <v>--</v>
      </c>
      <c r="S23" s="201" t="str">
        <f t="shared" si="7"/>
        <v>--</v>
      </c>
      <c r="T23" s="202" t="str">
        <f t="shared" si="8"/>
        <v>--</v>
      </c>
      <c r="U23" s="215" t="str">
        <f t="shared" si="9"/>
        <v>--</v>
      </c>
      <c r="V23" s="219" t="str">
        <f t="shared" si="10"/>
        <v>--</v>
      </c>
      <c r="W23" s="223" t="str">
        <f t="shared" si="11"/>
        <v>--</v>
      </c>
      <c r="X23" s="228" t="str">
        <f t="shared" si="12"/>
        <v>--</v>
      </c>
      <c r="Y23" s="233" t="str">
        <f t="shared" si="13"/>
        <v>--</v>
      </c>
      <c r="Z23" s="316" t="s">
        <v>164</v>
      </c>
      <c r="AA23" s="28">
        <f t="shared" si="14"/>
        <v>675.4746567809591</v>
      </c>
      <c r="AB23" s="287"/>
    </row>
    <row r="24" spans="1:28" s="7" customFormat="1" ht="15">
      <c r="A24" s="6"/>
      <c r="B24" s="65"/>
      <c r="C24" s="298"/>
      <c r="D24" s="295"/>
      <c r="E24" s="295"/>
      <c r="F24" s="299"/>
      <c r="G24" s="304"/>
      <c r="H24" s="305"/>
      <c r="I24" s="176">
        <f t="shared" si="0"/>
        <v>95.30975</v>
      </c>
      <c r="J24" s="309"/>
      <c r="K24" s="309"/>
      <c r="L24" s="12">
        <f t="shared" si="1"/>
      </c>
      <c r="M24" s="13">
        <f t="shared" si="2"/>
      </c>
      <c r="N24" s="311"/>
      <c r="O24" s="312">
        <f t="shared" si="3"/>
      </c>
      <c r="P24" s="190" t="str">
        <f t="shared" si="4"/>
        <v>--</v>
      </c>
      <c r="Q24" s="195" t="str">
        <f t="shared" si="5"/>
        <v>--</v>
      </c>
      <c r="R24" s="200" t="str">
        <f t="shared" si="6"/>
        <v>--</v>
      </c>
      <c r="S24" s="201" t="str">
        <f t="shared" si="7"/>
        <v>--</v>
      </c>
      <c r="T24" s="202" t="str">
        <f t="shared" si="8"/>
        <v>--</v>
      </c>
      <c r="U24" s="215" t="str">
        <f t="shared" si="9"/>
        <v>--</v>
      </c>
      <c r="V24" s="219" t="str">
        <f t="shared" si="10"/>
        <v>--</v>
      </c>
      <c r="W24" s="223" t="str">
        <f t="shared" si="11"/>
        <v>--</v>
      </c>
      <c r="X24" s="228" t="str">
        <f t="shared" si="12"/>
        <v>--</v>
      </c>
      <c r="Y24" s="233" t="str">
        <f t="shared" si="13"/>
        <v>--</v>
      </c>
      <c r="Z24" s="316">
        <f aca="true" t="shared" si="15" ref="Z24:Z37">IF(F24="","","SI")</f>
      </c>
      <c r="AA24" s="28">
        <f t="shared" si="14"/>
      </c>
      <c r="AB24" s="287"/>
    </row>
    <row r="25" spans="1:28" s="7" customFormat="1" ht="15">
      <c r="A25" s="6"/>
      <c r="B25" s="65"/>
      <c r="C25" s="298"/>
      <c r="D25" s="295"/>
      <c r="E25" s="295"/>
      <c r="F25" s="299"/>
      <c r="G25" s="304"/>
      <c r="H25" s="305"/>
      <c r="I25" s="176">
        <f t="shared" si="0"/>
        <v>95.30975</v>
      </c>
      <c r="J25" s="309"/>
      <c r="K25" s="309"/>
      <c r="L25" s="12">
        <f t="shared" si="1"/>
      </c>
      <c r="M25" s="13">
        <f t="shared" si="2"/>
      </c>
      <c r="N25" s="311"/>
      <c r="O25" s="312">
        <f t="shared" si="3"/>
      </c>
      <c r="P25" s="190" t="str">
        <f t="shared" si="4"/>
        <v>--</v>
      </c>
      <c r="Q25" s="195" t="str">
        <f t="shared" si="5"/>
        <v>--</v>
      </c>
      <c r="R25" s="200" t="str">
        <f t="shared" si="6"/>
        <v>--</v>
      </c>
      <c r="S25" s="201" t="str">
        <f t="shared" si="7"/>
        <v>--</v>
      </c>
      <c r="T25" s="202" t="str">
        <f t="shared" si="8"/>
        <v>--</v>
      </c>
      <c r="U25" s="215" t="str">
        <f t="shared" si="9"/>
        <v>--</v>
      </c>
      <c r="V25" s="219" t="str">
        <f t="shared" si="10"/>
        <v>--</v>
      </c>
      <c r="W25" s="223" t="str">
        <f t="shared" si="11"/>
        <v>--</v>
      </c>
      <c r="X25" s="228" t="str">
        <f t="shared" si="12"/>
        <v>--</v>
      </c>
      <c r="Y25" s="233" t="str">
        <f t="shared" si="13"/>
        <v>--</v>
      </c>
      <c r="Z25" s="316">
        <f t="shared" si="15"/>
      </c>
      <c r="AA25" s="28">
        <f t="shared" si="14"/>
      </c>
      <c r="AB25" s="287"/>
    </row>
    <row r="26" spans="1:28" s="7" customFormat="1" ht="15">
      <c r="A26" s="6"/>
      <c r="B26" s="65"/>
      <c r="C26" s="298"/>
      <c r="D26" s="295"/>
      <c r="E26" s="295"/>
      <c r="F26" s="299"/>
      <c r="G26" s="304"/>
      <c r="H26" s="305"/>
      <c r="I26" s="176">
        <f t="shared" si="0"/>
        <v>95.30975</v>
      </c>
      <c r="J26" s="309"/>
      <c r="K26" s="309"/>
      <c r="L26" s="12">
        <f t="shared" si="1"/>
      </c>
      <c r="M26" s="13">
        <f t="shared" si="2"/>
      </c>
      <c r="N26" s="311"/>
      <c r="O26" s="312">
        <f t="shared" si="3"/>
      </c>
      <c r="P26" s="190" t="str">
        <f t="shared" si="4"/>
        <v>--</v>
      </c>
      <c r="Q26" s="195" t="str">
        <f t="shared" si="5"/>
        <v>--</v>
      </c>
      <c r="R26" s="200" t="str">
        <f t="shared" si="6"/>
        <v>--</v>
      </c>
      <c r="S26" s="201" t="str">
        <f t="shared" si="7"/>
        <v>--</v>
      </c>
      <c r="T26" s="202" t="str">
        <f t="shared" si="8"/>
        <v>--</v>
      </c>
      <c r="U26" s="215" t="str">
        <f t="shared" si="9"/>
        <v>--</v>
      </c>
      <c r="V26" s="219" t="str">
        <f t="shared" si="10"/>
        <v>--</v>
      </c>
      <c r="W26" s="223" t="str">
        <f t="shared" si="11"/>
        <v>--</v>
      </c>
      <c r="X26" s="228" t="str">
        <f t="shared" si="12"/>
        <v>--</v>
      </c>
      <c r="Y26" s="233" t="str">
        <f t="shared" si="13"/>
        <v>--</v>
      </c>
      <c r="Z26" s="316">
        <f t="shared" si="15"/>
      </c>
      <c r="AA26" s="28">
        <f t="shared" si="14"/>
      </c>
      <c r="AB26" s="287"/>
    </row>
    <row r="27" spans="1:28" s="7" customFormat="1" ht="15">
      <c r="A27" s="6"/>
      <c r="B27" s="65"/>
      <c r="C27" s="298"/>
      <c r="D27" s="295"/>
      <c r="E27" s="295"/>
      <c r="F27" s="299"/>
      <c r="G27" s="304"/>
      <c r="H27" s="305"/>
      <c r="I27" s="176">
        <f t="shared" si="0"/>
        <v>95.30975</v>
      </c>
      <c r="J27" s="309"/>
      <c r="K27" s="309"/>
      <c r="L27" s="12">
        <f t="shared" si="1"/>
      </c>
      <c r="M27" s="13">
        <f t="shared" si="2"/>
      </c>
      <c r="N27" s="311"/>
      <c r="O27" s="312">
        <f t="shared" si="3"/>
      </c>
      <c r="P27" s="190" t="str">
        <f t="shared" si="4"/>
        <v>--</v>
      </c>
      <c r="Q27" s="195" t="str">
        <f t="shared" si="5"/>
        <v>--</v>
      </c>
      <c r="R27" s="200" t="str">
        <f t="shared" si="6"/>
        <v>--</v>
      </c>
      <c r="S27" s="201" t="str">
        <f t="shared" si="7"/>
        <v>--</v>
      </c>
      <c r="T27" s="202" t="str">
        <f t="shared" si="8"/>
        <v>--</v>
      </c>
      <c r="U27" s="215" t="str">
        <f t="shared" si="9"/>
        <v>--</v>
      </c>
      <c r="V27" s="219" t="str">
        <f t="shared" si="10"/>
        <v>--</v>
      </c>
      <c r="W27" s="223" t="str">
        <f t="shared" si="11"/>
        <v>--</v>
      </c>
      <c r="X27" s="228" t="str">
        <f t="shared" si="12"/>
        <v>--</v>
      </c>
      <c r="Y27" s="233" t="str">
        <f t="shared" si="13"/>
        <v>--</v>
      </c>
      <c r="Z27" s="316">
        <f t="shared" si="15"/>
      </c>
      <c r="AA27" s="28">
        <f t="shared" si="14"/>
      </c>
      <c r="AB27" s="287"/>
    </row>
    <row r="28" spans="1:28" s="7" customFormat="1" ht="15">
      <c r="A28" s="6"/>
      <c r="B28" s="65"/>
      <c r="C28" s="298"/>
      <c r="D28" s="295"/>
      <c r="E28" s="295"/>
      <c r="F28" s="299"/>
      <c r="G28" s="304"/>
      <c r="H28" s="305"/>
      <c r="I28" s="176">
        <f t="shared" si="0"/>
        <v>95.30975</v>
      </c>
      <c r="J28" s="309"/>
      <c r="K28" s="309"/>
      <c r="L28" s="12">
        <f t="shared" si="1"/>
      </c>
      <c r="M28" s="13">
        <f t="shared" si="2"/>
      </c>
      <c r="N28" s="311"/>
      <c r="O28" s="312">
        <f t="shared" si="3"/>
      </c>
      <c r="P28" s="190" t="str">
        <f t="shared" si="4"/>
        <v>--</v>
      </c>
      <c r="Q28" s="195" t="str">
        <f t="shared" si="5"/>
        <v>--</v>
      </c>
      <c r="R28" s="200" t="str">
        <f t="shared" si="6"/>
        <v>--</v>
      </c>
      <c r="S28" s="201" t="str">
        <f t="shared" si="7"/>
        <v>--</v>
      </c>
      <c r="T28" s="202" t="str">
        <f t="shared" si="8"/>
        <v>--</v>
      </c>
      <c r="U28" s="215" t="str">
        <f t="shared" si="9"/>
        <v>--</v>
      </c>
      <c r="V28" s="219" t="str">
        <f t="shared" si="10"/>
        <v>--</v>
      </c>
      <c r="W28" s="223" t="str">
        <f t="shared" si="11"/>
        <v>--</v>
      </c>
      <c r="X28" s="228" t="str">
        <f t="shared" si="12"/>
        <v>--</v>
      </c>
      <c r="Y28" s="233" t="str">
        <f t="shared" si="13"/>
        <v>--</v>
      </c>
      <c r="Z28" s="316">
        <f t="shared" si="15"/>
      </c>
      <c r="AA28" s="28">
        <f t="shared" si="14"/>
      </c>
      <c r="AB28" s="8"/>
    </row>
    <row r="29" spans="1:28" s="7" customFormat="1" ht="15">
      <c r="A29" s="6"/>
      <c r="B29" s="65"/>
      <c r="C29" s="298"/>
      <c r="D29" s="295"/>
      <c r="E29" s="295"/>
      <c r="F29" s="299"/>
      <c r="G29" s="304"/>
      <c r="H29" s="305"/>
      <c r="I29" s="176">
        <f t="shared" si="0"/>
        <v>95.30975</v>
      </c>
      <c r="J29" s="309"/>
      <c r="K29" s="309"/>
      <c r="L29" s="12">
        <f t="shared" si="1"/>
      </c>
      <c r="M29" s="13">
        <f t="shared" si="2"/>
      </c>
      <c r="N29" s="311"/>
      <c r="O29" s="312">
        <f t="shared" si="3"/>
      </c>
      <c r="P29" s="190" t="str">
        <f t="shared" si="4"/>
        <v>--</v>
      </c>
      <c r="Q29" s="195" t="str">
        <f t="shared" si="5"/>
        <v>--</v>
      </c>
      <c r="R29" s="200" t="str">
        <f t="shared" si="6"/>
        <v>--</v>
      </c>
      <c r="S29" s="201" t="str">
        <f t="shared" si="7"/>
        <v>--</v>
      </c>
      <c r="T29" s="202" t="str">
        <f t="shared" si="8"/>
        <v>--</v>
      </c>
      <c r="U29" s="215" t="str">
        <f t="shared" si="9"/>
        <v>--</v>
      </c>
      <c r="V29" s="219" t="str">
        <f t="shared" si="10"/>
        <v>--</v>
      </c>
      <c r="W29" s="223" t="str">
        <f t="shared" si="11"/>
        <v>--</v>
      </c>
      <c r="X29" s="228" t="str">
        <f t="shared" si="12"/>
        <v>--</v>
      </c>
      <c r="Y29" s="233" t="str">
        <f t="shared" si="13"/>
        <v>--</v>
      </c>
      <c r="Z29" s="316">
        <f t="shared" si="15"/>
      </c>
      <c r="AA29" s="28">
        <f t="shared" si="14"/>
      </c>
      <c r="AB29" s="8"/>
    </row>
    <row r="30" spans="1:28" s="7" customFormat="1" ht="15">
      <c r="A30" s="6"/>
      <c r="B30" s="65"/>
      <c r="C30" s="298"/>
      <c r="D30" s="295"/>
      <c r="E30" s="295"/>
      <c r="F30" s="299"/>
      <c r="G30" s="304"/>
      <c r="H30" s="305"/>
      <c r="I30" s="176">
        <f t="shared" si="0"/>
        <v>95.30975</v>
      </c>
      <c r="J30" s="309"/>
      <c r="K30" s="309"/>
      <c r="L30" s="12">
        <f t="shared" si="1"/>
      </c>
      <c r="M30" s="13">
        <f t="shared" si="2"/>
      </c>
      <c r="N30" s="311"/>
      <c r="O30" s="312">
        <f t="shared" si="3"/>
      </c>
      <c r="P30" s="190" t="str">
        <f t="shared" si="4"/>
        <v>--</v>
      </c>
      <c r="Q30" s="195" t="str">
        <f t="shared" si="5"/>
        <v>--</v>
      </c>
      <c r="R30" s="200" t="str">
        <f t="shared" si="6"/>
        <v>--</v>
      </c>
      <c r="S30" s="201" t="str">
        <f t="shared" si="7"/>
        <v>--</v>
      </c>
      <c r="T30" s="202" t="str">
        <f t="shared" si="8"/>
        <v>--</v>
      </c>
      <c r="U30" s="215" t="str">
        <f t="shared" si="9"/>
        <v>--</v>
      </c>
      <c r="V30" s="219" t="str">
        <f t="shared" si="10"/>
        <v>--</v>
      </c>
      <c r="W30" s="223" t="str">
        <f t="shared" si="11"/>
        <v>--</v>
      </c>
      <c r="X30" s="228" t="str">
        <f t="shared" si="12"/>
        <v>--</v>
      </c>
      <c r="Y30" s="233" t="str">
        <f t="shared" si="13"/>
        <v>--</v>
      </c>
      <c r="Z30" s="316">
        <f t="shared" si="15"/>
      </c>
      <c r="AA30" s="28">
        <f t="shared" si="14"/>
      </c>
      <c r="AB30" s="8"/>
    </row>
    <row r="31" spans="1:28" s="7" customFormat="1" ht="15">
      <c r="A31" s="6"/>
      <c r="B31" s="65"/>
      <c r="C31" s="298"/>
      <c r="D31" s="295"/>
      <c r="E31" s="295"/>
      <c r="F31" s="299"/>
      <c r="G31" s="304"/>
      <c r="H31" s="305"/>
      <c r="I31" s="176">
        <f t="shared" si="0"/>
        <v>95.30975</v>
      </c>
      <c r="J31" s="309"/>
      <c r="K31" s="309"/>
      <c r="L31" s="12">
        <f t="shared" si="1"/>
      </c>
      <c r="M31" s="13">
        <f t="shared" si="2"/>
      </c>
      <c r="N31" s="311"/>
      <c r="O31" s="312">
        <f t="shared" si="3"/>
      </c>
      <c r="P31" s="190" t="str">
        <f t="shared" si="4"/>
        <v>--</v>
      </c>
      <c r="Q31" s="195" t="str">
        <f t="shared" si="5"/>
        <v>--</v>
      </c>
      <c r="R31" s="200" t="str">
        <f t="shared" si="6"/>
        <v>--</v>
      </c>
      <c r="S31" s="201" t="str">
        <f t="shared" si="7"/>
        <v>--</v>
      </c>
      <c r="T31" s="202" t="str">
        <f t="shared" si="8"/>
        <v>--</v>
      </c>
      <c r="U31" s="215" t="str">
        <f t="shared" si="9"/>
        <v>--</v>
      </c>
      <c r="V31" s="219" t="str">
        <f t="shared" si="10"/>
        <v>--</v>
      </c>
      <c r="W31" s="223" t="str">
        <f t="shared" si="11"/>
        <v>--</v>
      </c>
      <c r="X31" s="228" t="str">
        <f t="shared" si="12"/>
        <v>--</v>
      </c>
      <c r="Y31" s="233" t="str">
        <f t="shared" si="13"/>
        <v>--</v>
      </c>
      <c r="Z31" s="316">
        <f t="shared" si="15"/>
      </c>
      <c r="AA31" s="28">
        <f t="shared" si="14"/>
      </c>
      <c r="AB31" s="8"/>
    </row>
    <row r="32" spans="1:28" s="7" customFormat="1" ht="15">
      <c r="A32" s="6"/>
      <c r="B32" s="65"/>
      <c r="C32" s="298"/>
      <c r="D32" s="295"/>
      <c r="E32" s="295"/>
      <c r="F32" s="299"/>
      <c r="G32" s="304"/>
      <c r="H32" s="305"/>
      <c r="I32" s="176">
        <f t="shared" si="0"/>
        <v>95.30975</v>
      </c>
      <c r="J32" s="309"/>
      <c r="K32" s="309"/>
      <c r="L32" s="12">
        <f t="shared" si="1"/>
      </c>
      <c r="M32" s="13">
        <f t="shared" si="2"/>
      </c>
      <c r="N32" s="311"/>
      <c r="O32" s="312">
        <f t="shared" si="3"/>
      </c>
      <c r="P32" s="190" t="str">
        <f t="shared" si="4"/>
        <v>--</v>
      </c>
      <c r="Q32" s="195" t="str">
        <f t="shared" si="5"/>
        <v>--</v>
      </c>
      <c r="R32" s="200" t="str">
        <f t="shared" si="6"/>
        <v>--</v>
      </c>
      <c r="S32" s="201" t="str">
        <f t="shared" si="7"/>
        <v>--</v>
      </c>
      <c r="T32" s="202" t="str">
        <f t="shared" si="8"/>
        <v>--</v>
      </c>
      <c r="U32" s="215" t="str">
        <f t="shared" si="9"/>
        <v>--</v>
      </c>
      <c r="V32" s="219" t="str">
        <f t="shared" si="10"/>
        <v>--</v>
      </c>
      <c r="W32" s="223" t="str">
        <f t="shared" si="11"/>
        <v>--</v>
      </c>
      <c r="X32" s="228" t="str">
        <f t="shared" si="12"/>
        <v>--</v>
      </c>
      <c r="Y32" s="233" t="str">
        <f t="shared" si="13"/>
        <v>--</v>
      </c>
      <c r="Z32" s="316">
        <f t="shared" si="15"/>
      </c>
      <c r="AA32" s="28">
        <f t="shared" si="14"/>
      </c>
      <c r="AB32" s="8"/>
    </row>
    <row r="33" spans="1:28" s="7" customFormat="1" ht="15">
      <c r="A33" s="6"/>
      <c r="B33" s="65"/>
      <c r="C33" s="298"/>
      <c r="D33" s="295"/>
      <c r="E33" s="295"/>
      <c r="F33" s="299"/>
      <c r="G33" s="304"/>
      <c r="H33" s="305"/>
      <c r="I33" s="176">
        <f t="shared" si="0"/>
        <v>95.30975</v>
      </c>
      <c r="J33" s="309"/>
      <c r="K33" s="309"/>
      <c r="L33" s="12">
        <f t="shared" si="1"/>
      </c>
      <c r="M33" s="13">
        <f t="shared" si="2"/>
      </c>
      <c r="N33" s="311"/>
      <c r="O33" s="312">
        <f t="shared" si="3"/>
      </c>
      <c r="P33" s="190" t="str">
        <f t="shared" si="4"/>
        <v>--</v>
      </c>
      <c r="Q33" s="195" t="str">
        <f t="shared" si="5"/>
        <v>--</v>
      </c>
      <c r="R33" s="200" t="str">
        <f t="shared" si="6"/>
        <v>--</v>
      </c>
      <c r="S33" s="201" t="str">
        <f t="shared" si="7"/>
        <v>--</v>
      </c>
      <c r="T33" s="202" t="str">
        <f t="shared" si="8"/>
        <v>--</v>
      </c>
      <c r="U33" s="215" t="str">
        <f t="shared" si="9"/>
        <v>--</v>
      </c>
      <c r="V33" s="219" t="str">
        <f t="shared" si="10"/>
        <v>--</v>
      </c>
      <c r="W33" s="223" t="str">
        <f t="shared" si="11"/>
        <v>--</v>
      </c>
      <c r="X33" s="228" t="str">
        <f t="shared" si="12"/>
        <v>--</v>
      </c>
      <c r="Y33" s="233" t="str">
        <f t="shared" si="13"/>
        <v>--</v>
      </c>
      <c r="Z33" s="316">
        <f t="shared" si="15"/>
      </c>
      <c r="AA33" s="28">
        <f t="shared" si="14"/>
      </c>
      <c r="AB33" s="8"/>
    </row>
    <row r="34" spans="1:28" s="7" customFormat="1" ht="15">
      <c r="A34" s="6"/>
      <c r="B34" s="65"/>
      <c r="C34" s="298"/>
      <c r="D34" s="295"/>
      <c r="E34" s="295"/>
      <c r="F34" s="299"/>
      <c r="G34" s="304"/>
      <c r="H34" s="305"/>
      <c r="I34" s="176">
        <f t="shared" si="0"/>
        <v>95.30975</v>
      </c>
      <c r="J34" s="309"/>
      <c r="K34" s="309"/>
      <c r="L34" s="12">
        <f t="shared" si="1"/>
      </c>
      <c r="M34" s="13">
        <f t="shared" si="2"/>
      </c>
      <c r="N34" s="311"/>
      <c r="O34" s="312">
        <f t="shared" si="3"/>
      </c>
      <c r="P34" s="190" t="str">
        <f t="shared" si="4"/>
        <v>--</v>
      </c>
      <c r="Q34" s="195" t="str">
        <f t="shared" si="5"/>
        <v>--</v>
      </c>
      <c r="R34" s="200" t="str">
        <f t="shared" si="6"/>
        <v>--</v>
      </c>
      <c r="S34" s="201" t="str">
        <f t="shared" si="7"/>
        <v>--</v>
      </c>
      <c r="T34" s="202" t="str">
        <f t="shared" si="8"/>
        <v>--</v>
      </c>
      <c r="U34" s="215" t="str">
        <f t="shared" si="9"/>
        <v>--</v>
      </c>
      <c r="V34" s="219" t="str">
        <f t="shared" si="10"/>
        <v>--</v>
      </c>
      <c r="W34" s="223" t="str">
        <f t="shared" si="11"/>
        <v>--</v>
      </c>
      <c r="X34" s="228" t="str">
        <f t="shared" si="12"/>
        <v>--</v>
      </c>
      <c r="Y34" s="233" t="str">
        <f t="shared" si="13"/>
        <v>--</v>
      </c>
      <c r="Z34" s="316">
        <f t="shared" si="15"/>
      </c>
      <c r="AA34" s="28">
        <f t="shared" si="14"/>
      </c>
      <c r="AB34" s="8"/>
    </row>
    <row r="35" spans="1:28" s="7" customFormat="1" ht="15">
      <c r="A35" s="6"/>
      <c r="B35" s="65"/>
      <c r="C35" s="298"/>
      <c r="D35" s="295"/>
      <c r="E35" s="295"/>
      <c r="F35" s="299"/>
      <c r="G35" s="304"/>
      <c r="H35" s="305"/>
      <c r="I35" s="176">
        <f t="shared" si="0"/>
        <v>95.30975</v>
      </c>
      <c r="J35" s="309"/>
      <c r="K35" s="309"/>
      <c r="L35" s="12">
        <f t="shared" si="1"/>
      </c>
      <c r="M35" s="13">
        <f t="shared" si="2"/>
      </c>
      <c r="N35" s="311"/>
      <c r="O35" s="312">
        <f t="shared" si="3"/>
      </c>
      <c r="P35" s="190" t="str">
        <f t="shared" si="4"/>
        <v>--</v>
      </c>
      <c r="Q35" s="195" t="str">
        <f t="shared" si="5"/>
        <v>--</v>
      </c>
      <c r="R35" s="200" t="str">
        <f t="shared" si="6"/>
        <v>--</v>
      </c>
      <c r="S35" s="201" t="str">
        <f t="shared" si="7"/>
        <v>--</v>
      </c>
      <c r="T35" s="202" t="str">
        <f t="shared" si="8"/>
        <v>--</v>
      </c>
      <c r="U35" s="215" t="str">
        <f t="shared" si="9"/>
        <v>--</v>
      </c>
      <c r="V35" s="219" t="str">
        <f t="shared" si="10"/>
        <v>--</v>
      </c>
      <c r="W35" s="223" t="str">
        <f t="shared" si="11"/>
        <v>--</v>
      </c>
      <c r="X35" s="228" t="str">
        <f t="shared" si="12"/>
        <v>--</v>
      </c>
      <c r="Y35" s="233" t="str">
        <f t="shared" si="13"/>
        <v>--</v>
      </c>
      <c r="Z35" s="316">
        <f t="shared" si="15"/>
      </c>
      <c r="AA35" s="28">
        <f t="shared" si="14"/>
      </c>
      <c r="AB35" s="8"/>
    </row>
    <row r="36" spans="1:28" s="7" customFormat="1" ht="15">
      <c r="A36" s="6"/>
      <c r="B36" s="65"/>
      <c r="C36" s="298"/>
      <c r="D36" s="295"/>
      <c r="E36" s="295"/>
      <c r="F36" s="299"/>
      <c r="G36" s="304"/>
      <c r="H36" s="305"/>
      <c r="I36" s="176">
        <f t="shared" si="0"/>
        <v>95.30975</v>
      </c>
      <c r="J36" s="309"/>
      <c r="K36" s="309"/>
      <c r="L36" s="12">
        <f t="shared" si="1"/>
      </c>
      <c r="M36" s="13">
        <f t="shared" si="2"/>
      </c>
      <c r="N36" s="311"/>
      <c r="O36" s="312">
        <f t="shared" si="3"/>
      </c>
      <c r="P36" s="190" t="str">
        <f t="shared" si="4"/>
        <v>--</v>
      </c>
      <c r="Q36" s="195" t="str">
        <f t="shared" si="5"/>
        <v>--</v>
      </c>
      <c r="R36" s="200" t="str">
        <f t="shared" si="6"/>
        <v>--</v>
      </c>
      <c r="S36" s="201" t="str">
        <f t="shared" si="7"/>
        <v>--</v>
      </c>
      <c r="T36" s="202" t="str">
        <f t="shared" si="8"/>
        <v>--</v>
      </c>
      <c r="U36" s="215" t="str">
        <f t="shared" si="9"/>
        <v>--</v>
      </c>
      <c r="V36" s="219" t="str">
        <f t="shared" si="10"/>
        <v>--</v>
      </c>
      <c r="W36" s="223" t="str">
        <f t="shared" si="11"/>
        <v>--</v>
      </c>
      <c r="X36" s="228" t="str">
        <f t="shared" si="12"/>
        <v>--</v>
      </c>
      <c r="Y36" s="233" t="str">
        <f t="shared" si="13"/>
        <v>--</v>
      </c>
      <c r="Z36" s="316">
        <f t="shared" si="15"/>
      </c>
      <c r="AA36" s="28">
        <f t="shared" si="14"/>
      </c>
      <c r="AB36" s="8"/>
    </row>
    <row r="37" spans="1:28" s="7" customFormat="1" ht="15">
      <c r="A37" s="6"/>
      <c r="B37" s="65"/>
      <c r="C37" s="298"/>
      <c r="D37" s="295"/>
      <c r="E37" s="295"/>
      <c r="F37" s="299"/>
      <c r="G37" s="304"/>
      <c r="H37" s="305"/>
      <c r="I37" s="176">
        <f t="shared" si="0"/>
        <v>95.30975</v>
      </c>
      <c r="J37" s="309"/>
      <c r="K37" s="309"/>
      <c r="L37" s="12">
        <f t="shared" si="1"/>
      </c>
      <c r="M37" s="13">
        <f t="shared" si="2"/>
      </c>
      <c r="N37" s="311"/>
      <c r="O37" s="312">
        <f t="shared" si="3"/>
      </c>
      <c r="P37" s="190" t="str">
        <f t="shared" si="4"/>
        <v>--</v>
      </c>
      <c r="Q37" s="195" t="str">
        <f t="shared" si="5"/>
        <v>--</v>
      </c>
      <c r="R37" s="200" t="str">
        <f t="shared" si="6"/>
        <v>--</v>
      </c>
      <c r="S37" s="201" t="str">
        <f t="shared" si="7"/>
        <v>--</v>
      </c>
      <c r="T37" s="202" t="str">
        <f t="shared" si="8"/>
        <v>--</v>
      </c>
      <c r="U37" s="215" t="str">
        <f t="shared" si="9"/>
        <v>--</v>
      </c>
      <c r="V37" s="219" t="str">
        <f t="shared" si="10"/>
        <v>--</v>
      </c>
      <c r="W37" s="223" t="str">
        <f t="shared" si="11"/>
        <v>--</v>
      </c>
      <c r="X37" s="228" t="str">
        <f t="shared" si="12"/>
        <v>--</v>
      </c>
      <c r="Y37" s="233" t="str">
        <f t="shared" si="13"/>
        <v>--</v>
      </c>
      <c r="Z37" s="316">
        <f t="shared" si="15"/>
      </c>
      <c r="AA37" s="28">
        <f t="shared" si="14"/>
      </c>
      <c r="AB37" s="8"/>
    </row>
    <row r="38" spans="1:28" s="7" customFormat="1" ht="15">
      <c r="A38" s="6"/>
      <c r="B38" s="65"/>
      <c r="C38" s="298"/>
      <c r="D38" s="295"/>
      <c r="E38" s="295"/>
      <c r="F38" s="299"/>
      <c r="G38" s="304"/>
      <c r="H38" s="305"/>
      <c r="I38" s="176">
        <f t="shared" si="0"/>
        <v>95.30975</v>
      </c>
      <c r="J38" s="309"/>
      <c r="K38" s="309"/>
      <c r="L38" s="12">
        <f>IF(F38="","",(K38-J38)*24)</f>
      </c>
      <c r="M38" s="13">
        <f>IF(F38="","",ROUND((K38-J38)*24*60,0))</f>
      </c>
      <c r="N38" s="311"/>
      <c r="O38" s="312">
        <f>IF(F38="","","--")</f>
      </c>
      <c r="P38" s="190" t="str">
        <f>IF(N38="P",ROUND(M38/60,2)*I38*$L$16*0.01,"--")</f>
        <v>--</v>
      </c>
      <c r="Q38" s="195" t="str">
        <f>IF(N38="RP",I38*O38*ROUND(L38/60,2)*0.01*M38/100,"--")</f>
        <v>--</v>
      </c>
      <c r="R38" s="200" t="str">
        <f>IF(N38="F",I38*$L$16,"--")</f>
        <v>--</v>
      </c>
      <c r="S38" s="201" t="str">
        <f>IF(AND(M38&gt;10,N38="F"),I38*$L$16*IF(M38&gt;180,3,ROUND((M38)/60,2)),"--")</f>
        <v>--</v>
      </c>
      <c r="T38" s="202" t="str">
        <f>IF(AND(M38&gt;180,N38="F"),(ROUND(M38/60,2)-3)*I38*$L$16*0.1,"--")</f>
        <v>--</v>
      </c>
      <c r="U38" s="215" t="str">
        <f>IF(N38="R",I38*$L$16*O38/100,"--")</f>
        <v>--</v>
      </c>
      <c r="V38" s="219" t="str">
        <f>IF(AND(M38&gt;10,N38="R"),I38*$L$16*O38/100*IF(M38&gt;180,3,ROUND(M38/60,2)),"--")</f>
        <v>--</v>
      </c>
      <c r="W38" s="223" t="str">
        <f>IF(AND(M38&gt;180,N38="R"),(ROUND(M38/60,2)-3)*I38*$L$16*0.1*O38/100,"--")</f>
        <v>--</v>
      </c>
      <c r="X38" s="228" t="str">
        <f>IF(N38="RF",ROUND(M38/60,2)*I38*$L$16*0.1,"--")</f>
        <v>--</v>
      </c>
      <c r="Y38" s="233" t="str">
        <f>IF(N38="RR",ROUND(M38/60,2)*I38*$L$16*0.1*O38/100,"--")</f>
        <v>--</v>
      </c>
      <c r="Z38" s="316">
        <f>IF(F38="","","SI")</f>
      </c>
      <c r="AA38" s="28">
        <f>IF(F38="","",SUM(P38:Y38)*IF(Z38="SI",1,2))</f>
      </c>
      <c r="AB38" s="8"/>
    </row>
    <row r="39" spans="1:28" s="7" customFormat="1" ht="15">
      <c r="A39" s="6"/>
      <c r="B39" s="65"/>
      <c r="C39" s="298"/>
      <c r="D39" s="295"/>
      <c r="E39" s="295"/>
      <c r="F39" s="299"/>
      <c r="G39" s="304"/>
      <c r="H39" s="305"/>
      <c r="I39" s="176">
        <f t="shared" si="0"/>
        <v>95.30975</v>
      </c>
      <c r="J39" s="309"/>
      <c r="K39" s="309"/>
      <c r="L39" s="12">
        <f>IF(F39="","",(K39-J39)*24)</f>
      </c>
      <c r="M39" s="13">
        <f>IF(F39="","",ROUND((K39-J39)*24*60,0))</f>
      </c>
      <c r="N39" s="311"/>
      <c r="O39" s="312">
        <f>IF(F39="","","--")</f>
      </c>
      <c r="P39" s="190" t="str">
        <f>IF(N39="P",ROUND(M39/60,2)*I39*$L$16*0.01,"--")</f>
        <v>--</v>
      </c>
      <c r="Q39" s="195" t="str">
        <f>IF(N39="RP",I39*O39*ROUND(L39/60,2)*0.01*M39/100,"--")</f>
        <v>--</v>
      </c>
      <c r="R39" s="200" t="str">
        <f>IF(N39="F",I39*$L$16,"--")</f>
        <v>--</v>
      </c>
      <c r="S39" s="201" t="str">
        <f>IF(AND(M39&gt;10,N39="F"),I39*$L$16*IF(M39&gt;180,3,ROUND((M39)/60,2)),"--")</f>
        <v>--</v>
      </c>
      <c r="T39" s="202" t="str">
        <f>IF(AND(M39&gt;180,N39="F"),(ROUND(M39/60,2)-3)*I39*$L$16*0.1,"--")</f>
        <v>--</v>
      </c>
      <c r="U39" s="215" t="str">
        <f>IF(N39="R",I39*$L$16*O39/100,"--")</f>
        <v>--</v>
      </c>
      <c r="V39" s="219" t="str">
        <f>IF(AND(M39&gt;10,N39="R"),I39*$L$16*O39/100*IF(M39&gt;180,3,ROUND(M39/60,2)),"--")</f>
        <v>--</v>
      </c>
      <c r="W39" s="223" t="str">
        <f>IF(AND(M39&gt;180,N39="R"),(ROUND(M39/60,2)-3)*I39*$L$16*0.1*O39/100,"--")</f>
        <v>--</v>
      </c>
      <c r="X39" s="228" t="str">
        <f>IF(N39="RF",ROUND(M39/60,2)*I39*$L$16*0.1,"--")</f>
        <v>--</v>
      </c>
      <c r="Y39" s="233" t="str">
        <f>IF(N39="RR",ROUND(M39/60,2)*I39*$L$16*0.1*O39/100,"--")</f>
        <v>--</v>
      </c>
      <c r="Z39" s="316">
        <f>IF(F39="","","SI")</f>
      </c>
      <c r="AA39" s="28">
        <f>IF(F39="","",SUM(P39:Y39)*IF(Z39="SI",1,2))</f>
      </c>
      <c r="AB39" s="8"/>
    </row>
    <row r="40" spans="1:28" s="7" customFormat="1" ht="15">
      <c r="A40" s="6"/>
      <c r="B40" s="65"/>
      <c r="C40" s="298"/>
      <c r="D40" s="295"/>
      <c r="E40" s="295"/>
      <c r="F40" s="299"/>
      <c r="G40" s="304"/>
      <c r="H40" s="305"/>
      <c r="I40" s="176">
        <f t="shared" si="0"/>
        <v>95.30975</v>
      </c>
      <c r="J40" s="309"/>
      <c r="K40" s="309"/>
      <c r="L40" s="12">
        <f>IF(F40="","",(K40-J40)*24)</f>
      </c>
      <c r="M40" s="13">
        <f>IF(F40="","",ROUND((K40-J40)*24*60,0))</f>
      </c>
      <c r="N40" s="311"/>
      <c r="O40" s="312">
        <f>IF(F40="","","--")</f>
      </c>
      <c r="P40" s="190" t="str">
        <f>IF(N40="P",ROUND(M40/60,2)*I40*$L$16*0.01,"--")</f>
        <v>--</v>
      </c>
      <c r="Q40" s="195" t="str">
        <f>IF(N40="RP",I40*O40*ROUND(L40/60,2)*0.01*M40/100,"--")</f>
        <v>--</v>
      </c>
      <c r="R40" s="200" t="str">
        <f>IF(N40="F",I40*$L$16,"--")</f>
        <v>--</v>
      </c>
      <c r="S40" s="201" t="str">
        <f>IF(AND(M40&gt;10,N40="F"),I40*$L$16*IF(M40&gt;180,3,ROUND((M40)/60,2)),"--")</f>
        <v>--</v>
      </c>
      <c r="T40" s="202" t="str">
        <f>IF(AND(M40&gt;180,N40="F"),(ROUND(M40/60,2)-3)*I40*$L$16*0.1,"--")</f>
        <v>--</v>
      </c>
      <c r="U40" s="215" t="str">
        <f>IF(N40="R",I40*$L$16*O40/100,"--")</f>
        <v>--</v>
      </c>
      <c r="V40" s="219" t="str">
        <f>IF(AND(M40&gt;10,N40="R"),I40*$L$16*O40/100*IF(M40&gt;180,3,ROUND(M40/60,2)),"--")</f>
        <v>--</v>
      </c>
      <c r="W40" s="223" t="str">
        <f>IF(AND(M40&gt;180,N40="R"),(ROUND(M40/60,2)-3)*I40*$L$16*0.1*O40/100,"--")</f>
        <v>--</v>
      </c>
      <c r="X40" s="228" t="str">
        <f>IF(N40="RF",ROUND(M40/60,2)*I40*$L$16*0.1,"--")</f>
        <v>--</v>
      </c>
      <c r="Y40" s="233" t="str">
        <f>IF(N40="RR",ROUND(M40/60,2)*I40*$L$16*0.1*O40/100,"--")</f>
        <v>--</v>
      </c>
      <c r="Z40" s="316">
        <f>IF(F40="","","SI")</f>
      </c>
      <c r="AA40" s="28">
        <f>IF(F40="","",SUM(P40:Y40)*IF(Z40="SI",1,2))</f>
      </c>
      <c r="AB40" s="8"/>
    </row>
    <row r="41" spans="1:28" s="7" customFormat="1" ht="15.75" thickBot="1">
      <c r="A41" s="6"/>
      <c r="B41" s="65"/>
      <c r="C41" s="300"/>
      <c r="D41" s="300"/>
      <c r="E41" s="300"/>
      <c r="F41" s="301"/>
      <c r="G41" s="306"/>
      <c r="H41" s="307"/>
      <c r="I41" s="177"/>
      <c r="J41" s="310"/>
      <c r="K41" s="310"/>
      <c r="L41" s="15"/>
      <c r="M41" s="15"/>
      <c r="N41" s="310"/>
      <c r="O41" s="313"/>
      <c r="P41" s="191"/>
      <c r="Q41" s="196"/>
      <c r="R41" s="203"/>
      <c r="S41" s="204"/>
      <c r="T41" s="205"/>
      <c r="U41" s="216"/>
      <c r="V41" s="220"/>
      <c r="W41" s="224"/>
      <c r="X41" s="229"/>
      <c r="Y41" s="234"/>
      <c r="Z41" s="317"/>
      <c r="AA41" s="105"/>
      <c r="AB41" s="8"/>
    </row>
    <row r="42" spans="1:28" s="7" customFormat="1" ht="17.25" thickBot="1" thickTop="1">
      <c r="A42" s="6"/>
      <c r="B42" s="65"/>
      <c r="C42" s="164" t="s">
        <v>40</v>
      </c>
      <c r="D42" s="490" t="s">
        <v>229</v>
      </c>
      <c r="E42" s="166"/>
      <c r="F42" s="165"/>
      <c r="G42" s="6"/>
      <c r="H42" s="6"/>
      <c r="I42" s="6"/>
      <c r="J42" s="6"/>
      <c r="K42" s="6"/>
      <c r="L42" s="6"/>
      <c r="M42" s="6"/>
      <c r="N42" s="6"/>
      <c r="O42" s="6"/>
      <c r="P42" s="208">
        <f aca="true" t="shared" si="16" ref="P42:Y42">SUM(P19:P41)</f>
        <v>2304.6995232809586</v>
      </c>
      <c r="Q42" s="209">
        <f t="shared" si="16"/>
        <v>0</v>
      </c>
      <c r="R42" s="235">
        <f t="shared" si="16"/>
        <v>0</v>
      </c>
      <c r="S42" s="235">
        <f t="shared" si="16"/>
        <v>0</v>
      </c>
      <c r="T42" s="235">
        <f t="shared" si="16"/>
        <v>0</v>
      </c>
      <c r="U42" s="236">
        <f t="shared" si="16"/>
        <v>0</v>
      </c>
      <c r="V42" s="236">
        <f t="shared" si="16"/>
        <v>0</v>
      </c>
      <c r="W42" s="236">
        <f t="shared" si="16"/>
        <v>0</v>
      </c>
      <c r="X42" s="237">
        <f t="shared" si="16"/>
        <v>0</v>
      </c>
      <c r="Y42" s="238">
        <f t="shared" si="16"/>
        <v>0</v>
      </c>
      <c r="Z42" s="6"/>
      <c r="AA42" s="173">
        <f>ROUND(SUM(AA19:AA41),2)</f>
        <v>59798.57</v>
      </c>
      <c r="AB42" s="8"/>
    </row>
    <row r="43" spans="1:28" s="170" customFormat="1" ht="13.5" thickTop="1">
      <c r="A43" s="168"/>
      <c r="B43" s="169"/>
      <c r="C43" s="166"/>
      <c r="D43" s="166"/>
      <c r="E43" s="166"/>
      <c r="F43" s="167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71"/>
    </row>
    <row r="44" spans="1:28" s="7" customFormat="1" ht="13.5" thickBot="1">
      <c r="A44" s="6"/>
      <c r="B44" s="91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3"/>
    </row>
    <row r="45" spans="1:2" ht="13.5" thickTop="1">
      <c r="A45" s="1"/>
      <c r="B45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8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AH48"/>
  <sheetViews>
    <sheetView zoomScale="75" zoomScaleNormal="75" zoomScalePageLayoutView="0" workbookViewId="0" topLeftCell="A1">
      <selection activeCell="O28" sqref="O28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7109375" style="0" customWidth="1"/>
    <col min="6" max="6" width="22.421875" style="0" customWidth="1"/>
    <col min="7" max="7" width="21.00390625" style="0" customWidth="1"/>
    <col min="8" max="8" width="7.28125" style="0" customWidth="1"/>
    <col min="9" max="9" width="12.7109375" style="0" customWidth="1"/>
    <col min="10" max="10" width="6.28125" style="0" hidden="1" customWidth="1"/>
    <col min="11" max="11" width="16.7109375" style="0" customWidth="1"/>
    <col min="12" max="12" width="16.8515625" style="0" customWidth="1"/>
    <col min="13" max="15" width="9.7109375" style="0" customWidth="1"/>
    <col min="16" max="16" width="5.8515625" style="0" customWidth="1"/>
    <col min="17" max="17" width="7.00390625" style="0" customWidth="1"/>
    <col min="18" max="18" width="7.140625" style="0" bestFit="1" customWidth="1"/>
    <col min="19" max="19" width="10.421875" style="0" hidden="1" customWidth="1"/>
    <col min="20" max="20" width="13.140625" style="0" hidden="1" customWidth="1"/>
    <col min="21" max="21" width="12.28125" style="0" hidden="1" customWidth="1"/>
    <col min="22" max="22" width="8.00390625" style="0" hidden="1" customWidth="1"/>
    <col min="23" max="23" width="12.7109375" style="0" hidden="1" customWidth="1"/>
    <col min="24" max="24" width="9.7109375" style="0" hidden="1" customWidth="1"/>
    <col min="25" max="25" width="9.28125" style="0" hidden="1" customWidth="1"/>
    <col min="26" max="26" width="13.140625" style="0" hidden="1" customWidth="1"/>
    <col min="27" max="27" width="12.2812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5:34" s="32" customFormat="1" ht="26.25"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</row>
    <row r="2" spans="2:30" s="32" customFormat="1" ht="26.25">
      <c r="B2" s="348" t="str">
        <f>+'TOT-0714'!B2</f>
        <v>ANEXO IV al Memorandum D.T.E.E. N°  448  / 2015</v>
      </c>
      <c r="C2" s="35"/>
      <c r="D2" s="35"/>
      <c r="E2" s="154"/>
      <c r="F2" s="154"/>
      <c r="G2" s="109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</row>
    <row r="3" spans="5:30" s="7" customFormat="1" ht="12.75"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</row>
    <row r="4" spans="1:30" s="39" customFormat="1" ht="11.25">
      <c r="A4" s="349" t="s">
        <v>146</v>
      </c>
      <c r="B4" s="111"/>
      <c r="C4" s="349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1:30" s="39" customFormat="1" ht="11.25">
      <c r="A5" s="349" t="s">
        <v>147</v>
      </c>
      <c r="B5" s="111"/>
      <c r="C5" s="111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1:30" s="7" customFormat="1" ht="13.5" thickBo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</row>
    <row r="7" spans="1:30" s="7" customFormat="1" ht="13.5" thickTop="1">
      <c r="A7" s="118"/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2"/>
    </row>
    <row r="8" spans="1:30" s="43" customFormat="1" ht="20.25">
      <c r="A8" s="137"/>
      <c r="B8" s="138"/>
      <c r="C8" s="124"/>
      <c r="D8" s="124"/>
      <c r="E8" s="124"/>
      <c r="F8" s="19" t="s">
        <v>17</v>
      </c>
      <c r="G8" s="19"/>
      <c r="H8" s="124"/>
      <c r="I8" s="137"/>
      <c r="J8" s="137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39"/>
    </row>
    <row r="9" spans="1:30" s="43" customFormat="1" ht="20.25">
      <c r="A9" s="137"/>
      <c r="B9" s="138"/>
      <c r="C9" s="124"/>
      <c r="D9" s="124"/>
      <c r="E9" s="124"/>
      <c r="F9" s="19"/>
      <c r="G9" s="19"/>
      <c r="H9" s="124"/>
      <c r="I9" s="137"/>
      <c r="J9" s="137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39"/>
    </row>
    <row r="10" spans="1:30" s="43" customFormat="1" ht="20.25">
      <c r="A10" s="137"/>
      <c r="B10" s="138"/>
      <c r="C10" s="124"/>
      <c r="D10" s="124"/>
      <c r="E10" s="124"/>
      <c r="F10" s="19" t="s">
        <v>41</v>
      </c>
      <c r="G10" s="19"/>
      <c r="H10" s="124"/>
      <c r="I10" s="137"/>
      <c r="J10" s="137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39"/>
    </row>
    <row r="11" spans="1:30" s="7" customFormat="1" ht="12.75">
      <c r="A11" s="118"/>
      <c r="B11" s="123"/>
      <c r="C11" s="26"/>
      <c r="D11" s="26"/>
      <c r="E11" s="26"/>
      <c r="F11" s="26"/>
      <c r="G11" s="26"/>
      <c r="H11" s="26"/>
      <c r="I11" s="118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30"/>
    </row>
    <row r="12" spans="1:30" s="43" customFormat="1" ht="20.25">
      <c r="A12" s="137"/>
      <c r="B12" s="138"/>
      <c r="C12" s="124"/>
      <c r="D12" s="124"/>
      <c r="E12" s="124"/>
      <c r="F12" s="155" t="s">
        <v>42</v>
      </c>
      <c r="G12" s="19"/>
      <c r="H12" s="137"/>
      <c r="I12" s="137"/>
      <c r="J12" s="140"/>
      <c r="K12" s="124"/>
      <c r="L12" s="137"/>
      <c r="M12" s="137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39"/>
    </row>
    <row r="13" spans="1:30" s="7" customFormat="1" ht="12.75">
      <c r="A13" s="118"/>
      <c r="B13" s="123"/>
      <c r="C13" s="26"/>
      <c r="D13" s="26"/>
      <c r="E13" s="26"/>
      <c r="F13" s="26"/>
      <c r="G13" s="26"/>
      <c r="H13" s="26"/>
      <c r="I13" s="118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30"/>
    </row>
    <row r="14" spans="1:30" s="43" customFormat="1" ht="20.25">
      <c r="A14" s="137"/>
      <c r="B14" s="138"/>
      <c r="C14" s="124"/>
      <c r="D14" s="124"/>
      <c r="E14" s="124"/>
      <c r="F14" s="155" t="s">
        <v>43</v>
      </c>
      <c r="G14" s="19"/>
      <c r="H14" s="137"/>
      <c r="I14" s="137"/>
      <c r="J14" s="140"/>
      <c r="K14" s="124"/>
      <c r="L14" s="137"/>
      <c r="M14" s="137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39"/>
    </row>
    <row r="15" spans="1:30" s="7" customFormat="1" ht="12.75">
      <c r="A15" s="118"/>
      <c r="B15" s="123"/>
      <c r="C15" s="26"/>
      <c r="D15" s="26"/>
      <c r="E15" s="26"/>
      <c r="F15" s="126"/>
      <c r="G15" s="126"/>
      <c r="H15" s="126"/>
      <c r="I15" s="127"/>
      <c r="J15" s="12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30"/>
    </row>
    <row r="16" spans="1:30" s="50" customFormat="1" ht="19.5">
      <c r="A16" s="141"/>
      <c r="B16" s="149" t="str">
        <f>'TOT-0714'!B14</f>
        <v>Desde el 01 al 31 de julio de 2014</v>
      </c>
      <c r="C16" s="150"/>
      <c r="D16" s="150"/>
      <c r="E16" s="150"/>
      <c r="F16" s="150"/>
      <c r="G16" s="150"/>
      <c r="H16" s="150"/>
      <c r="I16" s="150"/>
      <c r="J16" s="150"/>
      <c r="K16" s="151"/>
      <c r="L16" s="152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3"/>
    </row>
    <row r="17" spans="1:30" s="7" customFormat="1" ht="14.25" thickBot="1">
      <c r="A17" s="118"/>
      <c r="B17" s="123"/>
      <c r="C17" s="26"/>
      <c r="D17" s="26"/>
      <c r="E17" s="26"/>
      <c r="F17" s="26"/>
      <c r="G17" s="26"/>
      <c r="H17" s="26"/>
      <c r="I17" s="128"/>
      <c r="J17" s="26"/>
      <c r="K17" s="134"/>
      <c r="L17" s="135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30"/>
    </row>
    <row r="18" spans="1:30" s="7" customFormat="1" ht="14.25" thickBot="1" thickTop="1">
      <c r="A18" s="118"/>
      <c r="B18" s="123"/>
      <c r="C18" s="26"/>
      <c r="D18" s="26"/>
      <c r="E18" s="26"/>
      <c r="F18" s="142" t="s">
        <v>44</v>
      </c>
      <c r="G18" s="143"/>
      <c r="H18" s="144"/>
      <c r="I18" s="145">
        <v>1.327</v>
      </c>
      <c r="J18" s="118"/>
      <c r="K18" s="145">
        <v>0.5027</v>
      </c>
      <c r="L18" s="26" t="s">
        <v>223</v>
      </c>
      <c r="M18" s="29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30"/>
    </row>
    <row r="19" spans="1:30" s="7" customFormat="1" ht="14.25" thickBot="1" thickTop="1">
      <c r="A19" s="118"/>
      <c r="B19" s="123"/>
      <c r="C19" s="26"/>
      <c r="D19" s="26"/>
      <c r="E19" s="26"/>
      <c r="F19" s="146" t="s">
        <v>45</v>
      </c>
      <c r="G19" s="147"/>
      <c r="H19" s="147"/>
      <c r="I19" s="148">
        <f>30*'TOT-0714'!B13</f>
        <v>60</v>
      </c>
      <c r="J19" s="26"/>
      <c r="K19" s="172" t="str">
        <f>IF(I19=30," ",IF(I19=60,"  Coeficiente duplicado por tasa de falla &gt;4 Sal. x año/100 km.","REVISAR COEFICIENTE"))</f>
        <v>  Coeficiente duplicado por tasa de falla &gt;4 Sal. x año/100 km.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129"/>
      <c r="X19" s="129"/>
      <c r="Y19" s="129"/>
      <c r="Z19" s="129"/>
      <c r="AA19" s="129"/>
      <c r="AB19" s="129"/>
      <c r="AC19" s="129"/>
      <c r="AD19" s="30"/>
    </row>
    <row r="20" spans="1:30" s="7" customFormat="1" ht="14.25" thickBot="1" thickTop="1">
      <c r="A20" s="118"/>
      <c r="B20" s="123"/>
      <c r="C20" s="353">
        <v>3</v>
      </c>
      <c r="D20" s="353">
        <v>4</v>
      </c>
      <c r="E20" s="353">
        <v>5</v>
      </c>
      <c r="F20" s="353">
        <v>6</v>
      </c>
      <c r="G20" s="353">
        <v>7</v>
      </c>
      <c r="H20" s="353">
        <v>8</v>
      </c>
      <c r="I20" s="353">
        <v>9</v>
      </c>
      <c r="J20" s="353">
        <v>10</v>
      </c>
      <c r="K20" s="353">
        <v>11</v>
      </c>
      <c r="L20" s="353">
        <v>12</v>
      </c>
      <c r="M20" s="353">
        <v>13</v>
      </c>
      <c r="N20" s="353">
        <v>14</v>
      </c>
      <c r="O20" s="353">
        <v>15</v>
      </c>
      <c r="P20" s="353">
        <v>16</v>
      </c>
      <c r="Q20" s="353">
        <v>17</v>
      </c>
      <c r="R20" s="353">
        <v>18</v>
      </c>
      <c r="S20" s="353">
        <v>19</v>
      </c>
      <c r="T20" s="353">
        <v>20</v>
      </c>
      <c r="U20" s="353">
        <v>21</v>
      </c>
      <c r="V20" s="353">
        <v>22</v>
      </c>
      <c r="W20" s="353">
        <v>23</v>
      </c>
      <c r="X20" s="353">
        <v>24</v>
      </c>
      <c r="Y20" s="353">
        <v>25</v>
      </c>
      <c r="Z20" s="353">
        <v>26</v>
      </c>
      <c r="AA20" s="353">
        <v>27</v>
      </c>
      <c r="AB20" s="353">
        <v>28</v>
      </c>
      <c r="AC20" s="353">
        <v>29</v>
      </c>
      <c r="AD20" s="30"/>
    </row>
    <row r="21" spans="1:30" s="7" customFormat="1" ht="33.75" customHeight="1" thickBot="1" thickTop="1">
      <c r="A21" s="118"/>
      <c r="B21" s="123"/>
      <c r="C21" s="112" t="s">
        <v>22</v>
      </c>
      <c r="D21" s="112" t="s">
        <v>145</v>
      </c>
      <c r="E21" s="112" t="s">
        <v>144</v>
      </c>
      <c r="F21" s="157" t="s">
        <v>46</v>
      </c>
      <c r="G21" s="156" t="s">
        <v>47</v>
      </c>
      <c r="H21" s="158" t="s">
        <v>48</v>
      </c>
      <c r="I21" s="159" t="s">
        <v>23</v>
      </c>
      <c r="J21" s="174" t="s">
        <v>25</v>
      </c>
      <c r="K21" s="156" t="s">
        <v>26</v>
      </c>
      <c r="L21" s="156" t="s">
        <v>27</v>
      </c>
      <c r="M21" s="157" t="s">
        <v>49</v>
      </c>
      <c r="N21" s="157" t="s">
        <v>50</v>
      </c>
      <c r="O21" s="114" t="s">
        <v>30</v>
      </c>
      <c r="P21" s="156" t="s">
        <v>51</v>
      </c>
      <c r="Q21" s="157" t="s">
        <v>31</v>
      </c>
      <c r="R21" s="156" t="s">
        <v>52</v>
      </c>
      <c r="S21" s="240" t="s">
        <v>53</v>
      </c>
      <c r="T21" s="244" t="s">
        <v>32</v>
      </c>
      <c r="U21" s="250" t="s">
        <v>33</v>
      </c>
      <c r="V21" s="197" t="s">
        <v>54</v>
      </c>
      <c r="W21" s="199"/>
      <c r="X21" s="264" t="s">
        <v>55</v>
      </c>
      <c r="Y21" s="265"/>
      <c r="Z21" s="275" t="s">
        <v>36</v>
      </c>
      <c r="AA21" s="281" t="s">
        <v>37</v>
      </c>
      <c r="AB21" s="159" t="s">
        <v>38</v>
      </c>
      <c r="AC21" s="159" t="s">
        <v>39</v>
      </c>
      <c r="AD21" s="30"/>
    </row>
    <row r="22" spans="1:30" s="7" customFormat="1" ht="15.75" thickTop="1">
      <c r="A22" s="118"/>
      <c r="B22" s="123"/>
      <c r="C22" s="319"/>
      <c r="D22" s="319"/>
      <c r="E22" s="319"/>
      <c r="F22" s="320"/>
      <c r="G22" s="321"/>
      <c r="H22" s="321"/>
      <c r="I22" s="321"/>
      <c r="J22" s="178"/>
      <c r="K22" s="326"/>
      <c r="L22" s="321"/>
      <c r="M22" s="21"/>
      <c r="N22" s="21"/>
      <c r="O22" s="321"/>
      <c r="P22" s="321"/>
      <c r="Q22" s="321"/>
      <c r="R22" s="321"/>
      <c r="S22" s="241"/>
      <c r="T22" s="245"/>
      <c r="U22" s="251"/>
      <c r="V22" s="262"/>
      <c r="W22" s="256"/>
      <c r="X22" s="266"/>
      <c r="Y22" s="267"/>
      <c r="Z22" s="276"/>
      <c r="AA22" s="282"/>
      <c r="AB22" s="20"/>
      <c r="AC22" s="31"/>
      <c r="AD22" s="30"/>
    </row>
    <row r="23" spans="1:30" s="7" customFormat="1" ht="15">
      <c r="A23" s="118"/>
      <c r="B23" s="123"/>
      <c r="C23" s="319"/>
      <c r="D23" s="319"/>
      <c r="E23" s="319"/>
      <c r="F23" s="322"/>
      <c r="G23" s="323"/>
      <c r="H23" s="323"/>
      <c r="I23" s="323"/>
      <c r="J23" s="179"/>
      <c r="K23" s="322"/>
      <c r="L23" s="323"/>
      <c r="M23" s="17"/>
      <c r="N23" s="17"/>
      <c r="O23" s="323"/>
      <c r="P23" s="323"/>
      <c r="Q23" s="323"/>
      <c r="R23" s="323"/>
      <c r="S23" s="242"/>
      <c r="T23" s="246"/>
      <c r="U23" s="252"/>
      <c r="V23" s="263"/>
      <c r="W23" s="260"/>
      <c r="X23" s="268"/>
      <c r="Y23" s="269"/>
      <c r="Z23" s="277"/>
      <c r="AA23" s="283"/>
      <c r="AB23" s="16"/>
      <c r="AC23" s="27"/>
      <c r="AD23" s="30"/>
    </row>
    <row r="24" spans="1:30" s="7" customFormat="1" ht="15">
      <c r="A24" s="118"/>
      <c r="B24" s="123"/>
      <c r="C24" s="319">
        <v>32</v>
      </c>
      <c r="D24" s="319">
        <v>270077</v>
      </c>
      <c r="E24" s="319">
        <v>5332</v>
      </c>
      <c r="F24" s="304" t="s">
        <v>211</v>
      </c>
      <c r="G24" s="298" t="s">
        <v>186</v>
      </c>
      <c r="H24" s="354">
        <v>15</v>
      </c>
      <c r="I24" s="305" t="s">
        <v>184</v>
      </c>
      <c r="J24" s="176">
        <f aca="true" t="shared" si="0" ref="J24:J31">H24*$I$18</f>
        <v>19.905</v>
      </c>
      <c r="K24" s="327">
        <v>41821</v>
      </c>
      <c r="L24" s="327">
        <v>41851.99998842592</v>
      </c>
      <c r="M24" s="23">
        <f aca="true" t="shared" si="1" ref="M24:M31">IF(F24="","",(L24-K24)*24)</f>
        <v>743.9997222221573</v>
      </c>
      <c r="N24" s="24">
        <f aca="true" t="shared" si="2" ref="N24:N31">IF(F24="","",ROUND((L24-K24)*24*60,0))</f>
        <v>44640</v>
      </c>
      <c r="O24" s="328" t="s">
        <v>214</v>
      </c>
      <c r="P24" s="328" t="str">
        <f aca="true" t="shared" si="3" ref="P24:P31">IF(F24="","",IF(OR(O24="P",O24="RP"),"--","NO"))</f>
        <v>NO</v>
      </c>
      <c r="Q24" s="328" t="s">
        <v>185</v>
      </c>
      <c r="R24" s="328" t="s">
        <v>212</v>
      </c>
      <c r="S24" s="243">
        <f aca="true" t="shared" si="4" ref="S24:S31">$I$19*IF(R24="SI",1,0.1)*IF(OR(O24="P",O24="RP"),0.1,1)</f>
        <v>6</v>
      </c>
      <c r="T24" s="247" t="str">
        <f aca="true" t="shared" si="5" ref="T24:T31">IF(O24="P",J24*S24*ROUND(N24/60,2),"--")</f>
        <v>--</v>
      </c>
      <c r="U24" s="253" t="str">
        <f aca="true" t="shared" si="6" ref="U24:U31">IF(O24="RP",J24*S24*Q24/100*ROUND(N24/60,2),"--")</f>
        <v>--</v>
      </c>
      <c r="V24" s="200" t="str">
        <f aca="true" t="shared" si="7" ref="V24:V31">IF(AND(O24="F",P24="NO"),J24*S24,"--")</f>
        <v>--</v>
      </c>
      <c r="W24" s="261" t="str">
        <f aca="true" t="shared" si="8" ref="W24:W31">IF(O24="F",J24*S24*ROUND(N24/60,2),"--")</f>
        <v>--</v>
      </c>
      <c r="X24" s="270" t="str">
        <f aca="true" t="shared" si="9" ref="X24:X31">IF(AND(O24="R",P24="NO"),J24*S24*Q24/100,"--")</f>
        <v>--</v>
      </c>
      <c r="Y24" s="271" t="str">
        <f aca="true" t="shared" si="10" ref="Y24:Y31">IF(O24="R",J24*S24*ROUND(N24/60,2)*Q24/100,"--")</f>
        <v>--</v>
      </c>
      <c r="Z24" s="278">
        <f aca="true" t="shared" si="11" ref="Z24:Z31">IF(O24="RF",J24*S24*ROUND(N24/60,2),"--")</f>
        <v>88855.92</v>
      </c>
      <c r="AA24" s="284" t="str">
        <f aca="true" t="shared" si="12" ref="AA24:AA31">IF(O24="RR",J24*S24*ROUND(N24/60,2)*Q24/100,"--")</f>
        <v>--</v>
      </c>
      <c r="AB24" s="22" t="s">
        <v>164</v>
      </c>
      <c r="AC24" s="27">
        <f aca="true" t="shared" si="13" ref="AC24:AC31">IF(F24="","",SUM(T24:AA24)*IF(AB24="SI",1,2))</f>
        <v>88855.92</v>
      </c>
      <c r="AD24" s="288"/>
    </row>
    <row r="25" spans="1:30" s="7" customFormat="1" ht="15">
      <c r="A25" s="118"/>
      <c r="B25" s="123"/>
      <c r="C25" s="319">
        <v>33</v>
      </c>
      <c r="D25" s="319">
        <v>273979</v>
      </c>
      <c r="E25" s="319">
        <v>5090</v>
      </c>
      <c r="F25" s="304" t="s">
        <v>213</v>
      </c>
      <c r="G25" s="298" t="s">
        <v>194</v>
      </c>
      <c r="H25" s="354">
        <v>15</v>
      </c>
      <c r="I25" s="305" t="s">
        <v>184</v>
      </c>
      <c r="J25" s="176">
        <f t="shared" si="0"/>
        <v>19.905</v>
      </c>
      <c r="K25" s="327">
        <v>41821</v>
      </c>
      <c r="L25" s="327">
        <v>41852</v>
      </c>
      <c r="M25" s="23">
        <f t="shared" si="1"/>
        <v>744</v>
      </c>
      <c r="N25" s="24">
        <f t="shared" si="2"/>
        <v>44640</v>
      </c>
      <c r="O25" s="328" t="s">
        <v>163</v>
      </c>
      <c r="P25" s="328" t="str">
        <f t="shared" si="3"/>
        <v>--</v>
      </c>
      <c r="Q25" s="328" t="s">
        <v>185</v>
      </c>
      <c r="R25" s="328" t="s">
        <v>212</v>
      </c>
      <c r="S25" s="243">
        <f t="shared" si="4"/>
        <v>0.6000000000000001</v>
      </c>
      <c r="T25" s="247">
        <f t="shared" si="5"/>
        <v>8885.592000000002</v>
      </c>
      <c r="U25" s="253" t="str">
        <f t="shared" si="6"/>
        <v>--</v>
      </c>
      <c r="V25" s="200" t="str">
        <f t="shared" si="7"/>
        <v>--</v>
      </c>
      <c r="W25" s="261" t="str">
        <f t="shared" si="8"/>
        <v>--</v>
      </c>
      <c r="X25" s="270" t="str">
        <f t="shared" si="9"/>
        <v>--</v>
      </c>
      <c r="Y25" s="271" t="str">
        <f t="shared" si="10"/>
        <v>--</v>
      </c>
      <c r="Z25" s="278" t="str">
        <f t="shared" si="11"/>
        <v>--</v>
      </c>
      <c r="AA25" s="284" t="str">
        <f t="shared" si="12"/>
        <v>--</v>
      </c>
      <c r="AB25" s="22" t="s">
        <v>164</v>
      </c>
      <c r="AC25" s="27">
        <f t="shared" si="13"/>
        <v>8885.592000000002</v>
      </c>
      <c r="AD25" s="288"/>
    </row>
    <row r="26" spans="1:30" s="7" customFormat="1" ht="15">
      <c r="A26" s="118"/>
      <c r="B26" s="123"/>
      <c r="C26" s="319">
        <v>34</v>
      </c>
      <c r="D26" s="319">
        <v>275367</v>
      </c>
      <c r="E26" s="319">
        <v>537</v>
      </c>
      <c r="F26" s="304" t="s">
        <v>193</v>
      </c>
      <c r="G26" s="298" t="s">
        <v>194</v>
      </c>
      <c r="H26" s="324">
        <v>15</v>
      </c>
      <c r="I26" s="305" t="s">
        <v>184</v>
      </c>
      <c r="J26" s="176">
        <f t="shared" si="0"/>
        <v>19.905</v>
      </c>
      <c r="K26" s="327">
        <v>41821</v>
      </c>
      <c r="L26" s="327">
        <v>41852</v>
      </c>
      <c r="M26" s="23">
        <f t="shared" si="1"/>
        <v>744</v>
      </c>
      <c r="N26" s="24">
        <f t="shared" si="2"/>
        <v>44640</v>
      </c>
      <c r="O26" s="328" t="s">
        <v>163</v>
      </c>
      <c r="P26" s="328" t="str">
        <f t="shared" si="3"/>
        <v>--</v>
      </c>
      <c r="Q26" s="328" t="s">
        <v>185</v>
      </c>
      <c r="R26" s="328" t="s">
        <v>212</v>
      </c>
      <c r="S26" s="243">
        <f t="shared" si="4"/>
        <v>0.6000000000000001</v>
      </c>
      <c r="T26" s="247">
        <f t="shared" si="5"/>
        <v>8885.592000000002</v>
      </c>
      <c r="U26" s="253" t="str">
        <f t="shared" si="6"/>
        <v>--</v>
      </c>
      <c r="V26" s="200" t="str">
        <f t="shared" si="7"/>
        <v>--</v>
      </c>
      <c r="W26" s="261" t="str">
        <f t="shared" si="8"/>
        <v>--</v>
      </c>
      <c r="X26" s="270" t="str">
        <f t="shared" si="9"/>
        <v>--</v>
      </c>
      <c r="Y26" s="271" t="str">
        <f t="shared" si="10"/>
        <v>--</v>
      </c>
      <c r="Z26" s="278" t="str">
        <f t="shared" si="11"/>
        <v>--</v>
      </c>
      <c r="AA26" s="284" t="str">
        <f t="shared" si="12"/>
        <v>--</v>
      </c>
      <c r="AB26" s="22" t="s">
        <v>164</v>
      </c>
      <c r="AC26" s="27">
        <f t="shared" si="13"/>
        <v>8885.592000000002</v>
      </c>
      <c r="AD26" s="288"/>
    </row>
    <row r="27" spans="1:30" s="7" customFormat="1" ht="15">
      <c r="A27" s="118"/>
      <c r="B27" s="123"/>
      <c r="C27" s="319">
        <v>35</v>
      </c>
      <c r="D27" s="319">
        <v>276666</v>
      </c>
      <c r="E27" s="319">
        <v>5410</v>
      </c>
      <c r="F27" s="304" t="s">
        <v>215</v>
      </c>
      <c r="G27" s="298" t="s">
        <v>186</v>
      </c>
      <c r="H27" s="354">
        <v>15</v>
      </c>
      <c r="I27" s="305" t="s">
        <v>184</v>
      </c>
      <c r="J27" s="176">
        <f t="shared" si="0"/>
        <v>19.905</v>
      </c>
      <c r="K27" s="327">
        <v>41821</v>
      </c>
      <c r="L27" s="327">
        <v>41825.7375</v>
      </c>
      <c r="M27" s="23">
        <f t="shared" si="1"/>
        <v>113.70000000006985</v>
      </c>
      <c r="N27" s="24">
        <f t="shared" si="2"/>
        <v>6822</v>
      </c>
      <c r="O27" s="328" t="s">
        <v>214</v>
      </c>
      <c r="P27" s="328" t="str">
        <f t="shared" si="3"/>
        <v>NO</v>
      </c>
      <c r="Q27" s="328" t="s">
        <v>185</v>
      </c>
      <c r="R27" s="328" t="s">
        <v>212</v>
      </c>
      <c r="S27" s="243">
        <f t="shared" si="4"/>
        <v>6</v>
      </c>
      <c r="T27" s="247" t="str">
        <f t="shared" si="5"/>
        <v>--</v>
      </c>
      <c r="U27" s="253" t="str">
        <f t="shared" si="6"/>
        <v>--</v>
      </c>
      <c r="V27" s="200" t="str">
        <f t="shared" si="7"/>
        <v>--</v>
      </c>
      <c r="W27" s="261" t="str">
        <f t="shared" si="8"/>
        <v>--</v>
      </c>
      <c r="X27" s="270" t="str">
        <f t="shared" si="9"/>
        <v>--</v>
      </c>
      <c r="Y27" s="271" t="str">
        <f t="shared" si="10"/>
        <v>--</v>
      </c>
      <c r="Z27" s="278">
        <f t="shared" si="11"/>
        <v>13579.191</v>
      </c>
      <c r="AA27" s="284" t="str">
        <f t="shared" si="12"/>
        <v>--</v>
      </c>
      <c r="AB27" s="22" t="s">
        <v>164</v>
      </c>
      <c r="AC27" s="27">
        <f t="shared" si="13"/>
        <v>13579.191</v>
      </c>
      <c r="AD27" s="288"/>
    </row>
    <row r="28" spans="1:30" s="7" customFormat="1" ht="15">
      <c r="A28" s="118"/>
      <c r="B28" s="123"/>
      <c r="C28" s="319">
        <v>36</v>
      </c>
      <c r="D28" s="319">
        <v>276465</v>
      </c>
      <c r="E28" s="319">
        <v>561</v>
      </c>
      <c r="F28" s="304" t="s">
        <v>195</v>
      </c>
      <c r="G28" s="298" t="s">
        <v>183</v>
      </c>
      <c r="H28" s="324">
        <v>15</v>
      </c>
      <c r="I28" s="305" t="s">
        <v>184</v>
      </c>
      <c r="J28" s="176">
        <f t="shared" si="0"/>
        <v>19.905</v>
      </c>
      <c r="K28" s="327">
        <v>41822.36111111111</v>
      </c>
      <c r="L28" s="327">
        <v>41822.57916666667</v>
      </c>
      <c r="M28" s="23">
        <f t="shared" si="1"/>
        <v>5.233333333453629</v>
      </c>
      <c r="N28" s="24">
        <f t="shared" si="2"/>
        <v>314</v>
      </c>
      <c r="O28" s="328" t="s">
        <v>163</v>
      </c>
      <c r="P28" s="328" t="str">
        <f t="shared" si="3"/>
        <v>--</v>
      </c>
      <c r="Q28" s="328" t="s">
        <v>185</v>
      </c>
      <c r="R28" s="328" t="s">
        <v>212</v>
      </c>
      <c r="S28" s="243">
        <f t="shared" si="4"/>
        <v>0.6000000000000001</v>
      </c>
      <c r="T28" s="247">
        <f t="shared" si="5"/>
        <v>62.46189000000002</v>
      </c>
      <c r="U28" s="253" t="str">
        <f t="shared" si="6"/>
        <v>--</v>
      </c>
      <c r="V28" s="200" t="str">
        <f t="shared" si="7"/>
        <v>--</v>
      </c>
      <c r="W28" s="261" t="str">
        <f t="shared" si="8"/>
        <v>--</v>
      </c>
      <c r="X28" s="270" t="str">
        <f t="shared" si="9"/>
        <v>--</v>
      </c>
      <c r="Y28" s="271" t="str">
        <f t="shared" si="10"/>
        <v>--</v>
      </c>
      <c r="Z28" s="278" t="str">
        <f t="shared" si="11"/>
        <v>--</v>
      </c>
      <c r="AA28" s="284" t="str">
        <f t="shared" si="12"/>
        <v>--</v>
      </c>
      <c r="AB28" s="22" t="s">
        <v>164</v>
      </c>
      <c r="AC28" s="27">
        <f t="shared" si="13"/>
        <v>62.46189000000002</v>
      </c>
      <c r="AD28" s="288"/>
    </row>
    <row r="29" spans="1:30" s="7" customFormat="1" ht="15">
      <c r="A29" s="118"/>
      <c r="B29" s="123"/>
      <c r="C29" s="319">
        <v>37</v>
      </c>
      <c r="D29" s="319">
        <v>276467</v>
      </c>
      <c r="E29" s="319">
        <v>1868</v>
      </c>
      <c r="F29" s="304" t="s">
        <v>193</v>
      </c>
      <c r="G29" s="298" t="s">
        <v>196</v>
      </c>
      <c r="H29" s="324">
        <v>15</v>
      </c>
      <c r="I29" s="305" t="s">
        <v>184</v>
      </c>
      <c r="J29" s="176">
        <f t="shared" si="0"/>
        <v>19.905</v>
      </c>
      <c r="K29" s="327">
        <v>41822.54513888889</v>
      </c>
      <c r="L29" s="327">
        <v>41822.57777777778</v>
      </c>
      <c r="M29" s="23">
        <f t="shared" si="1"/>
        <v>0.7833333332673647</v>
      </c>
      <c r="N29" s="24">
        <f t="shared" si="2"/>
        <v>47</v>
      </c>
      <c r="O29" s="328" t="s">
        <v>197</v>
      </c>
      <c r="P29" s="328" t="str">
        <f t="shared" si="3"/>
        <v>NO</v>
      </c>
      <c r="Q29" s="329">
        <v>60</v>
      </c>
      <c r="R29" s="328" t="s">
        <v>164</v>
      </c>
      <c r="S29" s="243">
        <f t="shared" si="4"/>
        <v>60</v>
      </c>
      <c r="T29" s="247" t="str">
        <f t="shared" si="5"/>
        <v>--</v>
      </c>
      <c r="U29" s="253" t="str">
        <f t="shared" si="6"/>
        <v>--</v>
      </c>
      <c r="V29" s="200" t="str">
        <f t="shared" si="7"/>
        <v>--</v>
      </c>
      <c r="W29" s="261" t="str">
        <f t="shared" si="8"/>
        <v>--</v>
      </c>
      <c r="X29" s="270">
        <f t="shared" si="9"/>
        <v>716.5800000000002</v>
      </c>
      <c r="Y29" s="271">
        <f t="shared" si="10"/>
        <v>558.9324000000001</v>
      </c>
      <c r="Z29" s="278" t="str">
        <f t="shared" si="11"/>
        <v>--</v>
      </c>
      <c r="AA29" s="284" t="str">
        <f t="shared" si="12"/>
        <v>--</v>
      </c>
      <c r="AB29" s="22" t="s">
        <v>164</v>
      </c>
      <c r="AC29" s="27">
        <f t="shared" si="13"/>
        <v>1275.5124000000003</v>
      </c>
      <c r="AD29" s="288"/>
    </row>
    <row r="30" spans="1:30" s="7" customFormat="1" ht="15">
      <c r="A30" s="118"/>
      <c r="B30" s="123"/>
      <c r="C30" s="319">
        <v>38</v>
      </c>
      <c r="D30" s="319">
        <v>276474</v>
      </c>
      <c r="E30" s="319">
        <v>586</v>
      </c>
      <c r="F30" s="304" t="s">
        <v>198</v>
      </c>
      <c r="G30" s="298" t="s">
        <v>190</v>
      </c>
      <c r="H30" s="324">
        <v>15</v>
      </c>
      <c r="I30" s="305" t="s">
        <v>184</v>
      </c>
      <c r="J30" s="176">
        <f t="shared" si="0"/>
        <v>19.905</v>
      </c>
      <c r="K30" s="327">
        <v>41824.39166666667</v>
      </c>
      <c r="L30" s="327">
        <v>41824.47083333333</v>
      </c>
      <c r="M30" s="23">
        <f t="shared" si="1"/>
        <v>1.8999999999068677</v>
      </c>
      <c r="N30" s="24">
        <f t="shared" si="2"/>
        <v>114</v>
      </c>
      <c r="O30" s="328" t="s">
        <v>163</v>
      </c>
      <c r="P30" s="328" t="str">
        <f t="shared" si="3"/>
        <v>--</v>
      </c>
      <c r="Q30" s="328" t="s">
        <v>185</v>
      </c>
      <c r="R30" s="328" t="s">
        <v>212</v>
      </c>
      <c r="S30" s="243">
        <f t="shared" si="4"/>
        <v>0.6000000000000001</v>
      </c>
      <c r="T30" s="247">
        <f t="shared" si="5"/>
        <v>22.691700000000004</v>
      </c>
      <c r="U30" s="253" t="str">
        <f t="shared" si="6"/>
        <v>--</v>
      </c>
      <c r="V30" s="200" t="str">
        <f t="shared" si="7"/>
        <v>--</v>
      </c>
      <c r="W30" s="261" t="str">
        <f t="shared" si="8"/>
        <v>--</v>
      </c>
      <c r="X30" s="270" t="str">
        <f t="shared" si="9"/>
        <v>--</v>
      </c>
      <c r="Y30" s="271" t="str">
        <f t="shared" si="10"/>
        <v>--</v>
      </c>
      <c r="Z30" s="278" t="str">
        <f t="shared" si="11"/>
        <v>--</v>
      </c>
      <c r="AA30" s="284" t="str">
        <f t="shared" si="12"/>
        <v>--</v>
      </c>
      <c r="AB30" s="22" t="s">
        <v>164</v>
      </c>
      <c r="AC30" s="27">
        <f t="shared" si="13"/>
        <v>22.691700000000004</v>
      </c>
      <c r="AD30" s="288"/>
    </row>
    <row r="31" spans="1:30" s="7" customFormat="1" ht="15">
      <c r="A31" s="118"/>
      <c r="B31" s="123"/>
      <c r="C31" s="319">
        <v>39</v>
      </c>
      <c r="D31" s="319">
        <v>276479</v>
      </c>
      <c r="E31" s="319">
        <v>2040</v>
      </c>
      <c r="F31" s="304" t="s">
        <v>193</v>
      </c>
      <c r="G31" s="298" t="s">
        <v>186</v>
      </c>
      <c r="H31" s="324">
        <v>30</v>
      </c>
      <c r="I31" s="305" t="s">
        <v>184</v>
      </c>
      <c r="J31" s="176">
        <f t="shared" si="0"/>
        <v>39.81</v>
      </c>
      <c r="K31" s="327">
        <v>41826.35208333333</v>
      </c>
      <c r="L31" s="327">
        <v>41826.63125</v>
      </c>
      <c r="M31" s="23">
        <f t="shared" si="1"/>
        <v>6.7000000000116415</v>
      </c>
      <c r="N31" s="24">
        <f t="shared" si="2"/>
        <v>402</v>
      </c>
      <c r="O31" s="328" t="s">
        <v>163</v>
      </c>
      <c r="P31" s="328" t="str">
        <f t="shared" si="3"/>
        <v>--</v>
      </c>
      <c r="Q31" s="328" t="s">
        <v>185</v>
      </c>
      <c r="R31" s="328" t="s">
        <v>212</v>
      </c>
      <c r="S31" s="243">
        <f t="shared" si="4"/>
        <v>0.6000000000000001</v>
      </c>
      <c r="T31" s="247">
        <f t="shared" si="5"/>
        <v>160.03620000000004</v>
      </c>
      <c r="U31" s="253" t="str">
        <f t="shared" si="6"/>
        <v>--</v>
      </c>
      <c r="V31" s="200" t="str">
        <f t="shared" si="7"/>
        <v>--</v>
      </c>
      <c r="W31" s="261" t="str">
        <f t="shared" si="8"/>
        <v>--</v>
      </c>
      <c r="X31" s="270" t="str">
        <f t="shared" si="9"/>
        <v>--</v>
      </c>
      <c r="Y31" s="271" t="str">
        <f t="shared" si="10"/>
        <v>--</v>
      </c>
      <c r="Z31" s="278" t="str">
        <f t="shared" si="11"/>
        <v>--</v>
      </c>
      <c r="AA31" s="284" t="str">
        <f t="shared" si="12"/>
        <v>--</v>
      </c>
      <c r="AB31" s="22" t="s">
        <v>164</v>
      </c>
      <c r="AC31" s="27">
        <f t="shared" si="13"/>
        <v>160.03620000000004</v>
      </c>
      <c r="AD31" s="288"/>
    </row>
    <row r="32" spans="1:30" s="7" customFormat="1" ht="15">
      <c r="A32" s="118"/>
      <c r="B32" s="123"/>
      <c r="C32" s="319">
        <v>40</v>
      </c>
      <c r="D32" s="319">
        <v>276480</v>
      </c>
      <c r="E32" s="319">
        <v>3947</v>
      </c>
      <c r="F32" s="304" t="s">
        <v>193</v>
      </c>
      <c r="G32" s="298" t="s">
        <v>190</v>
      </c>
      <c r="H32" s="324">
        <v>30</v>
      </c>
      <c r="I32" s="305" t="s">
        <v>184</v>
      </c>
      <c r="J32" s="176">
        <f aca="true" t="shared" si="14" ref="J32:J43">H32*$I$18</f>
        <v>39.81</v>
      </c>
      <c r="K32" s="327">
        <v>41826.354166666664</v>
      </c>
      <c r="L32" s="327">
        <v>41826.493055555555</v>
      </c>
      <c r="M32" s="23">
        <f aca="true" t="shared" si="15" ref="M32:M43">IF(F32="","",(L32-K32)*24)</f>
        <v>3.3333333333721384</v>
      </c>
      <c r="N32" s="24">
        <f aca="true" t="shared" si="16" ref="N32:N43">IF(F32="","",ROUND((L32-K32)*24*60,0))</f>
        <v>200</v>
      </c>
      <c r="O32" s="328" t="s">
        <v>163</v>
      </c>
      <c r="P32" s="328" t="str">
        <f aca="true" t="shared" si="17" ref="P32:P43">IF(F32="","",IF(OR(O32="P",O32="RP"),"--","NO"))</f>
        <v>--</v>
      </c>
      <c r="Q32" s="328" t="s">
        <v>185</v>
      </c>
      <c r="R32" s="328" t="s">
        <v>212</v>
      </c>
      <c r="S32" s="243">
        <f aca="true" t="shared" si="18" ref="S32:S43">$I$19*IF(R32="SI",1,0.1)*IF(OR(O32="P",O32="RP"),0.1,1)</f>
        <v>0.6000000000000001</v>
      </c>
      <c r="T32" s="247">
        <f aca="true" t="shared" si="19" ref="T32:T43">IF(O32="P",J32*S32*ROUND(N32/60,2),"--")</f>
        <v>79.54038000000003</v>
      </c>
      <c r="U32" s="253" t="str">
        <f aca="true" t="shared" si="20" ref="U32:U43">IF(O32="RP",J32*S32*Q32/100*ROUND(N32/60,2),"--")</f>
        <v>--</v>
      </c>
      <c r="V32" s="200" t="str">
        <f aca="true" t="shared" si="21" ref="V32:V43">IF(AND(O32="F",P32="NO"),J32*S32,"--")</f>
        <v>--</v>
      </c>
      <c r="W32" s="261" t="str">
        <f aca="true" t="shared" si="22" ref="W32:W43">IF(O32="F",J32*S32*ROUND(N32/60,2),"--")</f>
        <v>--</v>
      </c>
      <c r="X32" s="270" t="str">
        <f aca="true" t="shared" si="23" ref="X32:X43">IF(AND(O32="R",P32="NO"),J32*S32*Q32/100,"--")</f>
        <v>--</v>
      </c>
      <c r="Y32" s="271" t="str">
        <f aca="true" t="shared" si="24" ref="Y32:Y43">IF(O32="R",J32*S32*ROUND(N32/60,2)*Q32/100,"--")</f>
        <v>--</v>
      </c>
      <c r="Z32" s="278" t="str">
        <f aca="true" t="shared" si="25" ref="Z32:Z43">IF(O32="RF",J32*S32*ROUND(N32/60,2),"--")</f>
        <v>--</v>
      </c>
      <c r="AA32" s="284" t="str">
        <f aca="true" t="shared" si="26" ref="AA32:AA43">IF(O32="RR",J32*S32*ROUND(N32/60,2)*Q32/100,"--")</f>
        <v>--</v>
      </c>
      <c r="AB32" s="22" t="s">
        <v>164</v>
      </c>
      <c r="AC32" s="27">
        <f aca="true" t="shared" si="27" ref="AC32:AC43">IF(F32="","",SUM(T32:AA32)*IF(AB32="SI",1,2))</f>
        <v>79.54038000000003</v>
      </c>
      <c r="AD32" s="288"/>
    </row>
    <row r="33" spans="1:30" s="7" customFormat="1" ht="15">
      <c r="A33" s="118"/>
      <c r="B33" s="123"/>
      <c r="C33" s="319">
        <v>41</v>
      </c>
      <c r="D33" s="319">
        <v>276493</v>
      </c>
      <c r="E33" s="319">
        <v>1868</v>
      </c>
      <c r="F33" s="304" t="s">
        <v>193</v>
      </c>
      <c r="G33" s="298" t="s">
        <v>196</v>
      </c>
      <c r="H33" s="324">
        <v>15</v>
      </c>
      <c r="I33" s="305" t="s">
        <v>184</v>
      </c>
      <c r="J33" s="176">
        <f t="shared" si="14"/>
        <v>19.905</v>
      </c>
      <c r="K33" s="327">
        <v>41826.35486111111</v>
      </c>
      <c r="L33" s="327">
        <v>41826.53402777778</v>
      </c>
      <c r="M33" s="23">
        <f t="shared" si="15"/>
        <v>4.300000000046566</v>
      </c>
      <c r="N33" s="24">
        <f t="shared" si="16"/>
        <v>258</v>
      </c>
      <c r="O33" s="328" t="s">
        <v>163</v>
      </c>
      <c r="P33" s="328" t="str">
        <f t="shared" si="17"/>
        <v>--</v>
      </c>
      <c r="Q33" s="328" t="s">
        <v>185</v>
      </c>
      <c r="R33" s="328" t="s">
        <v>164</v>
      </c>
      <c r="S33" s="243">
        <f t="shared" si="18"/>
        <v>6</v>
      </c>
      <c r="T33" s="247">
        <f t="shared" si="19"/>
        <v>513.549</v>
      </c>
      <c r="U33" s="253" t="str">
        <f t="shared" si="20"/>
        <v>--</v>
      </c>
      <c r="V33" s="200" t="str">
        <f t="shared" si="21"/>
        <v>--</v>
      </c>
      <c r="W33" s="261" t="str">
        <f t="shared" si="22"/>
        <v>--</v>
      </c>
      <c r="X33" s="270" t="str">
        <f t="shared" si="23"/>
        <v>--</v>
      </c>
      <c r="Y33" s="271" t="str">
        <f t="shared" si="24"/>
        <v>--</v>
      </c>
      <c r="Z33" s="278" t="str">
        <f t="shared" si="25"/>
        <v>--</v>
      </c>
      <c r="AA33" s="284" t="str">
        <f t="shared" si="26"/>
        <v>--</v>
      </c>
      <c r="AB33" s="22" t="s">
        <v>164</v>
      </c>
      <c r="AC33" s="27">
        <f t="shared" si="27"/>
        <v>513.549</v>
      </c>
      <c r="AD33" s="288"/>
    </row>
    <row r="34" spans="1:30" s="7" customFormat="1" ht="15">
      <c r="A34" s="118"/>
      <c r="B34" s="123"/>
      <c r="C34" s="319">
        <v>42</v>
      </c>
      <c r="D34" s="319">
        <v>276496</v>
      </c>
      <c r="E34" s="319">
        <v>3946</v>
      </c>
      <c r="F34" s="304" t="s">
        <v>199</v>
      </c>
      <c r="G34" s="298" t="s">
        <v>186</v>
      </c>
      <c r="H34" s="324">
        <v>30</v>
      </c>
      <c r="I34" s="305" t="s">
        <v>184</v>
      </c>
      <c r="J34" s="176">
        <f t="shared" si="14"/>
        <v>39.81</v>
      </c>
      <c r="K34" s="327">
        <v>41826.35625</v>
      </c>
      <c r="L34" s="327">
        <v>41826.51180555556</v>
      </c>
      <c r="M34" s="23">
        <f t="shared" si="15"/>
        <v>3.733333333453629</v>
      </c>
      <c r="N34" s="24">
        <f t="shared" si="16"/>
        <v>224</v>
      </c>
      <c r="O34" s="328" t="s">
        <v>163</v>
      </c>
      <c r="P34" s="328" t="str">
        <f t="shared" si="17"/>
        <v>--</v>
      </c>
      <c r="Q34" s="328" t="s">
        <v>185</v>
      </c>
      <c r="R34" s="328" t="s">
        <v>164</v>
      </c>
      <c r="S34" s="243">
        <f t="shared" si="18"/>
        <v>6</v>
      </c>
      <c r="T34" s="247">
        <f t="shared" si="19"/>
        <v>890.9478</v>
      </c>
      <c r="U34" s="253" t="str">
        <f t="shared" si="20"/>
        <v>--</v>
      </c>
      <c r="V34" s="200" t="str">
        <f t="shared" si="21"/>
        <v>--</v>
      </c>
      <c r="W34" s="261" t="str">
        <f t="shared" si="22"/>
        <v>--</v>
      </c>
      <c r="X34" s="270" t="str">
        <f t="shared" si="23"/>
        <v>--</v>
      </c>
      <c r="Y34" s="271" t="str">
        <f t="shared" si="24"/>
        <v>--</v>
      </c>
      <c r="Z34" s="278" t="str">
        <f t="shared" si="25"/>
        <v>--</v>
      </c>
      <c r="AA34" s="284" t="str">
        <f t="shared" si="26"/>
        <v>--</v>
      </c>
      <c r="AB34" s="22" t="s">
        <v>164</v>
      </c>
      <c r="AC34" s="27">
        <f t="shared" si="27"/>
        <v>890.9478</v>
      </c>
      <c r="AD34" s="288"/>
    </row>
    <row r="35" spans="1:30" s="7" customFormat="1" ht="15">
      <c r="A35" s="118"/>
      <c r="B35" s="123"/>
      <c r="C35" s="319">
        <v>43</v>
      </c>
      <c r="D35" s="319">
        <v>276497</v>
      </c>
      <c r="E35" s="319">
        <v>4517</v>
      </c>
      <c r="F35" s="304" t="s">
        <v>199</v>
      </c>
      <c r="G35" s="298" t="s">
        <v>222</v>
      </c>
      <c r="H35" s="324">
        <v>30</v>
      </c>
      <c r="I35" s="305" t="s">
        <v>184</v>
      </c>
      <c r="J35" s="176">
        <f>H35*$K$18</f>
        <v>15.081000000000001</v>
      </c>
      <c r="K35" s="327">
        <v>41826.35625</v>
      </c>
      <c r="L35" s="327">
        <v>41826.51180555556</v>
      </c>
      <c r="M35" s="23">
        <f t="shared" si="15"/>
        <v>3.733333333453629</v>
      </c>
      <c r="N35" s="24">
        <f t="shared" si="16"/>
        <v>224</v>
      </c>
      <c r="O35" s="328" t="s">
        <v>163</v>
      </c>
      <c r="P35" s="328" t="str">
        <f t="shared" si="17"/>
        <v>--</v>
      </c>
      <c r="Q35" s="328" t="s">
        <v>185</v>
      </c>
      <c r="R35" s="328" t="s">
        <v>212</v>
      </c>
      <c r="S35" s="243">
        <f t="shared" si="18"/>
        <v>0.6000000000000001</v>
      </c>
      <c r="T35" s="247">
        <f t="shared" si="19"/>
        <v>33.751278000000006</v>
      </c>
      <c r="U35" s="253" t="str">
        <f t="shared" si="20"/>
        <v>--</v>
      </c>
      <c r="V35" s="200" t="str">
        <f t="shared" si="21"/>
        <v>--</v>
      </c>
      <c r="W35" s="261" t="str">
        <f t="shared" si="22"/>
        <v>--</v>
      </c>
      <c r="X35" s="270" t="str">
        <f t="shared" si="23"/>
        <v>--</v>
      </c>
      <c r="Y35" s="271" t="str">
        <f t="shared" si="24"/>
        <v>--</v>
      </c>
      <c r="Z35" s="278" t="str">
        <f t="shared" si="25"/>
        <v>--</v>
      </c>
      <c r="AA35" s="284" t="str">
        <f t="shared" si="26"/>
        <v>--</v>
      </c>
      <c r="AB35" s="22" t="s">
        <v>164</v>
      </c>
      <c r="AC35" s="27">
        <f t="shared" si="27"/>
        <v>33.751278000000006</v>
      </c>
      <c r="AD35" s="288"/>
    </row>
    <row r="36" spans="1:30" s="7" customFormat="1" ht="15">
      <c r="A36" s="118"/>
      <c r="B36" s="123"/>
      <c r="C36" s="319">
        <v>44</v>
      </c>
      <c r="D36" s="319">
        <v>276500</v>
      </c>
      <c r="E36" s="319">
        <v>571</v>
      </c>
      <c r="F36" s="304" t="s">
        <v>200</v>
      </c>
      <c r="G36" s="298" t="s">
        <v>196</v>
      </c>
      <c r="H36" s="324">
        <v>8.25</v>
      </c>
      <c r="I36" s="305" t="s">
        <v>201</v>
      </c>
      <c r="J36" s="176">
        <f t="shared" si="14"/>
        <v>10.94775</v>
      </c>
      <c r="K36" s="327">
        <v>41826.37291666667</v>
      </c>
      <c r="L36" s="327">
        <v>41826.424305555556</v>
      </c>
      <c r="M36" s="23">
        <f t="shared" si="15"/>
        <v>1.2333333333372138</v>
      </c>
      <c r="N36" s="24">
        <f t="shared" si="16"/>
        <v>74</v>
      </c>
      <c r="O36" s="328" t="s">
        <v>202</v>
      </c>
      <c r="P36" s="328" t="str">
        <f t="shared" si="17"/>
        <v>--</v>
      </c>
      <c r="Q36" s="329">
        <v>60</v>
      </c>
      <c r="R36" s="328" t="s">
        <v>212</v>
      </c>
      <c r="S36" s="243">
        <f t="shared" si="18"/>
        <v>0.6000000000000001</v>
      </c>
      <c r="T36" s="247" t="str">
        <f t="shared" si="19"/>
        <v>--</v>
      </c>
      <c r="U36" s="253">
        <f t="shared" si="20"/>
        <v>4.8476637</v>
      </c>
      <c r="V36" s="200" t="str">
        <f t="shared" si="21"/>
        <v>--</v>
      </c>
      <c r="W36" s="261" t="str">
        <f t="shared" si="22"/>
        <v>--</v>
      </c>
      <c r="X36" s="270" t="str">
        <f t="shared" si="23"/>
        <v>--</v>
      </c>
      <c r="Y36" s="271" t="str">
        <f t="shared" si="24"/>
        <v>--</v>
      </c>
      <c r="Z36" s="278" t="str">
        <f t="shared" si="25"/>
        <v>--</v>
      </c>
      <c r="AA36" s="284" t="str">
        <f t="shared" si="26"/>
        <v>--</v>
      </c>
      <c r="AB36" s="22" t="s">
        <v>164</v>
      </c>
      <c r="AC36" s="27">
        <f t="shared" si="27"/>
        <v>4.8476637</v>
      </c>
      <c r="AD36" s="288"/>
    </row>
    <row r="37" spans="1:30" s="7" customFormat="1" ht="15">
      <c r="A37" s="118"/>
      <c r="B37" s="123"/>
      <c r="C37" s="319">
        <v>45</v>
      </c>
      <c r="D37" s="319">
        <v>276501</v>
      </c>
      <c r="E37" s="319">
        <v>3786</v>
      </c>
      <c r="F37" s="304" t="s">
        <v>198</v>
      </c>
      <c r="G37" s="298" t="s">
        <v>186</v>
      </c>
      <c r="H37" s="324">
        <v>30</v>
      </c>
      <c r="I37" s="305" t="s">
        <v>184</v>
      </c>
      <c r="J37" s="176">
        <f t="shared" si="14"/>
        <v>39.81</v>
      </c>
      <c r="K37" s="327">
        <v>41826.384722222225</v>
      </c>
      <c r="L37" s="327">
        <v>41826.520833333336</v>
      </c>
      <c r="M37" s="23">
        <f t="shared" si="15"/>
        <v>3.266666666662786</v>
      </c>
      <c r="N37" s="24">
        <f t="shared" si="16"/>
        <v>196</v>
      </c>
      <c r="O37" s="328" t="s">
        <v>163</v>
      </c>
      <c r="P37" s="328" t="str">
        <f t="shared" si="17"/>
        <v>--</v>
      </c>
      <c r="Q37" s="328" t="s">
        <v>185</v>
      </c>
      <c r="R37" s="328" t="s">
        <v>212</v>
      </c>
      <c r="S37" s="243">
        <f t="shared" si="18"/>
        <v>0.6000000000000001</v>
      </c>
      <c r="T37" s="247">
        <f t="shared" si="19"/>
        <v>78.10722000000003</v>
      </c>
      <c r="U37" s="253" t="str">
        <f t="shared" si="20"/>
        <v>--</v>
      </c>
      <c r="V37" s="200" t="str">
        <f t="shared" si="21"/>
        <v>--</v>
      </c>
      <c r="W37" s="261" t="str">
        <f t="shared" si="22"/>
        <v>--</v>
      </c>
      <c r="X37" s="270" t="str">
        <f t="shared" si="23"/>
        <v>--</v>
      </c>
      <c r="Y37" s="271" t="str">
        <f t="shared" si="24"/>
        <v>--</v>
      </c>
      <c r="Z37" s="278" t="str">
        <f t="shared" si="25"/>
        <v>--</v>
      </c>
      <c r="AA37" s="284" t="str">
        <f t="shared" si="26"/>
        <v>--</v>
      </c>
      <c r="AB37" s="22" t="s">
        <v>164</v>
      </c>
      <c r="AC37" s="27">
        <f t="shared" si="27"/>
        <v>78.10722000000003</v>
      </c>
      <c r="AD37" s="30"/>
    </row>
    <row r="38" spans="1:30" s="7" customFormat="1" ht="15">
      <c r="A38" s="118"/>
      <c r="B38" s="123"/>
      <c r="C38" s="319">
        <v>46</v>
      </c>
      <c r="D38" s="319">
        <v>276507</v>
      </c>
      <c r="E38" s="319">
        <v>3947</v>
      </c>
      <c r="F38" s="304" t="s">
        <v>193</v>
      </c>
      <c r="G38" s="298" t="s">
        <v>190</v>
      </c>
      <c r="H38" s="324">
        <v>30</v>
      </c>
      <c r="I38" s="305" t="s">
        <v>184</v>
      </c>
      <c r="J38" s="176">
        <f t="shared" si="14"/>
        <v>39.81</v>
      </c>
      <c r="K38" s="327">
        <v>41826.56319444445</v>
      </c>
      <c r="L38" s="327">
        <v>41826.58888888889</v>
      </c>
      <c r="M38" s="23">
        <f t="shared" si="15"/>
        <v>0.6166666665812954</v>
      </c>
      <c r="N38" s="24">
        <f t="shared" si="16"/>
        <v>37</v>
      </c>
      <c r="O38" s="328" t="s">
        <v>173</v>
      </c>
      <c r="P38" s="328" t="str">
        <f t="shared" si="17"/>
        <v>NO</v>
      </c>
      <c r="Q38" s="328" t="s">
        <v>185</v>
      </c>
      <c r="R38" s="328" t="s">
        <v>164</v>
      </c>
      <c r="S38" s="243">
        <f t="shared" si="18"/>
        <v>60</v>
      </c>
      <c r="T38" s="247" t="str">
        <f t="shared" si="19"/>
        <v>--</v>
      </c>
      <c r="U38" s="253" t="str">
        <f t="shared" si="20"/>
        <v>--</v>
      </c>
      <c r="V38" s="200">
        <f t="shared" si="21"/>
        <v>2388.6000000000004</v>
      </c>
      <c r="W38" s="261">
        <f t="shared" si="22"/>
        <v>1480.9320000000002</v>
      </c>
      <c r="X38" s="270" t="str">
        <f t="shared" si="23"/>
        <v>--</v>
      </c>
      <c r="Y38" s="271" t="str">
        <f t="shared" si="24"/>
        <v>--</v>
      </c>
      <c r="Z38" s="278" t="str">
        <f t="shared" si="25"/>
        <v>--</v>
      </c>
      <c r="AA38" s="284" t="str">
        <f t="shared" si="26"/>
        <v>--</v>
      </c>
      <c r="AB38" s="22" t="s">
        <v>164</v>
      </c>
      <c r="AC38" s="27">
        <f t="shared" si="27"/>
        <v>3869.5320000000006</v>
      </c>
      <c r="AD38" s="30"/>
    </row>
    <row r="39" spans="1:30" s="7" customFormat="1" ht="15">
      <c r="A39" s="118"/>
      <c r="B39" s="123"/>
      <c r="C39" s="319">
        <v>47</v>
      </c>
      <c r="D39" s="319">
        <v>276686</v>
      </c>
      <c r="E39" s="319">
        <v>4839</v>
      </c>
      <c r="F39" s="304" t="s">
        <v>216</v>
      </c>
      <c r="G39" s="298" t="s">
        <v>190</v>
      </c>
      <c r="H39" s="354">
        <v>30</v>
      </c>
      <c r="I39" s="305" t="s">
        <v>189</v>
      </c>
      <c r="J39" s="176">
        <f t="shared" si="14"/>
        <v>39.81</v>
      </c>
      <c r="K39" s="327">
        <v>41828.33472222222</v>
      </c>
      <c r="L39" s="327">
        <v>41828.45694444444</v>
      </c>
      <c r="M39" s="23">
        <f t="shared" si="15"/>
        <v>2.9333333332906477</v>
      </c>
      <c r="N39" s="24">
        <f t="shared" si="16"/>
        <v>176</v>
      </c>
      <c r="O39" s="328" t="s">
        <v>163</v>
      </c>
      <c r="P39" s="328" t="str">
        <f t="shared" si="17"/>
        <v>--</v>
      </c>
      <c r="Q39" s="328" t="s">
        <v>185</v>
      </c>
      <c r="R39" s="328" t="s">
        <v>212</v>
      </c>
      <c r="S39" s="243">
        <f t="shared" si="18"/>
        <v>0.6000000000000001</v>
      </c>
      <c r="T39" s="247">
        <f t="shared" si="19"/>
        <v>69.98598000000003</v>
      </c>
      <c r="U39" s="253" t="str">
        <f t="shared" si="20"/>
        <v>--</v>
      </c>
      <c r="V39" s="200" t="str">
        <f t="shared" si="21"/>
        <v>--</v>
      </c>
      <c r="W39" s="261" t="str">
        <f t="shared" si="22"/>
        <v>--</v>
      </c>
      <c r="X39" s="270" t="str">
        <f t="shared" si="23"/>
        <v>--</v>
      </c>
      <c r="Y39" s="271" t="str">
        <f t="shared" si="24"/>
        <v>--</v>
      </c>
      <c r="Z39" s="278" t="str">
        <f t="shared" si="25"/>
        <v>--</v>
      </c>
      <c r="AA39" s="284" t="str">
        <f t="shared" si="26"/>
        <v>--</v>
      </c>
      <c r="AB39" s="22" t="s">
        <v>164</v>
      </c>
      <c r="AC39" s="27">
        <f t="shared" si="27"/>
        <v>69.98598000000003</v>
      </c>
      <c r="AD39" s="30"/>
    </row>
    <row r="40" spans="1:30" s="7" customFormat="1" ht="15">
      <c r="A40" s="118"/>
      <c r="B40" s="123"/>
      <c r="C40" s="319">
        <v>48</v>
      </c>
      <c r="D40" s="319">
        <v>276693</v>
      </c>
      <c r="E40" s="319">
        <v>3573</v>
      </c>
      <c r="F40" s="304" t="s">
        <v>203</v>
      </c>
      <c r="G40" s="298" t="s">
        <v>204</v>
      </c>
      <c r="H40" s="324">
        <v>15</v>
      </c>
      <c r="I40" s="305" t="s">
        <v>184</v>
      </c>
      <c r="J40" s="176">
        <f t="shared" si="14"/>
        <v>19.905</v>
      </c>
      <c r="K40" s="327">
        <v>41831.549305555556</v>
      </c>
      <c r="L40" s="327">
        <v>41831.584027777775</v>
      </c>
      <c r="M40" s="23">
        <f t="shared" si="15"/>
        <v>0.8333333332557231</v>
      </c>
      <c r="N40" s="24">
        <f t="shared" si="16"/>
        <v>50</v>
      </c>
      <c r="O40" s="328" t="s">
        <v>197</v>
      </c>
      <c r="P40" s="328" t="str">
        <f t="shared" si="17"/>
        <v>NO</v>
      </c>
      <c r="Q40" s="329">
        <v>40</v>
      </c>
      <c r="R40" s="328" t="s">
        <v>164</v>
      </c>
      <c r="S40" s="243">
        <f t="shared" si="18"/>
        <v>60</v>
      </c>
      <c r="T40" s="247" t="str">
        <f t="shared" si="19"/>
        <v>--</v>
      </c>
      <c r="U40" s="253" t="str">
        <f t="shared" si="20"/>
        <v>--</v>
      </c>
      <c r="V40" s="200" t="str">
        <f t="shared" si="21"/>
        <v>--</v>
      </c>
      <c r="W40" s="261" t="str">
        <f t="shared" si="22"/>
        <v>--</v>
      </c>
      <c r="X40" s="270">
        <f t="shared" si="23"/>
        <v>477.7200000000001</v>
      </c>
      <c r="Y40" s="271">
        <f t="shared" si="24"/>
        <v>396.5076</v>
      </c>
      <c r="Z40" s="278" t="str">
        <f t="shared" si="25"/>
        <v>--</v>
      </c>
      <c r="AA40" s="284" t="str">
        <f t="shared" si="26"/>
        <v>--</v>
      </c>
      <c r="AB40" s="22" t="s">
        <v>164</v>
      </c>
      <c r="AC40" s="27">
        <f t="shared" si="27"/>
        <v>874.2276000000002</v>
      </c>
      <c r="AD40" s="30"/>
    </row>
    <row r="41" spans="1:30" s="7" customFormat="1" ht="15">
      <c r="A41" s="118"/>
      <c r="B41" s="123"/>
      <c r="C41" s="319">
        <v>49</v>
      </c>
      <c r="D41" s="319">
        <v>276700</v>
      </c>
      <c r="E41" s="319">
        <v>5268</v>
      </c>
      <c r="F41" s="304" t="s">
        <v>217</v>
      </c>
      <c r="G41" s="298" t="s">
        <v>194</v>
      </c>
      <c r="H41" s="354">
        <v>30</v>
      </c>
      <c r="I41" s="305" t="s">
        <v>184</v>
      </c>
      <c r="J41" s="176">
        <f t="shared" si="14"/>
        <v>39.81</v>
      </c>
      <c r="K41" s="327">
        <v>41833.938888888886</v>
      </c>
      <c r="L41" s="327">
        <v>41833.961805555555</v>
      </c>
      <c r="M41" s="23">
        <f t="shared" si="15"/>
        <v>0.5500000000465661</v>
      </c>
      <c r="N41" s="24">
        <f t="shared" si="16"/>
        <v>33</v>
      </c>
      <c r="O41" s="328" t="s">
        <v>173</v>
      </c>
      <c r="P41" s="328" t="str">
        <f t="shared" si="17"/>
        <v>NO</v>
      </c>
      <c r="Q41" s="328" t="s">
        <v>185</v>
      </c>
      <c r="R41" s="328" t="s">
        <v>164</v>
      </c>
      <c r="S41" s="243">
        <f t="shared" si="18"/>
        <v>60</v>
      </c>
      <c r="T41" s="247" t="str">
        <f t="shared" si="19"/>
        <v>--</v>
      </c>
      <c r="U41" s="253" t="str">
        <f t="shared" si="20"/>
        <v>--</v>
      </c>
      <c r="V41" s="200">
        <f t="shared" si="21"/>
        <v>2388.6000000000004</v>
      </c>
      <c r="W41" s="261">
        <f t="shared" si="22"/>
        <v>1313.7300000000002</v>
      </c>
      <c r="X41" s="270" t="str">
        <f t="shared" si="23"/>
        <v>--</v>
      </c>
      <c r="Y41" s="271" t="str">
        <f t="shared" si="24"/>
        <v>--</v>
      </c>
      <c r="Z41" s="278" t="str">
        <f t="shared" si="25"/>
        <v>--</v>
      </c>
      <c r="AA41" s="284" t="str">
        <f t="shared" si="26"/>
        <v>--</v>
      </c>
      <c r="AB41" s="22" t="s">
        <v>164</v>
      </c>
      <c r="AC41" s="27">
        <f t="shared" si="27"/>
        <v>3702.330000000001</v>
      </c>
      <c r="AD41" s="30"/>
    </row>
    <row r="42" spans="1:30" s="7" customFormat="1" ht="15">
      <c r="A42" s="118"/>
      <c r="B42" s="123"/>
      <c r="C42" s="319">
        <v>50</v>
      </c>
      <c r="D42" s="319">
        <v>276701</v>
      </c>
      <c r="E42" s="319">
        <v>5268</v>
      </c>
      <c r="F42" s="304" t="s">
        <v>217</v>
      </c>
      <c r="G42" s="298" t="s">
        <v>194</v>
      </c>
      <c r="H42" s="354">
        <v>30</v>
      </c>
      <c r="I42" s="305" t="s">
        <v>184</v>
      </c>
      <c r="J42" s="176">
        <f t="shared" si="14"/>
        <v>39.81</v>
      </c>
      <c r="K42" s="327">
        <v>41833.9625</v>
      </c>
      <c r="L42" s="327">
        <v>41834.58819444444</v>
      </c>
      <c r="M42" s="23">
        <f t="shared" si="15"/>
        <v>15.01666666654637</v>
      </c>
      <c r="N42" s="24">
        <f t="shared" si="16"/>
        <v>901</v>
      </c>
      <c r="O42" s="328" t="s">
        <v>173</v>
      </c>
      <c r="P42" s="328" t="str">
        <f t="shared" si="17"/>
        <v>NO</v>
      </c>
      <c r="Q42" s="328" t="s">
        <v>185</v>
      </c>
      <c r="R42" s="328" t="s">
        <v>212</v>
      </c>
      <c r="S42" s="243">
        <f t="shared" si="18"/>
        <v>6</v>
      </c>
      <c r="T42" s="247" t="str">
        <f t="shared" si="19"/>
        <v>--</v>
      </c>
      <c r="U42" s="253" t="str">
        <f t="shared" si="20"/>
        <v>--</v>
      </c>
      <c r="V42" s="200">
        <f t="shared" si="21"/>
        <v>238.86</v>
      </c>
      <c r="W42" s="261">
        <f t="shared" si="22"/>
        <v>3587.6772</v>
      </c>
      <c r="X42" s="270" t="str">
        <f t="shared" si="23"/>
        <v>--</v>
      </c>
      <c r="Y42" s="271" t="str">
        <f t="shared" si="24"/>
        <v>--</v>
      </c>
      <c r="Z42" s="278" t="str">
        <f t="shared" si="25"/>
        <v>--</v>
      </c>
      <c r="AA42" s="284" t="str">
        <f t="shared" si="26"/>
        <v>--</v>
      </c>
      <c r="AB42" s="22" t="s">
        <v>164</v>
      </c>
      <c r="AC42" s="27">
        <f t="shared" si="27"/>
        <v>3826.5372</v>
      </c>
      <c r="AD42" s="30"/>
    </row>
    <row r="43" spans="1:30" s="7" customFormat="1" ht="15">
      <c r="A43" s="118"/>
      <c r="B43" s="123"/>
      <c r="C43" s="319">
        <v>51</v>
      </c>
      <c r="D43" s="319">
        <v>276859</v>
      </c>
      <c r="E43" s="319">
        <v>4689</v>
      </c>
      <c r="F43" s="304" t="s">
        <v>192</v>
      </c>
      <c r="G43" s="298" t="s">
        <v>186</v>
      </c>
      <c r="H43" s="324">
        <v>7.5</v>
      </c>
      <c r="I43" s="305" t="s">
        <v>184</v>
      </c>
      <c r="J43" s="176">
        <f t="shared" si="14"/>
        <v>9.9525</v>
      </c>
      <c r="K43" s="327">
        <v>41834.44930555556</v>
      </c>
      <c r="L43" s="327">
        <v>41834.521527777775</v>
      </c>
      <c r="M43" s="23">
        <f t="shared" si="15"/>
        <v>1.7333333332207985</v>
      </c>
      <c r="N43" s="24">
        <f t="shared" si="16"/>
        <v>104</v>
      </c>
      <c r="O43" s="328" t="s">
        <v>173</v>
      </c>
      <c r="P43" s="328" t="str">
        <f t="shared" si="17"/>
        <v>NO</v>
      </c>
      <c r="Q43" s="328" t="s">
        <v>185</v>
      </c>
      <c r="R43" s="328" t="s">
        <v>164</v>
      </c>
      <c r="S43" s="243">
        <f t="shared" si="18"/>
        <v>60</v>
      </c>
      <c r="T43" s="247" t="str">
        <f t="shared" si="19"/>
        <v>--</v>
      </c>
      <c r="U43" s="253" t="str">
        <f t="shared" si="20"/>
        <v>--</v>
      </c>
      <c r="V43" s="200">
        <f t="shared" si="21"/>
        <v>597.1500000000001</v>
      </c>
      <c r="W43" s="261">
        <f t="shared" si="22"/>
        <v>1033.0695</v>
      </c>
      <c r="X43" s="270" t="str">
        <f t="shared" si="23"/>
        <v>--</v>
      </c>
      <c r="Y43" s="271" t="str">
        <f t="shared" si="24"/>
        <v>--</v>
      </c>
      <c r="Z43" s="278" t="str">
        <f t="shared" si="25"/>
        <v>--</v>
      </c>
      <c r="AA43" s="284" t="str">
        <f t="shared" si="26"/>
        <v>--</v>
      </c>
      <c r="AB43" s="22" t="s">
        <v>164</v>
      </c>
      <c r="AC43" s="27">
        <f t="shared" si="27"/>
        <v>1630.2195000000002</v>
      </c>
      <c r="AD43" s="30"/>
    </row>
    <row r="44" spans="1:30" s="7" customFormat="1" ht="15.75" thickBot="1">
      <c r="A44" s="118"/>
      <c r="B44" s="123"/>
      <c r="C44" s="325"/>
      <c r="D44" s="325"/>
      <c r="E44" s="325"/>
      <c r="F44" s="325"/>
      <c r="G44" s="325"/>
      <c r="H44" s="325"/>
      <c r="I44" s="325"/>
      <c r="J44" s="180"/>
      <c r="K44" s="325"/>
      <c r="L44" s="325"/>
      <c r="M44" s="25"/>
      <c r="N44" s="25"/>
      <c r="O44" s="325"/>
      <c r="P44" s="325"/>
      <c r="Q44" s="325"/>
      <c r="R44" s="325"/>
      <c r="S44" s="239"/>
      <c r="T44" s="248"/>
      <c r="U44" s="254"/>
      <c r="V44" s="257"/>
      <c r="W44" s="258"/>
      <c r="X44" s="272"/>
      <c r="Y44" s="273"/>
      <c r="Z44" s="279"/>
      <c r="AA44" s="285"/>
      <c r="AB44" s="25"/>
      <c r="AC44" s="181"/>
      <c r="AD44" s="30"/>
    </row>
    <row r="45" spans="1:30" s="7" customFormat="1" ht="17.25" thickBot="1" thickTop="1">
      <c r="A45" s="118"/>
      <c r="B45" s="123"/>
      <c r="C45" s="164" t="s">
        <v>40</v>
      </c>
      <c r="D45" s="490" t="s">
        <v>230</v>
      </c>
      <c r="E45" s="166"/>
      <c r="F45" s="165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49">
        <f aca="true" t="shared" si="28" ref="T45:AA45">SUM(T22:T44)</f>
        <v>19682.255448000004</v>
      </c>
      <c r="U45" s="255">
        <f t="shared" si="28"/>
        <v>4.8476637</v>
      </c>
      <c r="V45" s="259">
        <f t="shared" si="28"/>
        <v>5613.210000000001</v>
      </c>
      <c r="W45" s="259">
        <f t="shared" si="28"/>
        <v>7415.4087</v>
      </c>
      <c r="X45" s="274">
        <f t="shared" si="28"/>
        <v>1194.3000000000002</v>
      </c>
      <c r="Y45" s="274">
        <f t="shared" si="28"/>
        <v>955.4400000000002</v>
      </c>
      <c r="Z45" s="280">
        <f t="shared" si="28"/>
        <v>102435.111</v>
      </c>
      <c r="AA45" s="286">
        <f t="shared" si="28"/>
        <v>0</v>
      </c>
      <c r="AB45" s="182"/>
      <c r="AC45" s="130">
        <f>ROUND(SUM(AC22:AC44),2)</f>
        <v>137300.57</v>
      </c>
      <c r="AD45" s="30"/>
    </row>
    <row r="46" spans="1:30" s="7" customFormat="1" ht="13.5" thickTop="1">
      <c r="A46" s="118"/>
      <c r="B46" s="123"/>
      <c r="C46" s="166"/>
      <c r="D46" s="166"/>
      <c r="E46" s="166"/>
      <c r="F46" s="167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30"/>
    </row>
    <row r="47" spans="1:30" s="7" customFormat="1" ht="13.5" thickBot="1">
      <c r="A47" s="118"/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3"/>
    </row>
    <row r="48" spans="1:30" ht="16.5" customHeight="1" thickTop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2"/>
    </row>
    <row r="49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H48"/>
  <sheetViews>
    <sheetView zoomScale="75" zoomScaleNormal="75" zoomScalePageLayoutView="0" workbookViewId="0" topLeftCell="A1">
      <selection activeCell="I19" sqref="I19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7109375" style="0" customWidth="1"/>
    <col min="6" max="6" width="25.7109375" style="0" customWidth="1"/>
    <col min="7" max="7" width="15.7109375" style="0" customWidth="1"/>
    <col min="8" max="8" width="6.8515625" style="0" bestFit="1" customWidth="1"/>
    <col min="9" max="9" width="12.7109375" style="0" customWidth="1"/>
    <col min="10" max="10" width="5.8515625" style="0" hidden="1" customWidth="1"/>
    <col min="11" max="12" width="16.7109375" style="0" customWidth="1"/>
    <col min="13" max="15" width="9.7109375" style="0" customWidth="1"/>
    <col min="16" max="16" width="5.8515625" style="0" customWidth="1"/>
    <col min="17" max="17" width="6.8515625" style="0" customWidth="1"/>
    <col min="18" max="18" width="6.57421875" style="0" customWidth="1"/>
    <col min="19" max="19" width="10.421875" style="0" hidden="1" customWidth="1"/>
    <col min="20" max="21" width="12.28125" style="0" hidden="1" customWidth="1"/>
    <col min="22" max="22" width="11.00390625" style="0" hidden="1" customWidth="1"/>
    <col min="23" max="23" width="10.57421875" style="0" hidden="1" customWidth="1"/>
    <col min="24" max="24" width="9.7109375" style="0" hidden="1" customWidth="1"/>
    <col min="25" max="25" width="9.28125" style="0" hidden="1" customWidth="1"/>
    <col min="26" max="27" width="12.2812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5:34" s="32" customFormat="1" ht="26.25"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</row>
    <row r="2" spans="2:30" s="32" customFormat="1" ht="26.25">
      <c r="B2" s="348" t="str">
        <f>+'TOT-0714'!B2</f>
        <v>ANEXO IV al Memorandum D.T.E.E. N°  448  / 2015</v>
      </c>
      <c r="C2" s="35"/>
      <c r="D2" s="35"/>
      <c r="E2" s="154"/>
      <c r="F2" s="154"/>
      <c r="G2" s="109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</row>
    <row r="3" spans="5:30" s="7" customFormat="1" ht="12.75"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</row>
    <row r="4" spans="1:30" s="39" customFormat="1" ht="11.25">
      <c r="A4" s="349" t="s">
        <v>146</v>
      </c>
      <c r="B4" s="111"/>
      <c r="C4" s="349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1:30" s="39" customFormat="1" ht="11.25">
      <c r="A5" s="349" t="s">
        <v>147</v>
      </c>
      <c r="B5" s="111"/>
      <c r="C5" s="111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1:30" s="7" customFormat="1" ht="13.5" thickBo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</row>
    <row r="7" spans="1:30" s="7" customFormat="1" ht="13.5" thickTop="1">
      <c r="A7" s="118"/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2"/>
    </row>
    <row r="8" spans="1:30" s="43" customFormat="1" ht="20.25">
      <c r="A8" s="137"/>
      <c r="B8" s="138"/>
      <c r="C8" s="124"/>
      <c r="D8" s="124"/>
      <c r="E8" s="124"/>
      <c r="F8" s="19" t="s">
        <v>17</v>
      </c>
      <c r="G8" s="19"/>
      <c r="H8" s="124"/>
      <c r="I8" s="137"/>
      <c r="J8" s="137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39"/>
    </row>
    <row r="9" spans="1:30" s="43" customFormat="1" ht="20.25">
      <c r="A9" s="137"/>
      <c r="B9" s="138"/>
      <c r="C9" s="124"/>
      <c r="D9" s="124"/>
      <c r="E9" s="124"/>
      <c r="F9" s="19"/>
      <c r="G9" s="19"/>
      <c r="H9" s="124"/>
      <c r="I9" s="137"/>
      <c r="J9" s="137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39"/>
    </row>
    <row r="10" spans="1:30" s="43" customFormat="1" ht="20.25">
      <c r="A10" s="137"/>
      <c r="B10" s="138"/>
      <c r="C10" s="124"/>
      <c r="D10" s="124"/>
      <c r="E10" s="124"/>
      <c r="F10" s="19" t="s">
        <v>41</v>
      </c>
      <c r="G10" s="19"/>
      <c r="H10" s="124"/>
      <c r="I10" s="137"/>
      <c r="J10" s="137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39"/>
    </row>
    <row r="11" spans="1:30" s="7" customFormat="1" ht="12.75">
      <c r="A11" s="118"/>
      <c r="B11" s="123"/>
      <c r="C11" s="26"/>
      <c r="D11" s="26"/>
      <c r="E11" s="26"/>
      <c r="F11" s="26"/>
      <c r="G11" s="26"/>
      <c r="H11" s="26"/>
      <c r="I11" s="118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30"/>
    </row>
    <row r="12" spans="1:30" s="43" customFormat="1" ht="20.25">
      <c r="A12" s="137"/>
      <c r="B12" s="138"/>
      <c r="C12" s="124"/>
      <c r="D12" s="124"/>
      <c r="E12" s="124"/>
      <c r="F12" s="155" t="s">
        <v>42</v>
      </c>
      <c r="G12" s="19"/>
      <c r="H12" s="137"/>
      <c r="I12" s="137"/>
      <c r="J12" s="140"/>
      <c r="K12" s="124"/>
      <c r="L12" s="137"/>
      <c r="M12" s="137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39"/>
    </row>
    <row r="13" spans="1:30" s="7" customFormat="1" ht="12.75">
      <c r="A13" s="118"/>
      <c r="B13" s="123"/>
      <c r="C13" s="26"/>
      <c r="D13" s="26"/>
      <c r="E13" s="26"/>
      <c r="F13" s="26"/>
      <c r="G13" s="26"/>
      <c r="H13" s="26"/>
      <c r="I13" s="118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30"/>
    </row>
    <row r="14" spans="1:30" s="43" customFormat="1" ht="20.25">
      <c r="A14" s="137"/>
      <c r="B14" s="138"/>
      <c r="C14" s="124"/>
      <c r="D14" s="124"/>
      <c r="E14" s="124"/>
      <c r="F14" s="155" t="s">
        <v>43</v>
      </c>
      <c r="G14" s="19"/>
      <c r="H14" s="137"/>
      <c r="I14" s="137"/>
      <c r="J14" s="140"/>
      <c r="K14" s="124"/>
      <c r="L14" s="137"/>
      <c r="M14" s="137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39"/>
    </row>
    <row r="15" spans="1:30" s="7" customFormat="1" ht="12.75">
      <c r="A15" s="118"/>
      <c r="B15" s="123"/>
      <c r="C15" s="26"/>
      <c r="D15" s="26"/>
      <c r="E15" s="26"/>
      <c r="F15" s="126"/>
      <c r="G15" s="126"/>
      <c r="H15" s="126"/>
      <c r="I15" s="127"/>
      <c r="J15" s="12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30"/>
    </row>
    <row r="16" spans="1:30" s="50" customFormat="1" ht="19.5">
      <c r="A16" s="141"/>
      <c r="B16" s="149" t="str">
        <f>'TOT-0714'!B14</f>
        <v>Desde el 01 al 31 de julio de 2014</v>
      </c>
      <c r="C16" s="150"/>
      <c r="D16" s="150"/>
      <c r="E16" s="150"/>
      <c r="F16" s="150"/>
      <c r="G16" s="150"/>
      <c r="H16" s="150"/>
      <c r="I16" s="150"/>
      <c r="J16" s="150"/>
      <c r="K16" s="151"/>
      <c r="L16" s="152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3"/>
    </row>
    <row r="17" spans="1:30" s="7" customFormat="1" ht="14.25" thickBot="1">
      <c r="A17" s="118"/>
      <c r="B17" s="123"/>
      <c r="C17" s="26"/>
      <c r="D17" s="26"/>
      <c r="E17" s="26"/>
      <c r="F17" s="26"/>
      <c r="G17" s="26"/>
      <c r="H17" s="26"/>
      <c r="I17" s="128"/>
      <c r="J17" s="26"/>
      <c r="K17" s="134"/>
      <c r="L17" s="135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30"/>
    </row>
    <row r="18" spans="1:30" s="7" customFormat="1" ht="14.25" thickBot="1" thickTop="1">
      <c r="A18" s="118"/>
      <c r="B18" s="123"/>
      <c r="C18" s="26"/>
      <c r="D18" s="26"/>
      <c r="E18" s="26"/>
      <c r="F18" s="142" t="s">
        <v>44</v>
      </c>
      <c r="G18" s="143"/>
      <c r="H18" s="144"/>
      <c r="I18" s="145">
        <v>1.327</v>
      </c>
      <c r="J18" s="118"/>
      <c r="K18" s="26"/>
      <c r="L18" s="292"/>
      <c r="M18" s="29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30"/>
    </row>
    <row r="19" spans="1:30" s="7" customFormat="1" ht="14.25" thickBot="1" thickTop="1">
      <c r="A19" s="118"/>
      <c r="B19" s="123"/>
      <c r="C19" s="26"/>
      <c r="D19" s="26"/>
      <c r="E19" s="26"/>
      <c r="F19" s="146" t="s">
        <v>45</v>
      </c>
      <c r="G19" s="147"/>
      <c r="H19" s="147"/>
      <c r="I19" s="148">
        <f>30*'TOT-0714'!B13</f>
        <v>60</v>
      </c>
      <c r="J19" s="26"/>
      <c r="K19" s="172" t="str">
        <f>IF(I19=30," ",IF(I19=60,"  Coeficiente duplicado por tasa de falla &gt;4 Sal. x año/100 km.","REVISAR COEFICIENTE"))</f>
        <v>  Coeficiente duplicado por tasa de falla &gt;4 Sal. x año/100 km.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129"/>
      <c r="X19" s="129"/>
      <c r="Y19" s="129"/>
      <c r="Z19" s="129"/>
      <c r="AA19" s="129"/>
      <c r="AB19" s="129"/>
      <c r="AC19" s="129"/>
      <c r="AD19" s="30"/>
    </row>
    <row r="20" spans="1:30" s="7" customFormat="1" ht="14.25" thickBot="1" thickTop="1">
      <c r="A20" s="118"/>
      <c r="B20" s="123"/>
      <c r="C20" s="353">
        <v>3</v>
      </c>
      <c r="D20" s="353">
        <v>4</v>
      </c>
      <c r="E20" s="353">
        <v>5</v>
      </c>
      <c r="F20" s="353">
        <v>6</v>
      </c>
      <c r="G20" s="353">
        <v>7</v>
      </c>
      <c r="H20" s="353">
        <v>8</v>
      </c>
      <c r="I20" s="353">
        <v>9</v>
      </c>
      <c r="J20" s="353">
        <v>10</v>
      </c>
      <c r="K20" s="353">
        <v>11</v>
      </c>
      <c r="L20" s="353">
        <v>12</v>
      </c>
      <c r="M20" s="353">
        <v>13</v>
      </c>
      <c r="N20" s="353">
        <v>14</v>
      </c>
      <c r="O20" s="353">
        <v>15</v>
      </c>
      <c r="P20" s="353">
        <v>16</v>
      </c>
      <c r="Q20" s="353">
        <v>17</v>
      </c>
      <c r="R20" s="353">
        <v>18</v>
      </c>
      <c r="S20" s="353">
        <v>19</v>
      </c>
      <c r="T20" s="353">
        <v>20</v>
      </c>
      <c r="U20" s="353">
        <v>21</v>
      </c>
      <c r="V20" s="353">
        <v>22</v>
      </c>
      <c r="W20" s="353">
        <v>23</v>
      </c>
      <c r="X20" s="353">
        <v>24</v>
      </c>
      <c r="Y20" s="353">
        <v>25</v>
      </c>
      <c r="Z20" s="353">
        <v>26</v>
      </c>
      <c r="AA20" s="353">
        <v>27</v>
      </c>
      <c r="AB20" s="353">
        <v>28</v>
      </c>
      <c r="AC20" s="353">
        <v>29</v>
      </c>
      <c r="AD20" s="30"/>
    </row>
    <row r="21" spans="1:30" s="7" customFormat="1" ht="33.75" customHeight="1" thickBot="1" thickTop="1">
      <c r="A21" s="118"/>
      <c r="B21" s="123"/>
      <c r="C21" s="112" t="s">
        <v>22</v>
      </c>
      <c r="D21" s="112" t="s">
        <v>145</v>
      </c>
      <c r="E21" s="112" t="s">
        <v>144</v>
      </c>
      <c r="F21" s="157" t="s">
        <v>46</v>
      </c>
      <c r="G21" s="156" t="s">
        <v>47</v>
      </c>
      <c r="H21" s="158" t="s">
        <v>48</v>
      </c>
      <c r="I21" s="159" t="s">
        <v>23</v>
      </c>
      <c r="J21" s="174" t="s">
        <v>25</v>
      </c>
      <c r="K21" s="156" t="s">
        <v>26</v>
      </c>
      <c r="L21" s="156" t="s">
        <v>27</v>
      </c>
      <c r="M21" s="157" t="s">
        <v>49</v>
      </c>
      <c r="N21" s="157" t="s">
        <v>50</v>
      </c>
      <c r="O21" s="114" t="s">
        <v>30</v>
      </c>
      <c r="P21" s="156" t="s">
        <v>51</v>
      </c>
      <c r="Q21" s="157" t="s">
        <v>31</v>
      </c>
      <c r="R21" s="156" t="s">
        <v>52</v>
      </c>
      <c r="S21" s="240" t="s">
        <v>53</v>
      </c>
      <c r="T21" s="244" t="s">
        <v>32</v>
      </c>
      <c r="U21" s="250" t="s">
        <v>33</v>
      </c>
      <c r="V21" s="197" t="s">
        <v>54</v>
      </c>
      <c r="W21" s="199"/>
      <c r="X21" s="264" t="s">
        <v>55</v>
      </c>
      <c r="Y21" s="265"/>
      <c r="Z21" s="275" t="s">
        <v>36</v>
      </c>
      <c r="AA21" s="281" t="s">
        <v>37</v>
      </c>
      <c r="AB21" s="159" t="s">
        <v>38</v>
      </c>
      <c r="AC21" s="159" t="s">
        <v>39</v>
      </c>
      <c r="AD21" s="30"/>
    </row>
    <row r="22" spans="1:30" s="7" customFormat="1" ht="15.75" thickTop="1">
      <c r="A22" s="118"/>
      <c r="B22" s="123"/>
      <c r="C22" s="319"/>
      <c r="D22" s="319"/>
      <c r="E22" s="319"/>
      <c r="F22" s="320"/>
      <c r="G22" s="321"/>
      <c r="H22" s="321"/>
      <c r="I22" s="321"/>
      <c r="J22" s="178"/>
      <c r="K22" s="326"/>
      <c r="L22" s="321"/>
      <c r="M22" s="21"/>
      <c r="N22" s="21"/>
      <c r="O22" s="321"/>
      <c r="P22" s="321"/>
      <c r="Q22" s="321"/>
      <c r="R22" s="321"/>
      <c r="S22" s="241"/>
      <c r="T22" s="245"/>
      <c r="U22" s="251"/>
      <c r="V22" s="262"/>
      <c r="W22" s="256"/>
      <c r="X22" s="266"/>
      <c r="Y22" s="267"/>
      <c r="Z22" s="276"/>
      <c r="AA22" s="282"/>
      <c r="AB22" s="20"/>
      <c r="AC22" s="31">
        <f>'T-07 (1)'!AC45</f>
        <v>137300.57</v>
      </c>
      <c r="AD22" s="30"/>
    </row>
    <row r="23" spans="1:30" s="7" customFormat="1" ht="15">
      <c r="A23" s="118"/>
      <c r="B23" s="123"/>
      <c r="C23" s="319"/>
      <c r="D23" s="319"/>
      <c r="E23" s="319"/>
      <c r="F23" s="322"/>
      <c r="G23" s="323"/>
      <c r="H23" s="323"/>
      <c r="I23" s="323"/>
      <c r="J23" s="179"/>
      <c r="K23" s="322"/>
      <c r="L23" s="323"/>
      <c r="M23" s="17"/>
      <c r="N23" s="17"/>
      <c r="O23" s="323"/>
      <c r="P23" s="323"/>
      <c r="Q23" s="323"/>
      <c r="R23" s="323"/>
      <c r="S23" s="242"/>
      <c r="T23" s="246"/>
      <c r="U23" s="252"/>
      <c r="V23" s="263"/>
      <c r="W23" s="260"/>
      <c r="X23" s="268"/>
      <c r="Y23" s="269"/>
      <c r="Z23" s="277"/>
      <c r="AA23" s="283"/>
      <c r="AB23" s="16"/>
      <c r="AC23" s="27"/>
      <c r="AD23" s="30"/>
    </row>
    <row r="24" spans="1:30" s="7" customFormat="1" ht="15">
      <c r="A24" s="118"/>
      <c r="B24" s="123"/>
      <c r="C24" s="319">
        <v>52</v>
      </c>
      <c r="D24" s="319">
        <v>276860</v>
      </c>
      <c r="E24" s="319">
        <v>4956</v>
      </c>
      <c r="F24" s="304" t="s">
        <v>218</v>
      </c>
      <c r="G24" s="298" t="s">
        <v>186</v>
      </c>
      <c r="H24" s="354">
        <v>10</v>
      </c>
      <c r="I24" s="305" t="s">
        <v>184</v>
      </c>
      <c r="J24" s="176">
        <f aca="true" t="shared" si="0" ref="J24:J30">H24*$I$18</f>
        <v>13.27</v>
      </c>
      <c r="K24" s="327">
        <v>41834.81180555555</v>
      </c>
      <c r="L24" s="327">
        <v>41834.813888888886</v>
      </c>
      <c r="M24" s="23">
        <f aca="true" t="shared" si="1" ref="M24:M31">IF(F24="","",(L24-K24)*24)</f>
        <v>0.04999999998835847</v>
      </c>
      <c r="N24" s="24">
        <f aca="true" t="shared" si="2" ref="N24:N31">IF(F24="","",ROUND((L24-K24)*24*60,0))</f>
        <v>3</v>
      </c>
      <c r="O24" s="328" t="s">
        <v>197</v>
      </c>
      <c r="P24" s="328" t="str">
        <f aca="true" t="shared" si="3" ref="P24:P30">IF(F24="","",IF(OR(O24="P",O24="RP"),"--","NO"))</f>
        <v>NO</v>
      </c>
      <c r="Q24" s="329">
        <v>40</v>
      </c>
      <c r="R24" s="328" t="s">
        <v>164</v>
      </c>
      <c r="S24" s="243">
        <f aca="true" t="shared" si="4" ref="S24:S31">$I$19*IF(R24="SI",1,0.1)*IF(OR(O24="P",O24="RP"),0.1,1)</f>
        <v>60</v>
      </c>
      <c r="T24" s="247" t="str">
        <f aca="true" t="shared" si="5" ref="T24:T31">IF(O24="P",J24*S24*ROUND(N24/60,2),"--")</f>
        <v>--</v>
      </c>
      <c r="U24" s="253" t="str">
        <f aca="true" t="shared" si="6" ref="U24:U31">IF(O24="RP",J24*S24*Q24/100*ROUND(N24/60,2),"--")</f>
        <v>--</v>
      </c>
      <c r="V24" s="200" t="str">
        <f aca="true" t="shared" si="7" ref="V24:V31">IF(AND(O24="F",P24="NO"),J24*S24,"--")</f>
        <v>--</v>
      </c>
      <c r="W24" s="261" t="str">
        <f aca="true" t="shared" si="8" ref="W24:W31">IF(O24="F",J24*S24*ROUND(N24/60,2),"--")</f>
        <v>--</v>
      </c>
      <c r="X24" s="270">
        <f aca="true" t="shared" si="9" ref="X24:X31">IF(AND(O24="R",P24="NO"),J24*S24*Q24/100,"--")</f>
        <v>318.47999999999996</v>
      </c>
      <c r="Y24" s="271">
        <f aca="true" t="shared" si="10" ref="Y24:Y31">IF(O24="R",J24*S24*ROUND(N24/60,2)*Q24/100,"--")</f>
        <v>15.924000000000001</v>
      </c>
      <c r="Z24" s="278" t="str">
        <f aca="true" t="shared" si="11" ref="Z24:Z31">IF(O24="RF",J24*S24*ROUND(N24/60,2),"--")</f>
        <v>--</v>
      </c>
      <c r="AA24" s="284" t="str">
        <f aca="true" t="shared" si="12" ref="AA24:AA31">IF(O24="RR",J24*S24*ROUND(N24/60,2)*Q24/100,"--")</f>
        <v>--</v>
      </c>
      <c r="AB24" s="22" t="s">
        <v>164</v>
      </c>
      <c r="AC24" s="27">
        <f aca="true" t="shared" si="13" ref="AC24:AC31">IF(F24="","",SUM(T24:AA24)*IF(AB24="SI",1,2))</f>
        <v>334.40399999999994</v>
      </c>
      <c r="AD24" s="288"/>
    </row>
    <row r="25" spans="1:30" s="7" customFormat="1" ht="15">
      <c r="A25" s="118"/>
      <c r="B25" s="123"/>
      <c r="C25" s="319">
        <v>53</v>
      </c>
      <c r="D25" s="319">
        <v>276861</v>
      </c>
      <c r="E25" s="319">
        <v>586</v>
      </c>
      <c r="F25" s="304" t="s">
        <v>198</v>
      </c>
      <c r="G25" s="298" t="s">
        <v>190</v>
      </c>
      <c r="H25" s="324">
        <v>15</v>
      </c>
      <c r="I25" s="305" t="s">
        <v>184</v>
      </c>
      <c r="J25" s="176">
        <f t="shared" si="0"/>
        <v>19.905</v>
      </c>
      <c r="K25" s="327">
        <v>41835.399305555555</v>
      </c>
      <c r="L25" s="327">
        <v>41835.51527777778</v>
      </c>
      <c r="M25" s="23">
        <f t="shared" si="1"/>
        <v>2.7833333333255723</v>
      </c>
      <c r="N25" s="24">
        <f t="shared" si="2"/>
        <v>167</v>
      </c>
      <c r="O25" s="328" t="s">
        <v>163</v>
      </c>
      <c r="P25" s="328" t="str">
        <f t="shared" si="3"/>
        <v>--</v>
      </c>
      <c r="Q25" s="328" t="s">
        <v>185</v>
      </c>
      <c r="R25" s="328" t="s">
        <v>212</v>
      </c>
      <c r="S25" s="243">
        <f t="shared" si="4"/>
        <v>0.6000000000000001</v>
      </c>
      <c r="T25" s="247">
        <f t="shared" si="5"/>
        <v>33.20154000000001</v>
      </c>
      <c r="U25" s="253" t="str">
        <f t="shared" si="6"/>
        <v>--</v>
      </c>
      <c r="V25" s="200" t="str">
        <f t="shared" si="7"/>
        <v>--</v>
      </c>
      <c r="W25" s="261" t="str">
        <f t="shared" si="8"/>
        <v>--</v>
      </c>
      <c r="X25" s="270" t="str">
        <f t="shared" si="9"/>
        <v>--</v>
      </c>
      <c r="Y25" s="271" t="str">
        <f t="shared" si="10"/>
        <v>--</v>
      </c>
      <c r="Z25" s="278" t="str">
        <f t="shared" si="11"/>
        <v>--</v>
      </c>
      <c r="AA25" s="284" t="str">
        <f t="shared" si="12"/>
        <v>--</v>
      </c>
      <c r="AB25" s="22" t="s">
        <v>164</v>
      </c>
      <c r="AC25" s="27">
        <f t="shared" si="13"/>
        <v>33.20154000000001</v>
      </c>
      <c r="AD25" s="288"/>
    </row>
    <row r="26" spans="1:30" s="7" customFormat="1" ht="15">
      <c r="A26" s="118"/>
      <c r="B26" s="123"/>
      <c r="C26" s="319">
        <v>54</v>
      </c>
      <c r="D26" s="319">
        <v>276862</v>
      </c>
      <c r="E26" s="319">
        <v>4867</v>
      </c>
      <c r="F26" s="304" t="s">
        <v>219</v>
      </c>
      <c r="G26" s="298" t="s">
        <v>186</v>
      </c>
      <c r="H26" s="354">
        <v>30</v>
      </c>
      <c r="I26" s="305" t="s">
        <v>184</v>
      </c>
      <c r="J26" s="176">
        <f t="shared" si="0"/>
        <v>39.81</v>
      </c>
      <c r="K26" s="327">
        <v>41836.66736111111</v>
      </c>
      <c r="L26" s="327">
        <v>41836.68472222222</v>
      </c>
      <c r="M26" s="23">
        <f t="shared" si="1"/>
        <v>0.41666666662786156</v>
      </c>
      <c r="N26" s="24">
        <f t="shared" si="2"/>
        <v>25</v>
      </c>
      <c r="O26" s="328" t="s">
        <v>173</v>
      </c>
      <c r="P26" s="328" t="str">
        <f t="shared" si="3"/>
        <v>NO</v>
      </c>
      <c r="Q26" s="328" t="s">
        <v>185</v>
      </c>
      <c r="R26" s="328" t="s">
        <v>164</v>
      </c>
      <c r="S26" s="243">
        <f t="shared" si="4"/>
        <v>60</v>
      </c>
      <c r="T26" s="247" t="str">
        <f t="shared" si="5"/>
        <v>--</v>
      </c>
      <c r="U26" s="253" t="str">
        <f t="shared" si="6"/>
        <v>--</v>
      </c>
      <c r="V26" s="200">
        <f t="shared" si="7"/>
        <v>2388.6000000000004</v>
      </c>
      <c r="W26" s="261">
        <f t="shared" si="8"/>
        <v>1003.2120000000001</v>
      </c>
      <c r="X26" s="270" t="str">
        <f t="shared" si="9"/>
        <v>--</v>
      </c>
      <c r="Y26" s="271" t="str">
        <f t="shared" si="10"/>
        <v>--</v>
      </c>
      <c r="Z26" s="278" t="str">
        <f t="shared" si="11"/>
        <v>--</v>
      </c>
      <c r="AA26" s="284" t="str">
        <f t="shared" si="12"/>
        <v>--</v>
      </c>
      <c r="AB26" s="22" t="s">
        <v>164</v>
      </c>
      <c r="AC26" s="27">
        <f t="shared" si="13"/>
        <v>3391.8120000000004</v>
      </c>
      <c r="AD26" s="288"/>
    </row>
    <row r="27" spans="1:30" s="7" customFormat="1" ht="15">
      <c r="A27" s="118"/>
      <c r="B27" s="123"/>
      <c r="C27" s="319">
        <v>55</v>
      </c>
      <c r="D27" s="319">
        <v>276867</v>
      </c>
      <c r="E27" s="319">
        <v>3786</v>
      </c>
      <c r="F27" s="304" t="s">
        <v>198</v>
      </c>
      <c r="G27" s="298" t="s">
        <v>186</v>
      </c>
      <c r="H27" s="324">
        <v>30</v>
      </c>
      <c r="I27" s="305" t="s">
        <v>184</v>
      </c>
      <c r="J27" s="176">
        <f t="shared" si="0"/>
        <v>39.81</v>
      </c>
      <c r="K27" s="327">
        <v>41837.40625</v>
      </c>
      <c r="L27" s="327">
        <v>41837.49791666667</v>
      </c>
      <c r="M27" s="23">
        <f t="shared" si="1"/>
        <v>2.2000000000116415</v>
      </c>
      <c r="N27" s="24">
        <f t="shared" si="2"/>
        <v>132</v>
      </c>
      <c r="O27" s="328" t="s">
        <v>163</v>
      </c>
      <c r="P27" s="328" t="str">
        <f t="shared" si="3"/>
        <v>--</v>
      </c>
      <c r="Q27" s="328" t="s">
        <v>185</v>
      </c>
      <c r="R27" s="328" t="s">
        <v>212</v>
      </c>
      <c r="S27" s="243">
        <f t="shared" si="4"/>
        <v>0.6000000000000001</v>
      </c>
      <c r="T27" s="247">
        <f t="shared" si="5"/>
        <v>52.54920000000002</v>
      </c>
      <c r="U27" s="253" t="str">
        <f t="shared" si="6"/>
        <v>--</v>
      </c>
      <c r="V27" s="200" t="str">
        <f t="shared" si="7"/>
        <v>--</v>
      </c>
      <c r="W27" s="261" t="str">
        <f t="shared" si="8"/>
        <v>--</v>
      </c>
      <c r="X27" s="270" t="str">
        <f t="shared" si="9"/>
        <v>--</v>
      </c>
      <c r="Y27" s="271" t="str">
        <f t="shared" si="10"/>
        <v>--</v>
      </c>
      <c r="Z27" s="278" t="str">
        <f t="shared" si="11"/>
        <v>--</v>
      </c>
      <c r="AA27" s="284" t="str">
        <f t="shared" si="12"/>
        <v>--</v>
      </c>
      <c r="AB27" s="22" t="s">
        <v>164</v>
      </c>
      <c r="AC27" s="27">
        <f t="shared" si="13"/>
        <v>52.54920000000002</v>
      </c>
      <c r="AD27" s="288"/>
    </row>
    <row r="28" spans="1:30" s="7" customFormat="1" ht="15">
      <c r="A28" s="118"/>
      <c r="B28" s="123"/>
      <c r="C28" s="319">
        <v>56</v>
      </c>
      <c r="D28" s="319">
        <v>276868</v>
      </c>
      <c r="E28" s="319">
        <v>4993</v>
      </c>
      <c r="F28" s="304" t="s">
        <v>205</v>
      </c>
      <c r="G28" s="298" t="s">
        <v>190</v>
      </c>
      <c r="H28" s="354">
        <v>15</v>
      </c>
      <c r="I28" s="305" t="s">
        <v>184</v>
      </c>
      <c r="J28" s="176">
        <f t="shared" si="0"/>
        <v>19.905</v>
      </c>
      <c r="K28" s="327">
        <v>41840.33888888889</v>
      </c>
      <c r="L28" s="327">
        <v>41840.501388888886</v>
      </c>
      <c r="M28" s="23">
        <f t="shared" si="1"/>
        <v>3.8999999999650754</v>
      </c>
      <c r="N28" s="24">
        <f t="shared" si="2"/>
        <v>234</v>
      </c>
      <c r="O28" s="328" t="s">
        <v>163</v>
      </c>
      <c r="P28" s="328" t="str">
        <f t="shared" si="3"/>
        <v>--</v>
      </c>
      <c r="Q28" s="328" t="s">
        <v>185</v>
      </c>
      <c r="R28" s="328" t="s">
        <v>212</v>
      </c>
      <c r="S28" s="243">
        <f t="shared" si="4"/>
        <v>0.6000000000000001</v>
      </c>
      <c r="T28" s="247">
        <f t="shared" si="5"/>
        <v>46.577700000000014</v>
      </c>
      <c r="U28" s="253" t="str">
        <f t="shared" si="6"/>
        <v>--</v>
      </c>
      <c r="V28" s="200" t="str">
        <f t="shared" si="7"/>
        <v>--</v>
      </c>
      <c r="W28" s="261" t="str">
        <f t="shared" si="8"/>
        <v>--</v>
      </c>
      <c r="X28" s="270" t="str">
        <f t="shared" si="9"/>
        <v>--</v>
      </c>
      <c r="Y28" s="271" t="str">
        <f t="shared" si="10"/>
        <v>--</v>
      </c>
      <c r="Z28" s="278" t="str">
        <f t="shared" si="11"/>
        <v>--</v>
      </c>
      <c r="AA28" s="284" t="str">
        <f t="shared" si="12"/>
        <v>--</v>
      </c>
      <c r="AB28" s="22" t="s">
        <v>164</v>
      </c>
      <c r="AC28" s="27">
        <f t="shared" si="13"/>
        <v>46.577700000000014</v>
      </c>
      <c r="AD28" s="288"/>
    </row>
    <row r="29" spans="1:30" s="7" customFormat="1" ht="15">
      <c r="A29" s="118"/>
      <c r="B29" s="123"/>
      <c r="C29" s="319">
        <v>57</v>
      </c>
      <c r="D29" s="319">
        <v>276869</v>
      </c>
      <c r="E29" s="319">
        <v>565</v>
      </c>
      <c r="F29" s="304" t="s">
        <v>205</v>
      </c>
      <c r="G29" s="298" t="s">
        <v>186</v>
      </c>
      <c r="H29" s="324">
        <v>30</v>
      </c>
      <c r="I29" s="305" t="s">
        <v>184</v>
      </c>
      <c r="J29" s="176">
        <f t="shared" si="0"/>
        <v>39.81</v>
      </c>
      <c r="K29" s="327">
        <v>41840.34166666667</v>
      </c>
      <c r="L29" s="327">
        <v>41840.50347222222</v>
      </c>
      <c r="M29" s="23">
        <f t="shared" si="1"/>
        <v>3.8833333332440816</v>
      </c>
      <c r="N29" s="24">
        <f t="shared" si="2"/>
        <v>233</v>
      </c>
      <c r="O29" s="328" t="s">
        <v>163</v>
      </c>
      <c r="P29" s="328" t="str">
        <f t="shared" si="3"/>
        <v>--</v>
      </c>
      <c r="Q29" s="328" t="s">
        <v>185</v>
      </c>
      <c r="R29" s="328" t="s">
        <v>212</v>
      </c>
      <c r="S29" s="243">
        <f t="shared" si="4"/>
        <v>0.6000000000000001</v>
      </c>
      <c r="T29" s="247">
        <f t="shared" si="5"/>
        <v>92.67768000000002</v>
      </c>
      <c r="U29" s="253" t="str">
        <f t="shared" si="6"/>
        <v>--</v>
      </c>
      <c r="V29" s="200" t="str">
        <f t="shared" si="7"/>
        <v>--</v>
      </c>
      <c r="W29" s="261" t="str">
        <f t="shared" si="8"/>
        <v>--</v>
      </c>
      <c r="X29" s="270" t="str">
        <f t="shared" si="9"/>
        <v>--</v>
      </c>
      <c r="Y29" s="271" t="str">
        <f t="shared" si="10"/>
        <v>--</v>
      </c>
      <c r="Z29" s="278" t="str">
        <f t="shared" si="11"/>
        <v>--</v>
      </c>
      <c r="AA29" s="284" t="str">
        <f t="shared" si="12"/>
        <v>--</v>
      </c>
      <c r="AB29" s="22" t="s">
        <v>164</v>
      </c>
      <c r="AC29" s="27">
        <f t="shared" si="13"/>
        <v>92.67768000000002</v>
      </c>
      <c r="AD29" s="288"/>
    </row>
    <row r="30" spans="1:30" s="7" customFormat="1" ht="15">
      <c r="A30" s="118"/>
      <c r="B30" s="123"/>
      <c r="C30" s="319">
        <v>58</v>
      </c>
      <c r="D30" s="319">
        <v>276876</v>
      </c>
      <c r="E30" s="319">
        <v>4484</v>
      </c>
      <c r="F30" s="304" t="s">
        <v>206</v>
      </c>
      <c r="G30" s="298" t="s">
        <v>183</v>
      </c>
      <c r="H30" s="324">
        <v>30</v>
      </c>
      <c r="I30" s="305" t="s">
        <v>184</v>
      </c>
      <c r="J30" s="176">
        <f t="shared" si="0"/>
        <v>39.81</v>
      </c>
      <c r="K30" s="327">
        <v>41840.37986111111</v>
      </c>
      <c r="L30" s="327">
        <v>41840.69861111111</v>
      </c>
      <c r="M30" s="23">
        <f t="shared" si="1"/>
        <v>7.649999999965075</v>
      </c>
      <c r="N30" s="24">
        <f t="shared" si="2"/>
        <v>459</v>
      </c>
      <c r="O30" s="328" t="s">
        <v>163</v>
      </c>
      <c r="P30" s="328" t="str">
        <f t="shared" si="3"/>
        <v>--</v>
      </c>
      <c r="Q30" s="328" t="s">
        <v>185</v>
      </c>
      <c r="R30" s="328" t="s">
        <v>164</v>
      </c>
      <c r="S30" s="243">
        <f t="shared" si="4"/>
        <v>6</v>
      </c>
      <c r="T30" s="247">
        <f t="shared" si="5"/>
        <v>1827.2790000000002</v>
      </c>
      <c r="U30" s="253" t="str">
        <f t="shared" si="6"/>
        <v>--</v>
      </c>
      <c r="V30" s="200" t="str">
        <f t="shared" si="7"/>
        <v>--</v>
      </c>
      <c r="W30" s="261" t="str">
        <f t="shared" si="8"/>
        <v>--</v>
      </c>
      <c r="X30" s="270" t="str">
        <f t="shared" si="9"/>
        <v>--</v>
      </c>
      <c r="Y30" s="271" t="str">
        <f t="shared" si="10"/>
        <v>--</v>
      </c>
      <c r="Z30" s="278" t="str">
        <f t="shared" si="11"/>
        <v>--</v>
      </c>
      <c r="AA30" s="284" t="str">
        <f t="shared" si="12"/>
        <v>--</v>
      </c>
      <c r="AB30" s="22" t="s">
        <v>164</v>
      </c>
      <c r="AC30" s="27">
        <f t="shared" si="13"/>
        <v>1827.2790000000002</v>
      </c>
      <c r="AD30" s="288"/>
    </row>
    <row r="31" spans="1:30" s="7" customFormat="1" ht="15">
      <c r="A31" s="118"/>
      <c r="B31" s="123"/>
      <c r="C31" s="319">
        <v>59</v>
      </c>
      <c r="D31" s="319">
        <v>276886</v>
      </c>
      <c r="E31" s="319">
        <v>3628</v>
      </c>
      <c r="F31" s="304" t="s">
        <v>207</v>
      </c>
      <c r="G31" s="298" t="s">
        <v>191</v>
      </c>
      <c r="H31" s="324">
        <v>30</v>
      </c>
      <c r="I31" s="305" t="s">
        <v>184</v>
      </c>
      <c r="J31" s="176">
        <f>H31*$I$18</f>
        <v>39.81</v>
      </c>
      <c r="K31" s="327">
        <v>41840.38263888889</v>
      </c>
      <c r="L31" s="327">
        <v>41840.42361111111</v>
      </c>
      <c r="M31" s="23">
        <f t="shared" si="1"/>
        <v>0.9833333332207985</v>
      </c>
      <c r="N31" s="24">
        <f t="shared" si="2"/>
        <v>59</v>
      </c>
      <c r="O31" s="328" t="s">
        <v>163</v>
      </c>
      <c r="P31" s="328" t="str">
        <f>IF(F31="","",IF(OR(O31="P",O31="RP"),"--","NO"))</f>
        <v>--</v>
      </c>
      <c r="Q31" s="328" t="s">
        <v>185</v>
      </c>
      <c r="R31" s="328" t="s">
        <v>164</v>
      </c>
      <c r="S31" s="243">
        <f t="shared" si="4"/>
        <v>6</v>
      </c>
      <c r="T31" s="247">
        <f t="shared" si="5"/>
        <v>234.08280000000002</v>
      </c>
      <c r="U31" s="253" t="str">
        <f t="shared" si="6"/>
        <v>--</v>
      </c>
      <c r="V31" s="200" t="str">
        <f t="shared" si="7"/>
        <v>--</v>
      </c>
      <c r="W31" s="261" t="str">
        <f t="shared" si="8"/>
        <v>--</v>
      </c>
      <c r="X31" s="270" t="str">
        <f t="shared" si="9"/>
        <v>--</v>
      </c>
      <c r="Y31" s="271" t="str">
        <f t="shared" si="10"/>
        <v>--</v>
      </c>
      <c r="Z31" s="278" t="str">
        <f t="shared" si="11"/>
        <v>--</v>
      </c>
      <c r="AA31" s="284" t="str">
        <f t="shared" si="12"/>
        <v>--</v>
      </c>
      <c r="AB31" s="22" t="s">
        <v>164</v>
      </c>
      <c r="AC31" s="27">
        <f t="shared" si="13"/>
        <v>234.08280000000002</v>
      </c>
      <c r="AD31" s="288"/>
    </row>
    <row r="32" spans="1:30" s="7" customFormat="1" ht="15">
      <c r="A32" s="118"/>
      <c r="B32" s="123"/>
      <c r="C32" s="319">
        <v>60</v>
      </c>
      <c r="D32" s="319">
        <v>276888</v>
      </c>
      <c r="E32" s="319">
        <v>3628</v>
      </c>
      <c r="F32" s="304" t="s">
        <v>207</v>
      </c>
      <c r="G32" s="298" t="s">
        <v>191</v>
      </c>
      <c r="H32" s="324">
        <v>30</v>
      </c>
      <c r="I32" s="305" t="s">
        <v>184</v>
      </c>
      <c r="J32" s="176">
        <f aca="true" t="shared" si="14" ref="J32:J39">H32*$I$18</f>
        <v>39.81</v>
      </c>
      <c r="K32" s="327">
        <v>41840.65</v>
      </c>
      <c r="L32" s="327">
        <v>41840.69375</v>
      </c>
      <c r="M32" s="23">
        <f aca="true" t="shared" si="15" ref="M32:M39">IF(F32="","",(L32-K32)*24)</f>
        <v>1.0499999999301508</v>
      </c>
      <c r="N32" s="24">
        <f aca="true" t="shared" si="16" ref="N32:N39">IF(F32="","",ROUND((L32-K32)*24*60,0))</f>
        <v>63</v>
      </c>
      <c r="O32" s="328" t="s">
        <v>163</v>
      </c>
      <c r="P32" s="328" t="str">
        <f aca="true" t="shared" si="17" ref="P32:P39">IF(F32="","",IF(OR(O32="P",O32="RP"),"--","NO"))</f>
        <v>--</v>
      </c>
      <c r="Q32" s="328" t="s">
        <v>185</v>
      </c>
      <c r="R32" s="328" t="s">
        <v>164</v>
      </c>
      <c r="S32" s="243">
        <f aca="true" t="shared" si="18" ref="S32:S39">$I$19*IF(R32="SI",1,0.1)*IF(OR(O32="P",O32="RP"),0.1,1)</f>
        <v>6</v>
      </c>
      <c r="T32" s="247">
        <f aca="true" t="shared" si="19" ref="T32:T39">IF(O32="P",J32*S32*ROUND(N32/60,2),"--")</f>
        <v>250.80300000000003</v>
      </c>
      <c r="U32" s="253" t="str">
        <f aca="true" t="shared" si="20" ref="U32:U39">IF(O32="RP",J32*S32*Q32/100*ROUND(N32/60,2),"--")</f>
        <v>--</v>
      </c>
      <c r="V32" s="200" t="str">
        <f aca="true" t="shared" si="21" ref="V32:V39">IF(AND(O32="F",P32="NO"),J32*S32,"--")</f>
        <v>--</v>
      </c>
      <c r="W32" s="261" t="str">
        <f aca="true" t="shared" si="22" ref="W32:W39">IF(O32="F",J32*S32*ROUND(N32/60,2),"--")</f>
        <v>--</v>
      </c>
      <c r="X32" s="270" t="str">
        <f aca="true" t="shared" si="23" ref="X32:X39">IF(AND(O32="R",P32="NO"),J32*S32*Q32/100,"--")</f>
        <v>--</v>
      </c>
      <c r="Y32" s="271" t="str">
        <f aca="true" t="shared" si="24" ref="Y32:Y39">IF(O32="R",J32*S32*ROUND(N32/60,2)*Q32/100,"--")</f>
        <v>--</v>
      </c>
      <c r="Z32" s="278" t="str">
        <f aca="true" t="shared" si="25" ref="Z32:Z39">IF(O32="RF",J32*S32*ROUND(N32/60,2),"--")</f>
        <v>--</v>
      </c>
      <c r="AA32" s="284" t="str">
        <f aca="true" t="shared" si="26" ref="AA32:AA39">IF(O32="RR",J32*S32*ROUND(N32/60,2)*Q32/100,"--")</f>
        <v>--</v>
      </c>
      <c r="AB32" s="22" t="s">
        <v>164</v>
      </c>
      <c r="AC32" s="27">
        <f aca="true" t="shared" si="27" ref="AC32:AC39">IF(F32="","",SUM(T32:AA32)*IF(AB32="SI",1,2))</f>
        <v>250.80300000000003</v>
      </c>
      <c r="AD32" s="288"/>
    </row>
    <row r="33" spans="1:30" s="7" customFormat="1" ht="15">
      <c r="A33" s="118"/>
      <c r="B33" s="123"/>
      <c r="C33" s="319">
        <v>61</v>
      </c>
      <c r="D33" s="319">
        <v>277079</v>
      </c>
      <c r="E33" s="319">
        <v>4062</v>
      </c>
      <c r="F33" s="304" t="s">
        <v>208</v>
      </c>
      <c r="G33" s="298" t="s">
        <v>190</v>
      </c>
      <c r="H33" s="324">
        <v>30</v>
      </c>
      <c r="I33" s="305" t="s">
        <v>184</v>
      </c>
      <c r="J33" s="176">
        <f t="shared" si="14"/>
        <v>39.81</v>
      </c>
      <c r="K33" s="327">
        <v>41841.9875</v>
      </c>
      <c r="L33" s="327">
        <v>41842.029861111114</v>
      </c>
      <c r="M33" s="23">
        <f t="shared" si="15"/>
        <v>1.0166666666627862</v>
      </c>
      <c r="N33" s="24">
        <f t="shared" si="16"/>
        <v>61</v>
      </c>
      <c r="O33" s="328" t="s">
        <v>197</v>
      </c>
      <c r="P33" s="328" t="str">
        <f t="shared" si="17"/>
        <v>NO</v>
      </c>
      <c r="Q33" s="329">
        <v>60</v>
      </c>
      <c r="R33" s="328" t="s">
        <v>164</v>
      </c>
      <c r="S33" s="243">
        <f t="shared" si="18"/>
        <v>60</v>
      </c>
      <c r="T33" s="247" t="str">
        <f t="shared" si="19"/>
        <v>--</v>
      </c>
      <c r="U33" s="253" t="str">
        <f t="shared" si="20"/>
        <v>--</v>
      </c>
      <c r="V33" s="200" t="str">
        <f t="shared" si="21"/>
        <v>--</v>
      </c>
      <c r="W33" s="261" t="str">
        <f t="shared" si="22"/>
        <v>--</v>
      </c>
      <c r="X33" s="270">
        <f t="shared" si="23"/>
        <v>1433.1600000000003</v>
      </c>
      <c r="Y33" s="271">
        <f t="shared" si="24"/>
        <v>1461.8232</v>
      </c>
      <c r="Z33" s="278" t="str">
        <f t="shared" si="25"/>
        <v>--</v>
      </c>
      <c r="AA33" s="284" t="str">
        <f t="shared" si="26"/>
        <v>--</v>
      </c>
      <c r="AB33" s="22" t="s">
        <v>164</v>
      </c>
      <c r="AC33" s="27">
        <f t="shared" si="27"/>
        <v>2894.9832000000006</v>
      </c>
      <c r="AD33" s="288"/>
    </row>
    <row r="34" spans="1:30" s="7" customFormat="1" ht="15">
      <c r="A34" s="118"/>
      <c r="B34" s="123"/>
      <c r="C34" s="319">
        <v>62</v>
      </c>
      <c r="D34" s="319">
        <v>277092</v>
      </c>
      <c r="E34" s="319">
        <v>2040</v>
      </c>
      <c r="F34" s="304" t="s">
        <v>193</v>
      </c>
      <c r="G34" s="298" t="s">
        <v>186</v>
      </c>
      <c r="H34" s="324">
        <v>30</v>
      </c>
      <c r="I34" s="305" t="s">
        <v>184</v>
      </c>
      <c r="J34" s="176">
        <f t="shared" si="14"/>
        <v>39.81</v>
      </c>
      <c r="K34" s="327">
        <v>41844.54513888889</v>
      </c>
      <c r="L34" s="327">
        <v>41844.55</v>
      </c>
      <c r="M34" s="23">
        <f t="shared" si="15"/>
        <v>0.11666666669771075</v>
      </c>
      <c r="N34" s="24">
        <f t="shared" si="16"/>
        <v>7</v>
      </c>
      <c r="O34" s="328" t="s">
        <v>197</v>
      </c>
      <c r="P34" s="328" t="str">
        <f t="shared" si="17"/>
        <v>NO</v>
      </c>
      <c r="Q34" s="329">
        <v>40</v>
      </c>
      <c r="R34" s="328" t="s">
        <v>164</v>
      </c>
      <c r="S34" s="243">
        <f t="shared" si="18"/>
        <v>60</v>
      </c>
      <c r="T34" s="247" t="str">
        <f t="shared" si="19"/>
        <v>--</v>
      </c>
      <c r="U34" s="253" t="str">
        <f t="shared" si="20"/>
        <v>--</v>
      </c>
      <c r="V34" s="200" t="str">
        <f t="shared" si="21"/>
        <v>--</v>
      </c>
      <c r="W34" s="261" t="str">
        <f t="shared" si="22"/>
        <v>--</v>
      </c>
      <c r="X34" s="270">
        <f t="shared" si="23"/>
        <v>955.4400000000002</v>
      </c>
      <c r="Y34" s="271">
        <f t="shared" si="24"/>
        <v>114.65280000000001</v>
      </c>
      <c r="Z34" s="278" t="str">
        <f t="shared" si="25"/>
        <v>--</v>
      </c>
      <c r="AA34" s="284" t="str">
        <f t="shared" si="26"/>
        <v>--</v>
      </c>
      <c r="AB34" s="22" t="s">
        <v>164</v>
      </c>
      <c r="AC34" s="27">
        <f t="shared" si="27"/>
        <v>1070.0928000000001</v>
      </c>
      <c r="AD34" s="288"/>
    </row>
    <row r="35" spans="1:30" s="7" customFormat="1" ht="15">
      <c r="A35" s="118"/>
      <c r="B35" s="123"/>
      <c r="C35" s="319">
        <v>63</v>
      </c>
      <c r="D35" s="319">
        <v>277095</v>
      </c>
      <c r="E35" s="319">
        <v>4479</v>
      </c>
      <c r="F35" s="304" t="s">
        <v>209</v>
      </c>
      <c r="G35" s="298" t="s">
        <v>186</v>
      </c>
      <c r="H35" s="324">
        <v>15</v>
      </c>
      <c r="I35" s="305" t="s">
        <v>189</v>
      </c>
      <c r="J35" s="176">
        <f t="shared" si="14"/>
        <v>19.905</v>
      </c>
      <c r="K35" s="327">
        <v>41845.44652777778</v>
      </c>
      <c r="L35" s="327">
        <v>41845.563888888886</v>
      </c>
      <c r="M35" s="23">
        <f t="shared" si="15"/>
        <v>2.816666666592937</v>
      </c>
      <c r="N35" s="24">
        <f t="shared" si="16"/>
        <v>169</v>
      </c>
      <c r="O35" s="328" t="s">
        <v>173</v>
      </c>
      <c r="P35" s="328" t="str">
        <f t="shared" si="17"/>
        <v>NO</v>
      </c>
      <c r="Q35" s="328" t="s">
        <v>185</v>
      </c>
      <c r="R35" s="328" t="s">
        <v>212</v>
      </c>
      <c r="S35" s="243">
        <f t="shared" si="18"/>
        <v>6</v>
      </c>
      <c r="T35" s="247" t="str">
        <f t="shared" si="19"/>
        <v>--</v>
      </c>
      <c r="U35" s="253" t="str">
        <f t="shared" si="20"/>
        <v>--</v>
      </c>
      <c r="V35" s="200">
        <f t="shared" si="21"/>
        <v>119.43</v>
      </c>
      <c r="W35" s="261">
        <f t="shared" si="22"/>
        <v>336.7926</v>
      </c>
      <c r="X35" s="270" t="str">
        <f t="shared" si="23"/>
        <v>--</v>
      </c>
      <c r="Y35" s="271" t="str">
        <f t="shared" si="24"/>
        <v>--</v>
      </c>
      <c r="Z35" s="278" t="str">
        <f t="shared" si="25"/>
        <v>--</v>
      </c>
      <c r="AA35" s="284" t="str">
        <f t="shared" si="26"/>
        <v>--</v>
      </c>
      <c r="AB35" s="22" t="s">
        <v>164</v>
      </c>
      <c r="AC35" s="27">
        <f t="shared" si="27"/>
        <v>456.2226</v>
      </c>
      <c r="AD35" s="288"/>
    </row>
    <row r="36" spans="1:30" s="7" customFormat="1" ht="15">
      <c r="A36" s="118"/>
      <c r="B36" s="123"/>
      <c r="C36" s="319">
        <v>64</v>
      </c>
      <c r="D36" s="319">
        <v>277096</v>
      </c>
      <c r="E36" s="319">
        <v>4480</v>
      </c>
      <c r="F36" s="304" t="s">
        <v>209</v>
      </c>
      <c r="G36" s="298" t="s">
        <v>190</v>
      </c>
      <c r="H36" s="324">
        <v>15</v>
      </c>
      <c r="I36" s="305" t="s">
        <v>189</v>
      </c>
      <c r="J36" s="176">
        <f t="shared" si="14"/>
        <v>19.905</v>
      </c>
      <c r="K36" s="327">
        <v>41845.44652777778</v>
      </c>
      <c r="L36" s="327">
        <v>41845.563888888886</v>
      </c>
      <c r="M36" s="23">
        <f t="shared" si="15"/>
        <v>2.816666666592937</v>
      </c>
      <c r="N36" s="24">
        <f t="shared" si="16"/>
        <v>169</v>
      </c>
      <c r="O36" s="328" t="s">
        <v>173</v>
      </c>
      <c r="P36" s="328" t="str">
        <f t="shared" si="17"/>
        <v>NO</v>
      </c>
      <c r="Q36" s="328" t="s">
        <v>185</v>
      </c>
      <c r="R36" s="328" t="s">
        <v>212</v>
      </c>
      <c r="S36" s="243">
        <f t="shared" si="18"/>
        <v>6</v>
      </c>
      <c r="T36" s="247" t="str">
        <f t="shared" si="19"/>
        <v>--</v>
      </c>
      <c r="U36" s="253" t="str">
        <f t="shared" si="20"/>
        <v>--</v>
      </c>
      <c r="V36" s="200">
        <f t="shared" si="21"/>
        <v>119.43</v>
      </c>
      <c r="W36" s="261">
        <f t="shared" si="22"/>
        <v>336.7926</v>
      </c>
      <c r="X36" s="270" t="str">
        <f t="shared" si="23"/>
        <v>--</v>
      </c>
      <c r="Y36" s="271" t="str">
        <f t="shared" si="24"/>
        <v>--</v>
      </c>
      <c r="Z36" s="278" t="str">
        <f t="shared" si="25"/>
        <v>--</v>
      </c>
      <c r="AA36" s="284" t="str">
        <f t="shared" si="26"/>
        <v>--</v>
      </c>
      <c r="AB36" s="22" t="s">
        <v>164</v>
      </c>
      <c r="AC36" s="27">
        <f t="shared" si="27"/>
        <v>456.2226</v>
      </c>
      <c r="AD36" s="288"/>
    </row>
    <row r="37" spans="1:30" s="7" customFormat="1" ht="15">
      <c r="A37" s="118"/>
      <c r="B37" s="123"/>
      <c r="C37" s="319">
        <v>65</v>
      </c>
      <c r="D37" s="319">
        <v>277098</v>
      </c>
      <c r="E37" s="319">
        <v>4309</v>
      </c>
      <c r="F37" s="304" t="s">
        <v>187</v>
      </c>
      <c r="G37" s="298" t="s">
        <v>188</v>
      </c>
      <c r="H37" s="324">
        <v>30</v>
      </c>
      <c r="I37" s="305" t="s">
        <v>184</v>
      </c>
      <c r="J37" s="176">
        <f t="shared" si="14"/>
        <v>39.81</v>
      </c>
      <c r="K37" s="327">
        <v>41847.39513888889</v>
      </c>
      <c r="L37" s="327">
        <v>41847.42847222222</v>
      </c>
      <c r="M37" s="23">
        <f t="shared" si="15"/>
        <v>0.7999999999883585</v>
      </c>
      <c r="N37" s="24">
        <f t="shared" si="16"/>
        <v>48</v>
      </c>
      <c r="O37" s="328" t="s">
        <v>163</v>
      </c>
      <c r="P37" s="328" t="str">
        <f t="shared" si="17"/>
        <v>--</v>
      </c>
      <c r="Q37" s="328" t="s">
        <v>185</v>
      </c>
      <c r="R37" s="328" t="s">
        <v>212</v>
      </c>
      <c r="S37" s="243">
        <f t="shared" si="18"/>
        <v>0.6000000000000001</v>
      </c>
      <c r="T37" s="247">
        <f t="shared" si="19"/>
        <v>19.108800000000006</v>
      </c>
      <c r="U37" s="253" t="str">
        <f t="shared" si="20"/>
        <v>--</v>
      </c>
      <c r="V37" s="200" t="str">
        <f t="shared" si="21"/>
        <v>--</v>
      </c>
      <c r="W37" s="261" t="str">
        <f t="shared" si="22"/>
        <v>--</v>
      </c>
      <c r="X37" s="270" t="str">
        <f t="shared" si="23"/>
        <v>--</v>
      </c>
      <c r="Y37" s="271" t="str">
        <f t="shared" si="24"/>
        <v>--</v>
      </c>
      <c r="Z37" s="278" t="str">
        <f t="shared" si="25"/>
        <v>--</v>
      </c>
      <c r="AA37" s="284" t="str">
        <f t="shared" si="26"/>
        <v>--</v>
      </c>
      <c r="AB37" s="22" t="s">
        <v>164</v>
      </c>
      <c r="AC37" s="27">
        <f t="shared" si="27"/>
        <v>19.108800000000006</v>
      </c>
      <c r="AD37" s="30"/>
    </row>
    <row r="38" spans="1:30" s="7" customFormat="1" ht="15">
      <c r="A38" s="118"/>
      <c r="B38" s="123"/>
      <c r="C38" s="319">
        <v>66</v>
      </c>
      <c r="D38" s="319">
        <v>277099</v>
      </c>
      <c r="E38" s="319">
        <v>565</v>
      </c>
      <c r="F38" s="304" t="s">
        <v>205</v>
      </c>
      <c r="G38" s="298" t="s">
        <v>186</v>
      </c>
      <c r="H38" s="324">
        <v>30</v>
      </c>
      <c r="I38" s="305" t="s">
        <v>184</v>
      </c>
      <c r="J38" s="176">
        <f t="shared" si="14"/>
        <v>39.81</v>
      </c>
      <c r="K38" s="327">
        <v>41847.407638888886</v>
      </c>
      <c r="L38" s="327">
        <v>41847.57638888889</v>
      </c>
      <c r="M38" s="23">
        <f t="shared" si="15"/>
        <v>4.050000000104774</v>
      </c>
      <c r="N38" s="24">
        <f t="shared" si="16"/>
        <v>243</v>
      </c>
      <c r="O38" s="328" t="s">
        <v>163</v>
      </c>
      <c r="P38" s="328" t="str">
        <f t="shared" si="17"/>
        <v>--</v>
      </c>
      <c r="Q38" s="328" t="s">
        <v>185</v>
      </c>
      <c r="R38" s="328" t="s">
        <v>212</v>
      </c>
      <c r="S38" s="243">
        <f t="shared" si="18"/>
        <v>0.6000000000000001</v>
      </c>
      <c r="T38" s="247">
        <f t="shared" si="19"/>
        <v>96.73830000000002</v>
      </c>
      <c r="U38" s="253" t="str">
        <f t="shared" si="20"/>
        <v>--</v>
      </c>
      <c r="V38" s="200" t="str">
        <f t="shared" si="21"/>
        <v>--</v>
      </c>
      <c r="W38" s="261" t="str">
        <f t="shared" si="22"/>
        <v>--</v>
      </c>
      <c r="X38" s="270" t="str">
        <f t="shared" si="23"/>
        <v>--</v>
      </c>
      <c r="Y38" s="271" t="str">
        <f t="shared" si="24"/>
        <v>--</v>
      </c>
      <c r="Z38" s="278" t="str">
        <f t="shared" si="25"/>
        <v>--</v>
      </c>
      <c r="AA38" s="284" t="str">
        <f t="shared" si="26"/>
        <v>--</v>
      </c>
      <c r="AB38" s="22" t="s">
        <v>164</v>
      </c>
      <c r="AC38" s="27">
        <f t="shared" si="27"/>
        <v>96.73830000000002</v>
      </c>
      <c r="AD38" s="30"/>
    </row>
    <row r="39" spans="1:30" s="7" customFormat="1" ht="15">
      <c r="A39" s="118"/>
      <c r="B39" s="123"/>
      <c r="C39" s="319">
        <v>67</v>
      </c>
      <c r="D39" s="319">
        <v>277289</v>
      </c>
      <c r="E39" s="319">
        <v>3105</v>
      </c>
      <c r="F39" s="304" t="s">
        <v>210</v>
      </c>
      <c r="G39" s="298" t="s">
        <v>190</v>
      </c>
      <c r="H39" s="324">
        <v>30</v>
      </c>
      <c r="I39" s="305" t="s">
        <v>184</v>
      </c>
      <c r="J39" s="176">
        <f t="shared" si="14"/>
        <v>39.81</v>
      </c>
      <c r="K39" s="327">
        <v>41848.4</v>
      </c>
      <c r="L39" s="327">
        <v>41851.99930555555</v>
      </c>
      <c r="M39" s="23">
        <f t="shared" si="15"/>
        <v>86.38333333324408</v>
      </c>
      <c r="N39" s="24">
        <f t="shared" si="16"/>
        <v>5183</v>
      </c>
      <c r="O39" s="328" t="s">
        <v>163</v>
      </c>
      <c r="P39" s="328" t="str">
        <f t="shared" si="17"/>
        <v>--</v>
      </c>
      <c r="Q39" s="328" t="s">
        <v>185</v>
      </c>
      <c r="R39" s="328" t="s">
        <v>212</v>
      </c>
      <c r="S39" s="243">
        <f t="shared" si="18"/>
        <v>0.6000000000000001</v>
      </c>
      <c r="T39" s="247">
        <f t="shared" si="19"/>
        <v>2063.2726800000005</v>
      </c>
      <c r="U39" s="253" t="str">
        <f t="shared" si="20"/>
        <v>--</v>
      </c>
      <c r="V39" s="200" t="str">
        <f t="shared" si="21"/>
        <v>--</v>
      </c>
      <c r="W39" s="261" t="str">
        <f t="shared" si="22"/>
        <v>--</v>
      </c>
      <c r="X39" s="270" t="str">
        <f t="shared" si="23"/>
        <v>--</v>
      </c>
      <c r="Y39" s="271" t="str">
        <f t="shared" si="24"/>
        <v>--</v>
      </c>
      <c r="Z39" s="278" t="str">
        <f t="shared" si="25"/>
        <v>--</v>
      </c>
      <c r="AA39" s="284" t="str">
        <f t="shared" si="26"/>
        <v>--</v>
      </c>
      <c r="AB39" s="22" t="s">
        <v>164</v>
      </c>
      <c r="AC39" s="27">
        <f t="shared" si="27"/>
        <v>2063.2726800000005</v>
      </c>
      <c r="AD39" s="30"/>
    </row>
    <row r="40" spans="1:30" s="7" customFormat="1" ht="15">
      <c r="A40" s="118"/>
      <c r="B40" s="123"/>
      <c r="C40" s="319"/>
      <c r="D40" s="319"/>
      <c r="E40" s="319"/>
      <c r="F40" s="304"/>
      <c r="G40" s="298"/>
      <c r="H40" s="324"/>
      <c r="I40" s="305"/>
      <c r="J40" s="176">
        <f>H40*$I$18</f>
        <v>0</v>
      </c>
      <c r="K40" s="327"/>
      <c r="L40" s="327"/>
      <c r="M40" s="23">
        <f>IF(F40="","",(L40-K40)*24)</f>
      </c>
      <c r="N40" s="24">
        <f>IF(F40="","",ROUND((L40-K40)*24*60,0))</f>
      </c>
      <c r="O40" s="328"/>
      <c r="P40" s="328">
        <f>IF(F40="","",IF(OR(O40="P",O40="RP"),"--","NO"))</f>
      </c>
      <c r="Q40" s="328"/>
      <c r="R40" s="328"/>
      <c r="S40" s="243">
        <f>$I$19*IF(R40="SI",1,0.1)*IF(OR(O40="P",O40="RP"),0.1,1)</f>
        <v>6</v>
      </c>
      <c r="T40" s="247" t="str">
        <f>IF(O40="P",J40*S40*ROUND(N40/60,2),"--")</f>
        <v>--</v>
      </c>
      <c r="U40" s="253" t="str">
        <f>IF(O40="RP",J40*S40*Q40/100*ROUND(N40/60,2),"--")</f>
        <v>--</v>
      </c>
      <c r="V40" s="200" t="str">
        <f>IF(AND(O40="F",P40="NO"),J40*S40,"--")</f>
        <v>--</v>
      </c>
      <c r="W40" s="261" t="str">
        <f>IF(O40="F",J40*S40*ROUND(N40/60,2),"--")</f>
        <v>--</v>
      </c>
      <c r="X40" s="270" t="str">
        <f>IF(AND(O40="R",P40="NO"),J40*S40*Q40/100,"--")</f>
        <v>--</v>
      </c>
      <c r="Y40" s="271" t="str">
        <f>IF(O40="R",J40*S40*ROUND(N40/60,2)*Q40/100,"--")</f>
        <v>--</v>
      </c>
      <c r="Z40" s="278" t="str">
        <f>IF(O40="RF",J40*S40*ROUND(N40/60,2),"--")</f>
        <v>--</v>
      </c>
      <c r="AA40" s="284" t="str">
        <f>IF(O40="RR",J40*S40*ROUND(N40/60,2)*Q40/100,"--")</f>
        <v>--</v>
      </c>
      <c r="AB40" s="22" t="s">
        <v>164</v>
      </c>
      <c r="AC40" s="27">
        <f>IF(F40="","",SUM(T40:AA40)*IF(AB40="SI",1,2))</f>
      </c>
      <c r="AD40" s="30"/>
    </row>
    <row r="41" spans="1:30" s="7" customFormat="1" ht="15">
      <c r="A41" s="118"/>
      <c r="B41" s="123"/>
      <c r="C41" s="319"/>
      <c r="D41" s="319"/>
      <c r="E41" s="319"/>
      <c r="F41" s="304"/>
      <c r="G41" s="298"/>
      <c r="H41" s="354"/>
      <c r="I41" s="305"/>
      <c r="J41" s="176">
        <f>H41*$I$18</f>
        <v>0</v>
      </c>
      <c r="K41" s="327"/>
      <c r="L41" s="327"/>
      <c r="M41" s="23">
        <f>IF(F41="","",(L41-K41)*24)</f>
      </c>
      <c r="N41" s="24">
        <f>IF(F41="","",ROUND((L41-K41)*24*60,0))</f>
      </c>
      <c r="O41" s="328"/>
      <c r="P41" s="328">
        <f>IF(F41="","",IF(OR(O41="P",O41="RP"),"--","NO"))</f>
      </c>
      <c r="Q41" s="328"/>
      <c r="R41" s="328"/>
      <c r="S41" s="243">
        <f>$I$19*IF(R41="SI",1,0.1)*IF(OR(O41="P",O41="RP"),0.1,1)</f>
        <v>6</v>
      </c>
      <c r="T41" s="247" t="str">
        <f>IF(O41="P",J41*S41*ROUND(N41/60,2),"--")</f>
        <v>--</v>
      </c>
      <c r="U41" s="253" t="str">
        <f>IF(O41="RP",J41*S41*Q41/100*ROUND(N41/60,2),"--")</f>
        <v>--</v>
      </c>
      <c r="V41" s="200" t="str">
        <f>IF(AND(O41="F",P41="NO"),J41*S41,"--")</f>
        <v>--</v>
      </c>
      <c r="W41" s="261" t="str">
        <f>IF(O41="F",J41*S41*ROUND(N41/60,2),"--")</f>
        <v>--</v>
      </c>
      <c r="X41" s="270" t="str">
        <f>IF(AND(O41="R",P41="NO"),J41*S41*Q41/100,"--")</f>
        <v>--</v>
      </c>
      <c r="Y41" s="271" t="str">
        <f>IF(O41="R",J41*S41*ROUND(N41/60,2)*Q41/100,"--")</f>
        <v>--</v>
      </c>
      <c r="Z41" s="278" t="str">
        <f>IF(O41="RF",J41*S41*ROUND(N41/60,2),"--")</f>
        <v>--</v>
      </c>
      <c r="AA41" s="284" t="str">
        <f>IF(O41="RR",J41*S41*ROUND(N41/60,2)*Q41/100,"--")</f>
        <v>--</v>
      </c>
      <c r="AB41" s="22" t="s">
        <v>164</v>
      </c>
      <c r="AC41" s="27">
        <f>IF(F41="","",SUM(T41:AA41)*IF(AB41="SI",1,2))</f>
      </c>
      <c r="AD41" s="30"/>
    </row>
    <row r="42" spans="1:30" s="7" customFormat="1" ht="15">
      <c r="A42" s="118"/>
      <c r="B42" s="123"/>
      <c r="C42" s="319"/>
      <c r="D42" s="319"/>
      <c r="E42" s="319"/>
      <c r="F42" s="304"/>
      <c r="G42" s="298"/>
      <c r="H42" s="324"/>
      <c r="I42" s="305"/>
      <c r="J42" s="176">
        <f>H42*$I$18</f>
        <v>0</v>
      </c>
      <c r="K42" s="327"/>
      <c r="L42" s="327"/>
      <c r="M42" s="23">
        <f>IF(F42="","",(L42-K42)*24)</f>
      </c>
      <c r="N42" s="24">
        <f>IF(F42="","",ROUND((L42-K42)*24*60,0))</f>
      </c>
      <c r="O42" s="328"/>
      <c r="P42" s="328">
        <f>IF(F42="","",IF(OR(O42="P",O42="RP"),"--","NO"))</f>
      </c>
      <c r="Q42" s="328"/>
      <c r="R42" s="328"/>
      <c r="S42" s="243">
        <f>$I$19*IF(R42="SI",1,0.1)*IF(OR(O42="P",O42="RP"),0.1,1)</f>
        <v>6</v>
      </c>
      <c r="T42" s="247" t="str">
        <f>IF(O42="P",J42*S42*ROUND(N42/60,2),"--")</f>
        <v>--</v>
      </c>
      <c r="U42" s="253" t="str">
        <f>IF(O42="RP",J42*S42*Q42/100*ROUND(N42/60,2),"--")</f>
        <v>--</v>
      </c>
      <c r="V42" s="200" t="str">
        <f>IF(AND(O42="F",P42="NO"),J42*S42,"--")</f>
        <v>--</v>
      </c>
      <c r="W42" s="261" t="str">
        <f>IF(O42="F",J42*S42*ROUND(N42/60,2),"--")</f>
        <v>--</v>
      </c>
      <c r="X42" s="270" t="str">
        <f>IF(AND(O42="R",P42="NO"),J42*S42*Q42/100,"--")</f>
        <v>--</v>
      </c>
      <c r="Y42" s="271" t="str">
        <f>IF(O42="R",J42*S42*ROUND(N42/60,2)*Q42/100,"--")</f>
        <v>--</v>
      </c>
      <c r="Z42" s="278" t="str">
        <f>IF(O42="RF",J42*S42*ROUND(N42/60,2),"--")</f>
        <v>--</v>
      </c>
      <c r="AA42" s="284" t="str">
        <f>IF(O42="RR",J42*S42*ROUND(N42/60,2)*Q42/100,"--")</f>
        <v>--</v>
      </c>
      <c r="AB42" s="22" t="s">
        <v>164</v>
      </c>
      <c r="AC42" s="27">
        <f>IF(F42="","",SUM(T42:AA42)*IF(AB42="SI",1,2))</f>
      </c>
      <c r="AD42" s="30"/>
    </row>
    <row r="43" spans="1:30" s="7" customFormat="1" ht="15">
      <c r="A43" s="118"/>
      <c r="B43" s="123"/>
      <c r="C43" s="319"/>
      <c r="D43" s="319"/>
      <c r="E43" s="319"/>
      <c r="F43" s="304"/>
      <c r="G43" s="298"/>
      <c r="H43" s="324"/>
      <c r="I43" s="305"/>
      <c r="J43" s="176">
        <f>H43*$I$18</f>
        <v>0</v>
      </c>
      <c r="K43" s="327"/>
      <c r="L43" s="327"/>
      <c r="M43" s="23">
        <f>IF(F43="","",(L43-K43)*24)</f>
      </c>
      <c r="N43" s="24">
        <f>IF(F43="","",ROUND((L43-K43)*24*60,0))</f>
      </c>
      <c r="O43" s="328"/>
      <c r="P43" s="328">
        <f>IF(F43="","",IF(OR(O43="P",O43="RP"),"--","NO"))</f>
      </c>
      <c r="Q43" s="328"/>
      <c r="R43" s="328"/>
      <c r="S43" s="243">
        <f>$I$19*IF(R43="SI",1,0.1)*IF(OR(O43="P",O43="RP"),0.1,1)</f>
        <v>6</v>
      </c>
      <c r="T43" s="247" t="str">
        <f>IF(O43="P",J43*S43*ROUND(N43/60,2),"--")</f>
        <v>--</v>
      </c>
      <c r="U43" s="253" t="str">
        <f>IF(O43="RP",J43*S43*Q43/100*ROUND(N43/60,2),"--")</f>
        <v>--</v>
      </c>
      <c r="V43" s="200" t="str">
        <f>IF(AND(O43="F",P43="NO"),J43*S43,"--")</f>
        <v>--</v>
      </c>
      <c r="W43" s="261" t="str">
        <f>IF(O43="F",J43*S43*ROUND(N43/60,2),"--")</f>
        <v>--</v>
      </c>
      <c r="X43" s="270" t="str">
        <f>IF(AND(O43="R",P43="NO"),J43*S43*Q43/100,"--")</f>
        <v>--</v>
      </c>
      <c r="Y43" s="271" t="str">
        <f>IF(O43="R",J43*S43*ROUND(N43/60,2)*Q43/100,"--")</f>
        <v>--</v>
      </c>
      <c r="Z43" s="278" t="str">
        <f>IF(O43="RF",J43*S43*ROUND(N43/60,2),"--")</f>
        <v>--</v>
      </c>
      <c r="AA43" s="284" t="str">
        <f>IF(O43="RR",J43*S43*ROUND(N43/60,2)*Q43/100,"--")</f>
        <v>--</v>
      </c>
      <c r="AB43" s="22" t="s">
        <v>164</v>
      </c>
      <c r="AC43" s="27">
        <f>IF(F43="","",SUM(T43:AA43)*IF(AB43="SI",1,2))</f>
      </c>
      <c r="AD43" s="30"/>
    </row>
    <row r="44" spans="1:30" s="7" customFormat="1" ht="15.75" thickBot="1">
      <c r="A44" s="118"/>
      <c r="B44" s="123"/>
      <c r="C44" s="325"/>
      <c r="D44" s="325"/>
      <c r="E44" s="325"/>
      <c r="F44" s="325"/>
      <c r="G44" s="325"/>
      <c r="H44" s="325"/>
      <c r="I44" s="325"/>
      <c r="J44" s="180"/>
      <c r="K44" s="325"/>
      <c r="L44" s="325"/>
      <c r="M44" s="25"/>
      <c r="N44" s="25"/>
      <c r="O44" s="325"/>
      <c r="P44" s="325"/>
      <c r="Q44" s="325"/>
      <c r="R44" s="325"/>
      <c r="S44" s="239"/>
      <c r="T44" s="248"/>
      <c r="U44" s="254"/>
      <c r="V44" s="257"/>
      <c r="W44" s="258"/>
      <c r="X44" s="272"/>
      <c r="Y44" s="273"/>
      <c r="Z44" s="279"/>
      <c r="AA44" s="285"/>
      <c r="AB44" s="25"/>
      <c r="AC44" s="181"/>
      <c r="AD44" s="30"/>
    </row>
    <row r="45" spans="1:30" s="7" customFormat="1" ht="17.25" thickBot="1" thickTop="1">
      <c r="A45" s="118"/>
      <c r="B45" s="123"/>
      <c r="C45" s="164" t="s">
        <v>40</v>
      </c>
      <c r="D45" s="490" t="s">
        <v>231</v>
      </c>
      <c r="E45" s="166"/>
      <c r="F45" s="165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49">
        <f aca="true" t="shared" si="28" ref="T45:AA45">SUM(T22:T44)</f>
        <v>4716.290700000001</v>
      </c>
      <c r="U45" s="255">
        <f t="shared" si="28"/>
        <v>0</v>
      </c>
      <c r="V45" s="259">
        <f t="shared" si="28"/>
        <v>2627.46</v>
      </c>
      <c r="W45" s="259">
        <f t="shared" si="28"/>
        <v>1676.7972000000002</v>
      </c>
      <c r="X45" s="274">
        <f t="shared" si="28"/>
        <v>2707.0800000000004</v>
      </c>
      <c r="Y45" s="274">
        <f t="shared" si="28"/>
        <v>1592.4</v>
      </c>
      <c r="Z45" s="280">
        <f t="shared" si="28"/>
        <v>0</v>
      </c>
      <c r="AA45" s="286">
        <f t="shared" si="28"/>
        <v>0</v>
      </c>
      <c r="AB45" s="182"/>
      <c r="AC45" s="130">
        <f>ROUND(SUM(AC22:AC44),2)</f>
        <v>150620.6</v>
      </c>
      <c r="AD45" s="30"/>
    </row>
    <row r="46" spans="1:30" s="7" customFormat="1" ht="13.5" thickTop="1">
      <c r="A46" s="118"/>
      <c r="B46" s="123"/>
      <c r="C46" s="166"/>
      <c r="D46" s="166"/>
      <c r="E46" s="166"/>
      <c r="F46" s="167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30"/>
    </row>
    <row r="47" spans="1:30" s="7" customFormat="1" ht="13.5" thickBot="1">
      <c r="A47" s="118"/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3"/>
    </row>
    <row r="48" spans="1:30" ht="16.5" customHeight="1" thickTop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2"/>
    </row>
    <row r="49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AB45"/>
  <sheetViews>
    <sheetView zoomScale="75" zoomScaleNormal="75" zoomScalePageLayoutView="0" workbookViewId="0" topLeftCell="A1">
      <selection activeCell="C48" sqref="C48"/>
    </sheetView>
  </sheetViews>
  <sheetFormatPr defaultColWidth="11.421875" defaultRowHeight="12.75"/>
  <cols>
    <col min="1" max="2" width="4.140625" style="0" customWidth="1"/>
    <col min="3" max="3" width="4.8515625" style="0" customWidth="1"/>
    <col min="4" max="5" width="13.7109375" style="0" customWidth="1"/>
    <col min="6" max="6" width="40.7109375" style="0" customWidth="1"/>
    <col min="7" max="8" width="8.7109375" style="0" customWidth="1"/>
    <col min="9" max="9" width="13.140625" style="0" hidden="1" customWidth="1"/>
    <col min="10" max="10" width="16.421875" style="0" customWidth="1"/>
    <col min="11" max="11" width="16.28125" style="0" customWidth="1"/>
    <col min="12" max="14" width="9.7109375" style="0" customWidth="1"/>
    <col min="15" max="15" width="7.7109375" style="0" customWidth="1"/>
    <col min="16" max="16" width="12.28125" style="0" hidden="1" customWidth="1"/>
    <col min="17" max="17" width="17.7109375" style="0" hidden="1" customWidth="1"/>
    <col min="18" max="18" width="11.421875" style="0" hidden="1" customWidth="1"/>
    <col min="19" max="19" width="13.140625" style="0" hidden="1" customWidth="1"/>
    <col min="20" max="20" width="11.7109375" style="0" hidden="1" customWidth="1"/>
    <col min="21" max="21" width="11.421875" style="0" hidden="1" customWidth="1"/>
    <col min="22" max="22" width="15.8515625" style="0" hidden="1" customWidth="1"/>
    <col min="23" max="23" width="12.57421875" style="0" hidden="1" customWidth="1"/>
    <col min="24" max="24" width="16.00390625" style="0" hidden="1" customWidth="1"/>
    <col min="25" max="25" width="14.710937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="32" customFormat="1" ht="26.25">
      <c r="AB1" s="291"/>
    </row>
    <row r="2" spans="2:28" s="32" customFormat="1" ht="26.25">
      <c r="B2" s="348" t="str">
        <f>+'TOT-0714'!B2</f>
        <v>ANEXO IV al Memorandum D.T.E.E. N°  448  / 2015</v>
      </c>
      <c r="C2" s="35"/>
      <c r="D2" s="35"/>
      <c r="E2" s="35"/>
      <c r="F2" s="35"/>
      <c r="G2" s="109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110"/>
    </row>
    <row r="3" s="7" customFormat="1" ht="12.75">
      <c r="AB3" s="6"/>
    </row>
    <row r="4" spans="1:28" s="39" customFormat="1" ht="11.25">
      <c r="A4" s="349" t="s">
        <v>146</v>
      </c>
      <c r="B4" s="111"/>
      <c r="C4" s="349"/>
      <c r="AB4" s="40"/>
    </row>
    <row r="5" spans="1:28" s="39" customFormat="1" ht="11.25">
      <c r="A5" s="349" t="s">
        <v>147</v>
      </c>
      <c r="B5" s="111"/>
      <c r="C5" s="111"/>
      <c r="AB5" s="40"/>
    </row>
    <row r="6" spans="1:28" s="7" customFormat="1" ht="17.25" customHeight="1" thickBot="1">
      <c r="A6" s="6"/>
      <c r="B6" s="6"/>
      <c r="AB6" s="6"/>
    </row>
    <row r="7" spans="1:28" s="7" customFormat="1" ht="13.5" thickTop="1">
      <c r="A7" s="6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9"/>
    </row>
    <row r="8" spans="1:28" s="43" customFormat="1" ht="20.25">
      <c r="A8" s="44"/>
      <c r="B8" s="98"/>
      <c r="C8" s="44"/>
      <c r="D8" s="44"/>
      <c r="E8" s="44"/>
      <c r="F8" s="18" t="s">
        <v>17</v>
      </c>
      <c r="G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99"/>
    </row>
    <row r="9" spans="1:28" s="7" customFormat="1" ht="12.75">
      <c r="A9" s="6"/>
      <c r="B9" s="65"/>
      <c r="C9" s="6"/>
      <c r="D9" s="6"/>
      <c r="E9" s="6"/>
      <c r="F9" s="95"/>
      <c r="G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s="43" customFormat="1" ht="20.25">
      <c r="A10" s="44"/>
      <c r="B10" s="98"/>
      <c r="C10" s="44"/>
      <c r="D10" s="44"/>
      <c r="E10" s="44"/>
      <c r="F10" s="18" t="s">
        <v>18</v>
      </c>
      <c r="G10" s="18"/>
      <c r="H10" s="44"/>
      <c r="I10" s="100"/>
      <c r="J10" s="100"/>
      <c r="K10" s="100"/>
      <c r="L10" s="100"/>
      <c r="M10" s="100"/>
      <c r="N10" s="100"/>
      <c r="O10" s="10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99"/>
    </row>
    <row r="11" spans="1:28" s="7" customFormat="1" ht="12.75">
      <c r="A11" s="6"/>
      <c r="B11" s="65"/>
      <c r="C11" s="6"/>
      <c r="D11" s="6"/>
      <c r="E11" s="6"/>
      <c r="F11" s="95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8"/>
    </row>
    <row r="12" spans="1:28" s="43" customFormat="1" ht="20.25">
      <c r="A12" s="44"/>
      <c r="B12" s="330"/>
      <c r="C12" s="44"/>
      <c r="D12" s="44"/>
      <c r="E12" s="44"/>
      <c r="F12" s="18" t="s">
        <v>156</v>
      </c>
      <c r="G12" s="18"/>
      <c r="H12" s="44"/>
      <c r="I12" s="100"/>
      <c r="J12" s="100"/>
      <c r="K12" s="100"/>
      <c r="L12" s="100"/>
      <c r="M12" s="100"/>
      <c r="N12" s="100"/>
      <c r="O12" s="100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99"/>
    </row>
    <row r="13" spans="1:28" s="7" customFormat="1" ht="12.75">
      <c r="A13" s="6"/>
      <c r="B13" s="65"/>
      <c r="C13" s="6"/>
      <c r="D13" s="6"/>
      <c r="E13" s="6"/>
      <c r="F13" s="96"/>
      <c r="G13" s="94"/>
      <c r="H13" s="6"/>
      <c r="I13" s="90"/>
      <c r="J13" s="90"/>
      <c r="K13" s="90"/>
      <c r="L13" s="90"/>
      <c r="M13" s="90"/>
      <c r="N13" s="90"/>
      <c r="O13" s="9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8"/>
    </row>
    <row r="14" spans="1:28" s="50" customFormat="1" ht="19.5">
      <c r="A14" s="57"/>
      <c r="B14" s="318" t="str">
        <f>'TOT-0714'!B14</f>
        <v>Desde el 01 al 31 de julio de 2014</v>
      </c>
      <c r="C14" s="55"/>
      <c r="D14" s="55"/>
      <c r="E14" s="55"/>
      <c r="F14" s="55"/>
      <c r="G14" s="106"/>
      <c r="H14" s="107"/>
      <c r="I14" s="108"/>
      <c r="J14" s="108"/>
      <c r="K14" s="108"/>
      <c r="L14" s="108"/>
      <c r="M14" s="108"/>
      <c r="N14" s="108"/>
      <c r="O14" s="108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6"/>
    </row>
    <row r="15" spans="1:28" s="7" customFormat="1" ht="13.5" thickBot="1">
      <c r="A15" s="6"/>
      <c r="B15" s="65"/>
      <c r="C15" s="6"/>
      <c r="D15" s="6"/>
      <c r="E15" s="6"/>
      <c r="F15" s="6"/>
      <c r="G15" s="6"/>
      <c r="H15" s="97"/>
      <c r="I15" s="90"/>
      <c r="J15" s="90"/>
      <c r="K15" s="90"/>
      <c r="L15" s="90"/>
      <c r="M15" s="90"/>
      <c r="N15" s="90"/>
      <c r="O15" s="9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7" customFormat="1" ht="14.25" thickBot="1" thickTop="1">
      <c r="A16" s="6"/>
      <c r="B16" s="65"/>
      <c r="C16" s="6"/>
      <c r="D16" s="6"/>
      <c r="E16" s="6"/>
      <c r="F16" s="101" t="s">
        <v>20</v>
      </c>
      <c r="G16" s="356">
        <v>62.8386</v>
      </c>
      <c r="H16" s="185"/>
      <c r="I16" s="6"/>
      <c r="J16"/>
      <c r="K16" s="102" t="s">
        <v>21</v>
      </c>
      <c r="L16" s="103">
        <f>30*'TOT-0714'!B13</f>
        <v>60</v>
      </c>
      <c r="M16" s="172" t="str">
        <f>IF(L16=30," ",IF(L16=60,"Coeficiente duplicado por tasa de falla &gt;4 Sal. x año/100 km.","REVISAR COEFICIENTE"))</f>
        <v>Coeficiente duplicado por tasa de falla &gt;4 Sal. x año/100 km.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8"/>
    </row>
    <row r="17" spans="1:28" s="7" customFormat="1" ht="14.25" thickBot="1" thickTop="1">
      <c r="A17" s="6"/>
      <c r="B17" s="65"/>
      <c r="C17" s="352">
        <v>3</v>
      </c>
      <c r="D17" s="352">
        <v>4</v>
      </c>
      <c r="E17" s="352">
        <v>5</v>
      </c>
      <c r="F17" s="352">
        <v>6</v>
      </c>
      <c r="G17" s="352">
        <v>7</v>
      </c>
      <c r="H17" s="352">
        <v>8</v>
      </c>
      <c r="I17" s="352">
        <v>9</v>
      </c>
      <c r="J17" s="352">
        <v>10</v>
      </c>
      <c r="K17" s="352">
        <v>11</v>
      </c>
      <c r="L17" s="352">
        <v>12</v>
      </c>
      <c r="M17" s="352">
        <v>13</v>
      </c>
      <c r="N17" s="352">
        <v>14</v>
      </c>
      <c r="O17" s="352">
        <v>15</v>
      </c>
      <c r="P17" s="352">
        <v>16</v>
      </c>
      <c r="Q17" s="352">
        <v>17</v>
      </c>
      <c r="R17" s="352">
        <v>18</v>
      </c>
      <c r="S17" s="352">
        <v>19</v>
      </c>
      <c r="T17" s="352">
        <v>20</v>
      </c>
      <c r="U17" s="352">
        <v>21</v>
      </c>
      <c r="V17" s="352">
        <v>22</v>
      </c>
      <c r="W17" s="352">
        <v>23</v>
      </c>
      <c r="X17" s="352">
        <v>24</v>
      </c>
      <c r="Y17" s="352">
        <v>25</v>
      </c>
      <c r="Z17" s="352">
        <v>26</v>
      </c>
      <c r="AA17" s="352">
        <v>27</v>
      </c>
      <c r="AB17" s="8"/>
    </row>
    <row r="18" spans="1:28" s="7" customFormat="1" ht="33.75" customHeight="1" thickBot="1" thickTop="1">
      <c r="A18" s="6"/>
      <c r="B18" s="65"/>
      <c r="C18" s="112" t="s">
        <v>22</v>
      </c>
      <c r="D18" s="112" t="s">
        <v>145</v>
      </c>
      <c r="E18" s="112" t="s">
        <v>144</v>
      </c>
      <c r="F18" s="113" t="s">
        <v>3</v>
      </c>
      <c r="G18" s="114" t="s">
        <v>23</v>
      </c>
      <c r="H18" s="115" t="s">
        <v>24</v>
      </c>
      <c r="I18" s="174" t="s">
        <v>25</v>
      </c>
      <c r="J18" s="113" t="s">
        <v>26</v>
      </c>
      <c r="K18" s="113" t="s">
        <v>27</v>
      </c>
      <c r="L18" s="114" t="s">
        <v>28</v>
      </c>
      <c r="M18" s="114" t="s">
        <v>29</v>
      </c>
      <c r="N18" s="116" t="s">
        <v>30</v>
      </c>
      <c r="O18" s="114" t="s">
        <v>31</v>
      </c>
      <c r="P18" s="187" t="s">
        <v>32</v>
      </c>
      <c r="Q18" s="192" t="s">
        <v>33</v>
      </c>
      <c r="R18" s="197" t="s">
        <v>34</v>
      </c>
      <c r="S18" s="198"/>
      <c r="T18" s="199"/>
      <c r="U18" s="210" t="s">
        <v>35</v>
      </c>
      <c r="V18" s="211"/>
      <c r="W18" s="212"/>
      <c r="X18" s="225" t="s">
        <v>36</v>
      </c>
      <c r="Y18" s="230" t="s">
        <v>37</v>
      </c>
      <c r="Z18" s="117" t="s">
        <v>38</v>
      </c>
      <c r="AA18" s="183" t="s">
        <v>39</v>
      </c>
      <c r="AB18" s="8"/>
    </row>
    <row r="19" spans="1:28" s="7" customFormat="1" ht="15.75" thickTop="1">
      <c r="A19" s="6"/>
      <c r="B19" s="65"/>
      <c r="C19" s="294"/>
      <c r="D19" s="347"/>
      <c r="E19" s="347"/>
      <c r="F19" s="295"/>
      <c r="G19" s="302"/>
      <c r="H19" s="303"/>
      <c r="I19" s="186"/>
      <c r="J19" s="308"/>
      <c r="K19" s="308"/>
      <c r="L19" s="9"/>
      <c r="M19" s="9"/>
      <c r="N19" s="295"/>
      <c r="O19" s="9"/>
      <c r="P19" s="188"/>
      <c r="Q19" s="193"/>
      <c r="R19" s="200"/>
      <c r="S19" s="206"/>
      <c r="T19" s="207"/>
      <c r="U19" s="213"/>
      <c r="V19" s="217"/>
      <c r="W19" s="221"/>
      <c r="X19" s="226"/>
      <c r="Y19" s="231"/>
      <c r="Z19" s="314"/>
      <c r="AA19" s="184"/>
      <c r="AB19" s="8"/>
    </row>
    <row r="20" spans="1:28" s="7" customFormat="1" ht="15">
      <c r="A20" s="6"/>
      <c r="B20" s="65"/>
      <c r="C20" s="296"/>
      <c r="D20" s="297"/>
      <c r="E20" s="297"/>
      <c r="F20" s="297"/>
      <c r="G20" s="296"/>
      <c r="H20" s="296"/>
      <c r="I20" s="175"/>
      <c r="J20" s="296"/>
      <c r="K20" s="304"/>
      <c r="L20" s="11"/>
      <c r="M20" s="11"/>
      <c r="N20" s="297"/>
      <c r="O20" s="10"/>
      <c r="P20" s="189"/>
      <c r="Q20" s="194"/>
      <c r="R20" s="200"/>
      <c r="S20" s="206"/>
      <c r="T20" s="207"/>
      <c r="U20" s="214"/>
      <c r="V20" s="218"/>
      <c r="W20" s="222"/>
      <c r="X20" s="227"/>
      <c r="Y20" s="232"/>
      <c r="Z20" s="315"/>
      <c r="AA20" s="104"/>
      <c r="AB20" s="8"/>
    </row>
    <row r="21" spans="1:28" s="7" customFormat="1" ht="15">
      <c r="A21" s="6"/>
      <c r="B21" s="65"/>
      <c r="C21" s="298">
        <v>68</v>
      </c>
      <c r="D21" s="295">
        <v>277097</v>
      </c>
      <c r="E21" s="295">
        <v>4941</v>
      </c>
      <c r="F21" s="299" t="s">
        <v>159</v>
      </c>
      <c r="G21" s="304">
        <v>132</v>
      </c>
      <c r="H21" s="305">
        <v>40</v>
      </c>
      <c r="I21" s="176">
        <f aca="true" t="shared" si="0" ref="I21:I40">$G$16/100*IF(H21&gt;25,H21,25)</f>
        <v>25.13544</v>
      </c>
      <c r="J21" s="309">
        <v>41846.34097222222</v>
      </c>
      <c r="K21" s="309">
        <v>41846.34375</v>
      </c>
      <c r="L21" s="12">
        <f aca="true" t="shared" si="1" ref="L21:L40">IF(F21="","",(K21-J21)*24)</f>
        <v>0.06666666670935228</v>
      </c>
      <c r="M21" s="13">
        <f aca="true" t="shared" si="2" ref="M21:M40">IF(F21="","",ROUND((K21-J21)*24*60,0))</f>
        <v>4</v>
      </c>
      <c r="N21" s="311" t="s">
        <v>173</v>
      </c>
      <c r="O21" s="14" t="str">
        <f aca="true" t="shared" si="3" ref="O21:O40">IF(F21="","","--")</f>
        <v>--</v>
      </c>
      <c r="P21" s="190" t="str">
        <f aca="true" t="shared" si="4" ref="P21:P40">IF(N21="P",ROUND(M21/60,2)*I21*$L$16*0.01,"--")</f>
        <v>--</v>
      </c>
      <c r="Q21" s="195" t="str">
        <f aca="true" t="shared" si="5" ref="Q21:Q40">IF(N21="RP",I21*O21*ROUND(L21/60,2)*0.01*M21/100,"--")</f>
        <v>--</v>
      </c>
      <c r="R21" s="200">
        <f aca="true" t="shared" si="6" ref="R21:R40">IF(N21="F",I21*$L$16,"--")</f>
        <v>1508.1263999999999</v>
      </c>
      <c r="S21" s="201" t="str">
        <f aca="true" t="shared" si="7" ref="S21:S40">IF(AND(M21&gt;10,N21="F"),I21*$L$16*IF(M21&gt;180,3,ROUND((M21)/60,2)),"--")</f>
        <v>--</v>
      </c>
      <c r="T21" s="202" t="str">
        <f aca="true" t="shared" si="8" ref="T21:T40">IF(AND(M21&gt;180,N21="F"),(ROUND(M21/60,2)-3)*I21*$L$16*0.1,"--")</f>
        <v>--</v>
      </c>
      <c r="U21" s="215" t="str">
        <f aca="true" t="shared" si="9" ref="U21:U40">IF(N21="R",I21*$L$16*O21/100,"--")</f>
        <v>--</v>
      </c>
      <c r="V21" s="219" t="str">
        <f aca="true" t="shared" si="10" ref="V21:V40">IF(AND(M21&gt;10,N21="R"),I21*$L$16*O21/100*IF(M21&gt;180,3,ROUND(M21/60,2)),"--")</f>
        <v>--</v>
      </c>
      <c r="W21" s="223" t="str">
        <f aca="true" t="shared" si="11" ref="W21:W40">IF(AND(M21&gt;180,N21="R"),(ROUND(M21/60,2)-3)*I21*$L$16*0.1*O21/100,"--")</f>
        <v>--</v>
      </c>
      <c r="X21" s="228" t="str">
        <f aca="true" t="shared" si="12" ref="X21:X40">IF(N21="RF",ROUND(M21/60,2)*I21*$L$16*0.1,"--")</f>
        <v>--</v>
      </c>
      <c r="Y21" s="233" t="str">
        <f aca="true" t="shared" si="13" ref="Y21:Y40">IF(N21="RR",ROUND(M21/60,2)*I21*$L$16*0.1*O21/100,"--")</f>
        <v>--</v>
      </c>
      <c r="Z21" s="316" t="s">
        <v>164</v>
      </c>
      <c r="AA21" s="28">
        <f aca="true" t="shared" si="14" ref="AA21:AA40">IF(F21="","",SUM(P21:Y21)*IF(Z21="SI",1,2))</f>
        <v>1508.1263999999999</v>
      </c>
      <c r="AB21" s="287"/>
    </row>
    <row r="22" spans="1:28" s="7" customFormat="1" ht="15">
      <c r="A22" s="6"/>
      <c r="B22" s="65"/>
      <c r="C22" s="298"/>
      <c r="D22" s="295"/>
      <c r="E22" s="295"/>
      <c r="F22" s="299"/>
      <c r="G22" s="304"/>
      <c r="H22" s="305"/>
      <c r="I22" s="176">
        <f t="shared" si="0"/>
        <v>15.70965</v>
      </c>
      <c r="J22" s="309"/>
      <c r="K22" s="309"/>
      <c r="L22" s="12">
        <f t="shared" si="1"/>
      </c>
      <c r="M22" s="13">
        <f t="shared" si="2"/>
      </c>
      <c r="N22" s="311"/>
      <c r="O22" s="14">
        <f t="shared" si="3"/>
      </c>
      <c r="P22" s="190" t="str">
        <f t="shared" si="4"/>
        <v>--</v>
      </c>
      <c r="Q22" s="195" t="str">
        <f t="shared" si="5"/>
        <v>--</v>
      </c>
      <c r="R22" s="200" t="str">
        <f t="shared" si="6"/>
        <v>--</v>
      </c>
      <c r="S22" s="201" t="str">
        <f t="shared" si="7"/>
        <v>--</v>
      </c>
      <c r="T22" s="202" t="str">
        <f t="shared" si="8"/>
        <v>--</v>
      </c>
      <c r="U22" s="215" t="str">
        <f t="shared" si="9"/>
        <v>--</v>
      </c>
      <c r="V22" s="219" t="str">
        <f t="shared" si="10"/>
        <v>--</v>
      </c>
      <c r="W22" s="223" t="str">
        <f t="shared" si="11"/>
        <v>--</v>
      </c>
      <c r="X22" s="228" t="str">
        <f t="shared" si="12"/>
        <v>--</v>
      </c>
      <c r="Y22" s="233" t="str">
        <f t="shared" si="13"/>
        <v>--</v>
      </c>
      <c r="Z22" s="316">
        <f aca="true" t="shared" si="15" ref="Z22:Z40">IF(F22="","","SI")</f>
      </c>
      <c r="AA22" s="28">
        <f t="shared" si="14"/>
      </c>
      <c r="AB22" s="287"/>
    </row>
    <row r="23" spans="1:28" s="7" customFormat="1" ht="15">
      <c r="A23" s="6"/>
      <c r="B23" s="65"/>
      <c r="C23" s="298"/>
      <c r="D23" s="295"/>
      <c r="E23" s="295"/>
      <c r="F23" s="299"/>
      <c r="G23" s="304"/>
      <c r="H23" s="305"/>
      <c r="I23" s="176">
        <f t="shared" si="0"/>
        <v>15.70965</v>
      </c>
      <c r="J23" s="309"/>
      <c r="K23" s="309"/>
      <c r="L23" s="12">
        <f t="shared" si="1"/>
      </c>
      <c r="M23" s="13">
        <f t="shared" si="2"/>
      </c>
      <c r="N23" s="311"/>
      <c r="O23" s="14">
        <f t="shared" si="3"/>
      </c>
      <c r="P23" s="190" t="str">
        <f t="shared" si="4"/>
        <v>--</v>
      </c>
      <c r="Q23" s="195" t="str">
        <f t="shared" si="5"/>
        <v>--</v>
      </c>
      <c r="R23" s="200" t="str">
        <f t="shared" si="6"/>
        <v>--</v>
      </c>
      <c r="S23" s="201" t="str">
        <f t="shared" si="7"/>
        <v>--</v>
      </c>
      <c r="T23" s="202" t="str">
        <f t="shared" si="8"/>
        <v>--</v>
      </c>
      <c r="U23" s="215" t="str">
        <f t="shared" si="9"/>
        <v>--</v>
      </c>
      <c r="V23" s="219" t="str">
        <f t="shared" si="10"/>
        <v>--</v>
      </c>
      <c r="W23" s="223" t="str">
        <f t="shared" si="11"/>
        <v>--</v>
      </c>
      <c r="X23" s="228" t="str">
        <f t="shared" si="12"/>
        <v>--</v>
      </c>
      <c r="Y23" s="233" t="str">
        <f t="shared" si="13"/>
        <v>--</v>
      </c>
      <c r="Z23" s="316">
        <f t="shared" si="15"/>
      </c>
      <c r="AA23" s="28">
        <f t="shared" si="14"/>
      </c>
      <c r="AB23" s="287"/>
    </row>
    <row r="24" spans="1:28" s="7" customFormat="1" ht="15">
      <c r="A24" s="6"/>
      <c r="B24" s="65"/>
      <c r="C24" s="298"/>
      <c r="D24" s="295"/>
      <c r="E24" s="295"/>
      <c r="F24" s="299"/>
      <c r="G24" s="304"/>
      <c r="H24" s="305"/>
      <c r="I24" s="176">
        <f t="shared" si="0"/>
        <v>15.70965</v>
      </c>
      <c r="J24" s="309"/>
      <c r="K24" s="309"/>
      <c r="L24" s="12">
        <f t="shared" si="1"/>
      </c>
      <c r="M24" s="13">
        <f t="shared" si="2"/>
      </c>
      <c r="N24" s="311"/>
      <c r="O24" s="14">
        <f t="shared" si="3"/>
      </c>
      <c r="P24" s="190" t="str">
        <f t="shared" si="4"/>
        <v>--</v>
      </c>
      <c r="Q24" s="195" t="str">
        <f t="shared" si="5"/>
        <v>--</v>
      </c>
      <c r="R24" s="200" t="str">
        <f t="shared" si="6"/>
        <v>--</v>
      </c>
      <c r="S24" s="201" t="str">
        <f t="shared" si="7"/>
        <v>--</v>
      </c>
      <c r="T24" s="202" t="str">
        <f t="shared" si="8"/>
        <v>--</v>
      </c>
      <c r="U24" s="215" t="str">
        <f t="shared" si="9"/>
        <v>--</v>
      </c>
      <c r="V24" s="219" t="str">
        <f t="shared" si="10"/>
        <v>--</v>
      </c>
      <c r="W24" s="223" t="str">
        <f t="shared" si="11"/>
        <v>--</v>
      </c>
      <c r="X24" s="228" t="str">
        <f t="shared" si="12"/>
        <v>--</v>
      </c>
      <c r="Y24" s="233" t="str">
        <f t="shared" si="13"/>
        <v>--</v>
      </c>
      <c r="Z24" s="316">
        <f t="shared" si="15"/>
      </c>
      <c r="AA24" s="28">
        <f t="shared" si="14"/>
      </c>
      <c r="AB24" s="287"/>
    </row>
    <row r="25" spans="1:28" s="7" customFormat="1" ht="15">
      <c r="A25" s="6"/>
      <c r="B25" s="65"/>
      <c r="C25" s="298"/>
      <c r="D25" s="295"/>
      <c r="E25" s="295"/>
      <c r="F25" s="299"/>
      <c r="G25" s="304"/>
      <c r="H25" s="305"/>
      <c r="I25" s="176">
        <f t="shared" si="0"/>
        <v>15.70965</v>
      </c>
      <c r="J25" s="309"/>
      <c r="K25" s="309"/>
      <c r="L25" s="12">
        <f t="shared" si="1"/>
      </c>
      <c r="M25" s="13">
        <f t="shared" si="2"/>
      </c>
      <c r="N25" s="311"/>
      <c r="O25" s="14">
        <f t="shared" si="3"/>
      </c>
      <c r="P25" s="190" t="str">
        <f t="shared" si="4"/>
        <v>--</v>
      </c>
      <c r="Q25" s="195" t="str">
        <f t="shared" si="5"/>
        <v>--</v>
      </c>
      <c r="R25" s="200" t="str">
        <f t="shared" si="6"/>
        <v>--</v>
      </c>
      <c r="S25" s="201" t="str">
        <f t="shared" si="7"/>
        <v>--</v>
      </c>
      <c r="T25" s="202" t="str">
        <f t="shared" si="8"/>
        <v>--</v>
      </c>
      <c r="U25" s="215" t="str">
        <f t="shared" si="9"/>
        <v>--</v>
      </c>
      <c r="V25" s="219" t="str">
        <f t="shared" si="10"/>
        <v>--</v>
      </c>
      <c r="W25" s="223" t="str">
        <f t="shared" si="11"/>
        <v>--</v>
      </c>
      <c r="X25" s="228" t="str">
        <f t="shared" si="12"/>
        <v>--</v>
      </c>
      <c r="Y25" s="233" t="str">
        <f t="shared" si="13"/>
        <v>--</v>
      </c>
      <c r="Z25" s="316">
        <f t="shared" si="15"/>
      </c>
      <c r="AA25" s="28">
        <f t="shared" si="14"/>
      </c>
      <c r="AB25" s="287"/>
    </row>
    <row r="26" spans="1:28" s="7" customFormat="1" ht="15">
      <c r="A26" s="6"/>
      <c r="B26" s="65"/>
      <c r="C26" s="298"/>
      <c r="D26" s="295"/>
      <c r="E26" s="295"/>
      <c r="F26" s="299"/>
      <c r="G26" s="304"/>
      <c r="H26" s="305"/>
      <c r="I26" s="176">
        <f t="shared" si="0"/>
        <v>15.70965</v>
      </c>
      <c r="J26" s="309"/>
      <c r="K26" s="309"/>
      <c r="L26" s="12">
        <f t="shared" si="1"/>
      </c>
      <c r="M26" s="13">
        <f t="shared" si="2"/>
      </c>
      <c r="N26" s="311"/>
      <c r="O26" s="14">
        <f t="shared" si="3"/>
      </c>
      <c r="P26" s="190" t="str">
        <f t="shared" si="4"/>
        <v>--</v>
      </c>
      <c r="Q26" s="195" t="str">
        <f t="shared" si="5"/>
        <v>--</v>
      </c>
      <c r="R26" s="200" t="str">
        <f t="shared" si="6"/>
        <v>--</v>
      </c>
      <c r="S26" s="201" t="str">
        <f t="shared" si="7"/>
        <v>--</v>
      </c>
      <c r="T26" s="202" t="str">
        <f t="shared" si="8"/>
        <v>--</v>
      </c>
      <c r="U26" s="215" t="str">
        <f t="shared" si="9"/>
        <v>--</v>
      </c>
      <c r="V26" s="219" t="str">
        <f t="shared" si="10"/>
        <v>--</v>
      </c>
      <c r="W26" s="223" t="str">
        <f t="shared" si="11"/>
        <v>--</v>
      </c>
      <c r="X26" s="228" t="str">
        <f t="shared" si="12"/>
        <v>--</v>
      </c>
      <c r="Y26" s="233" t="str">
        <f t="shared" si="13"/>
        <v>--</v>
      </c>
      <c r="Z26" s="316">
        <f t="shared" si="15"/>
      </c>
      <c r="AA26" s="28">
        <f t="shared" si="14"/>
      </c>
      <c r="AB26" s="287"/>
    </row>
    <row r="27" spans="1:28" s="7" customFormat="1" ht="15">
      <c r="A27" s="6"/>
      <c r="B27" s="65"/>
      <c r="C27" s="298"/>
      <c r="D27" s="295"/>
      <c r="E27" s="295"/>
      <c r="F27" s="299"/>
      <c r="G27" s="304"/>
      <c r="H27" s="305"/>
      <c r="I27" s="176">
        <f t="shared" si="0"/>
        <v>15.70965</v>
      </c>
      <c r="J27" s="309"/>
      <c r="K27" s="309"/>
      <c r="L27" s="12">
        <f t="shared" si="1"/>
      </c>
      <c r="M27" s="13">
        <f t="shared" si="2"/>
      </c>
      <c r="N27" s="311"/>
      <c r="O27" s="14">
        <f t="shared" si="3"/>
      </c>
      <c r="P27" s="190" t="str">
        <f t="shared" si="4"/>
        <v>--</v>
      </c>
      <c r="Q27" s="195" t="str">
        <f t="shared" si="5"/>
        <v>--</v>
      </c>
      <c r="R27" s="200" t="str">
        <f t="shared" si="6"/>
        <v>--</v>
      </c>
      <c r="S27" s="201" t="str">
        <f t="shared" si="7"/>
        <v>--</v>
      </c>
      <c r="T27" s="202" t="str">
        <f t="shared" si="8"/>
        <v>--</v>
      </c>
      <c r="U27" s="215" t="str">
        <f t="shared" si="9"/>
        <v>--</v>
      </c>
      <c r="V27" s="219" t="str">
        <f t="shared" si="10"/>
        <v>--</v>
      </c>
      <c r="W27" s="223" t="str">
        <f t="shared" si="11"/>
        <v>--</v>
      </c>
      <c r="X27" s="228" t="str">
        <f t="shared" si="12"/>
        <v>--</v>
      </c>
      <c r="Y27" s="233" t="str">
        <f t="shared" si="13"/>
        <v>--</v>
      </c>
      <c r="Z27" s="316">
        <f t="shared" si="15"/>
      </c>
      <c r="AA27" s="28">
        <f t="shared" si="14"/>
      </c>
      <c r="AB27" s="287"/>
    </row>
    <row r="28" spans="1:28" s="7" customFormat="1" ht="15">
      <c r="A28" s="6"/>
      <c r="B28" s="65"/>
      <c r="C28" s="298"/>
      <c r="D28" s="295"/>
      <c r="E28" s="295"/>
      <c r="F28" s="299"/>
      <c r="G28" s="304"/>
      <c r="H28" s="305"/>
      <c r="I28" s="176">
        <f t="shared" si="0"/>
        <v>15.70965</v>
      </c>
      <c r="J28" s="309"/>
      <c r="K28" s="309"/>
      <c r="L28" s="12">
        <f t="shared" si="1"/>
      </c>
      <c r="M28" s="13">
        <f t="shared" si="2"/>
      </c>
      <c r="N28" s="311"/>
      <c r="O28" s="14">
        <f t="shared" si="3"/>
      </c>
      <c r="P28" s="190" t="str">
        <f t="shared" si="4"/>
        <v>--</v>
      </c>
      <c r="Q28" s="195" t="str">
        <f t="shared" si="5"/>
        <v>--</v>
      </c>
      <c r="R28" s="200" t="str">
        <f t="shared" si="6"/>
        <v>--</v>
      </c>
      <c r="S28" s="201" t="str">
        <f t="shared" si="7"/>
        <v>--</v>
      </c>
      <c r="T28" s="202" t="str">
        <f t="shared" si="8"/>
        <v>--</v>
      </c>
      <c r="U28" s="215" t="str">
        <f t="shared" si="9"/>
        <v>--</v>
      </c>
      <c r="V28" s="219" t="str">
        <f t="shared" si="10"/>
        <v>--</v>
      </c>
      <c r="W28" s="223" t="str">
        <f t="shared" si="11"/>
        <v>--</v>
      </c>
      <c r="X28" s="228" t="str">
        <f t="shared" si="12"/>
        <v>--</v>
      </c>
      <c r="Y28" s="233" t="str">
        <f t="shared" si="13"/>
        <v>--</v>
      </c>
      <c r="Z28" s="316">
        <f t="shared" si="15"/>
      </c>
      <c r="AA28" s="28">
        <f t="shared" si="14"/>
      </c>
      <c r="AB28" s="8"/>
    </row>
    <row r="29" spans="1:28" s="7" customFormat="1" ht="15">
      <c r="A29" s="6"/>
      <c r="B29" s="65"/>
      <c r="C29" s="298"/>
      <c r="D29" s="295"/>
      <c r="E29" s="295"/>
      <c r="F29" s="299"/>
      <c r="G29" s="304"/>
      <c r="H29" s="305"/>
      <c r="I29" s="176">
        <f t="shared" si="0"/>
        <v>15.70965</v>
      </c>
      <c r="J29" s="309"/>
      <c r="K29" s="309"/>
      <c r="L29" s="12">
        <f t="shared" si="1"/>
      </c>
      <c r="M29" s="13">
        <f t="shared" si="2"/>
      </c>
      <c r="N29" s="311"/>
      <c r="O29" s="14">
        <f t="shared" si="3"/>
      </c>
      <c r="P29" s="190" t="str">
        <f t="shared" si="4"/>
        <v>--</v>
      </c>
      <c r="Q29" s="195" t="str">
        <f t="shared" si="5"/>
        <v>--</v>
      </c>
      <c r="R29" s="200" t="str">
        <f t="shared" si="6"/>
        <v>--</v>
      </c>
      <c r="S29" s="201" t="str">
        <f t="shared" si="7"/>
        <v>--</v>
      </c>
      <c r="T29" s="202" t="str">
        <f t="shared" si="8"/>
        <v>--</v>
      </c>
      <c r="U29" s="215" t="str">
        <f t="shared" si="9"/>
        <v>--</v>
      </c>
      <c r="V29" s="219" t="str">
        <f t="shared" si="10"/>
        <v>--</v>
      </c>
      <c r="W29" s="223" t="str">
        <f t="shared" si="11"/>
        <v>--</v>
      </c>
      <c r="X29" s="228" t="str">
        <f t="shared" si="12"/>
        <v>--</v>
      </c>
      <c r="Y29" s="233" t="str">
        <f t="shared" si="13"/>
        <v>--</v>
      </c>
      <c r="Z29" s="316">
        <f t="shared" si="15"/>
      </c>
      <c r="AA29" s="28">
        <f t="shared" si="14"/>
      </c>
      <c r="AB29" s="8"/>
    </row>
    <row r="30" spans="1:28" s="7" customFormat="1" ht="15">
      <c r="A30" s="6"/>
      <c r="B30" s="65"/>
      <c r="C30" s="298"/>
      <c r="D30" s="295"/>
      <c r="E30" s="295"/>
      <c r="F30" s="299"/>
      <c r="G30" s="304"/>
      <c r="H30" s="305"/>
      <c r="I30" s="176">
        <f t="shared" si="0"/>
        <v>15.70965</v>
      </c>
      <c r="J30" s="309"/>
      <c r="K30" s="309"/>
      <c r="L30" s="12">
        <f t="shared" si="1"/>
      </c>
      <c r="M30" s="13">
        <f t="shared" si="2"/>
      </c>
      <c r="N30" s="311"/>
      <c r="O30" s="14">
        <f t="shared" si="3"/>
      </c>
      <c r="P30" s="190" t="str">
        <f t="shared" si="4"/>
        <v>--</v>
      </c>
      <c r="Q30" s="195" t="str">
        <f t="shared" si="5"/>
        <v>--</v>
      </c>
      <c r="R30" s="200" t="str">
        <f t="shared" si="6"/>
        <v>--</v>
      </c>
      <c r="S30" s="201" t="str">
        <f t="shared" si="7"/>
        <v>--</v>
      </c>
      <c r="T30" s="202" t="str">
        <f t="shared" si="8"/>
        <v>--</v>
      </c>
      <c r="U30" s="215" t="str">
        <f t="shared" si="9"/>
        <v>--</v>
      </c>
      <c r="V30" s="219" t="str">
        <f t="shared" si="10"/>
        <v>--</v>
      </c>
      <c r="W30" s="223" t="str">
        <f t="shared" si="11"/>
        <v>--</v>
      </c>
      <c r="X30" s="228" t="str">
        <f t="shared" si="12"/>
        <v>--</v>
      </c>
      <c r="Y30" s="233" t="str">
        <f t="shared" si="13"/>
        <v>--</v>
      </c>
      <c r="Z30" s="316">
        <f t="shared" si="15"/>
      </c>
      <c r="AA30" s="28">
        <f t="shared" si="14"/>
      </c>
      <c r="AB30" s="8"/>
    </row>
    <row r="31" spans="1:28" s="7" customFormat="1" ht="15">
      <c r="A31" s="6"/>
      <c r="B31" s="65"/>
      <c r="C31" s="298"/>
      <c r="D31" s="295"/>
      <c r="E31" s="295"/>
      <c r="F31" s="299"/>
      <c r="G31" s="304"/>
      <c r="H31" s="305"/>
      <c r="I31" s="176">
        <f t="shared" si="0"/>
        <v>15.70965</v>
      </c>
      <c r="J31" s="309"/>
      <c r="K31" s="309"/>
      <c r="L31" s="12">
        <f t="shared" si="1"/>
      </c>
      <c r="M31" s="13">
        <f t="shared" si="2"/>
      </c>
      <c r="N31" s="311"/>
      <c r="O31" s="14">
        <f t="shared" si="3"/>
      </c>
      <c r="P31" s="190" t="str">
        <f t="shared" si="4"/>
        <v>--</v>
      </c>
      <c r="Q31" s="195" t="str">
        <f t="shared" si="5"/>
        <v>--</v>
      </c>
      <c r="R31" s="200" t="str">
        <f t="shared" si="6"/>
        <v>--</v>
      </c>
      <c r="S31" s="201" t="str">
        <f t="shared" si="7"/>
        <v>--</v>
      </c>
      <c r="T31" s="202" t="str">
        <f t="shared" si="8"/>
        <v>--</v>
      </c>
      <c r="U31" s="215" t="str">
        <f t="shared" si="9"/>
        <v>--</v>
      </c>
      <c r="V31" s="219" t="str">
        <f t="shared" si="10"/>
        <v>--</v>
      </c>
      <c r="W31" s="223" t="str">
        <f t="shared" si="11"/>
        <v>--</v>
      </c>
      <c r="X31" s="228" t="str">
        <f t="shared" si="12"/>
        <v>--</v>
      </c>
      <c r="Y31" s="233" t="str">
        <f t="shared" si="13"/>
        <v>--</v>
      </c>
      <c r="Z31" s="316">
        <f t="shared" si="15"/>
      </c>
      <c r="AA31" s="28">
        <f t="shared" si="14"/>
      </c>
      <c r="AB31" s="8"/>
    </row>
    <row r="32" spans="1:28" s="7" customFormat="1" ht="15">
      <c r="A32" s="6"/>
      <c r="B32" s="65"/>
      <c r="C32" s="298"/>
      <c r="D32" s="295"/>
      <c r="E32" s="295"/>
      <c r="F32" s="299"/>
      <c r="G32" s="304"/>
      <c r="H32" s="305"/>
      <c r="I32" s="176">
        <f t="shared" si="0"/>
        <v>15.70965</v>
      </c>
      <c r="J32" s="309"/>
      <c r="K32" s="309"/>
      <c r="L32" s="12">
        <f t="shared" si="1"/>
      </c>
      <c r="M32" s="13">
        <f t="shared" si="2"/>
      </c>
      <c r="N32" s="311"/>
      <c r="O32" s="14">
        <f t="shared" si="3"/>
      </c>
      <c r="P32" s="190" t="str">
        <f t="shared" si="4"/>
        <v>--</v>
      </c>
      <c r="Q32" s="195" t="str">
        <f t="shared" si="5"/>
        <v>--</v>
      </c>
      <c r="R32" s="200" t="str">
        <f t="shared" si="6"/>
        <v>--</v>
      </c>
      <c r="S32" s="201" t="str">
        <f t="shared" si="7"/>
        <v>--</v>
      </c>
      <c r="T32" s="202" t="str">
        <f t="shared" si="8"/>
        <v>--</v>
      </c>
      <c r="U32" s="215" t="str">
        <f t="shared" si="9"/>
        <v>--</v>
      </c>
      <c r="V32" s="219" t="str">
        <f t="shared" si="10"/>
        <v>--</v>
      </c>
      <c r="W32" s="223" t="str">
        <f t="shared" si="11"/>
        <v>--</v>
      </c>
      <c r="X32" s="228" t="str">
        <f t="shared" si="12"/>
        <v>--</v>
      </c>
      <c r="Y32" s="233" t="str">
        <f t="shared" si="13"/>
        <v>--</v>
      </c>
      <c r="Z32" s="316">
        <f t="shared" si="15"/>
      </c>
      <c r="AA32" s="28">
        <f t="shared" si="14"/>
      </c>
      <c r="AB32" s="8"/>
    </row>
    <row r="33" spans="1:28" s="7" customFormat="1" ht="15">
      <c r="A33" s="6"/>
      <c r="B33" s="65"/>
      <c r="C33" s="298"/>
      <c r="D33" s="295"/>
      <c r="E33" s="295"/>
      <c r="F33" s="299"/>
      <c r="G33" s="304"/>
      <c r="H33" s="305"/>
      <c r="I33" s="176">
        <f t="shared" si="0"/>
        <v>15.70965</v>
      </c>
      <c r="J33" s="309"/>
      <c r="K33" s="309"/>
      <c r="L33" s="12">
        <f t="shared" si="1"/>
      </c>
      <c r="M33" s="13">
        <f t="shared" si="2"/>
      </c>
      <c r="N33" s="311"/>
      <c r="O33" s="14">
        <f t="shared" si="3"/>
      </c>
      <c r="P33" s="190" t="str">
        <f t="shared" si="4"/>
        <v>--</v>
      </c>
      <c r="Q33" s="195" t="str">
        <f t="shared" si="5"/>
        <v>--</v>
      </c>
      <c r="R33" s="200" t="str">
        <f t="shared" si="6"/>
        <v>--</v>
      </c>
      <c r="S33" s="201" t="str">
        <f t="shared" si="7"/>
        <v>--</v>
      </c>
      <c r="T33" s="202" t="str">
        <f t="shared" si="8"/>
        <v>--</v>
      </c>
      <c r="U33" s="215" t="str">
        <f t="shared" si="9"/>
        <v>--</v>
      </c>
      <c r="V33" s="219" t="str">
        <f t="shared" si="10"/>
        <v>--</v>
      </c>
      <c r="W33" s="223" t="str">
        <f t="shared" si="11"/>
        <v>--</v>
      </c>
      <c r="X33" s="228" t="str">
        <f t="shared" si="12"/>
        <v>--</v>
      </c>
      <c r="Y33" s="233" t="str">
        <f t="shared" si="13"/>
        <v>--</v>
      </c>
      <c r="Z33" s="316">
        <f t="shared" si="15"/>
      </c>
      <c r="AA33" s="28">
        <f t="shared" si="14"/>
      </c>
      <c r="AB33" s="8"/>
    </row>
    <row r="34" spans="1:28" s="7" customFormat="1" ht="15">
      <c r="A34" s="6"/>
      <c r="B34" s="65"/>
      <c r="C34" s="298"/>
      <c r="D34" s="295"/>
      <c r="E34" s="295"/>
      <c r="F34" s="299"/>
      <c r="G34" s="304"/>
      <c r="H34" s="305"/>
      <c r="I34" s="176">
        <f t="shared" si="0"/>
        <v>15.70965</v>
      </c>
      <c r="J34" s="309"/>
      <c r="K34" s="309"/>
      <c r="L34" s="12">
        <f t="shared" si="1"/>
      </c>
      <c r="M34" s="13">
        <f t="shared" si="2"/>
      </c>
      <c r="N34" s="311"/>
      <c r="O34" s="14">
        <f t="shared" si="3"/>
      </c>
      <c r="P34" s="190" t="str">
        <f t="shared" si="4"/>
        <v>--</v>
      </c>
      <c r="Q34" s="195" t="str">
        <f t="shared" si="5"/>
        <v>--</v>
      </c>
      <c r="R34" s="200" t="str">
        <f t="shared" si="6"/>
        <v>--</v>
      </c>
      <c r="S34" s="201" t="str">
        <f t="shared" si="7"/>
        <v>--</v>
      </c>
      <c r="T34" s="202" t="str">
        <f t="shared" si="8"/>
        <v>--</v>
      </c>
      <c r="U34" s="215" t="str">
        <f t="shared" si="9"/>
        <v>--</v>
      </c>
      <c r="V34" s="219" t="str">
        <f t="shared" si="10"/>
        <v>--</v>
      </c>
      <c r="W34" s="223" t="str">
        <f t="shared" si="11"/>
        <v>--</v>
      </c>
      <c r="X34" s="228" t="str">
        <f t="shared" si="12"/>
        <v>--</v>
      </c>
      <c r="Y34" s="233" t="str">
        <f t="shared" si="13"/>
        <v>--</v>
      </c>
      <c r="Z34" s="316">
        <f t="shared" si="15"/>
      </c>
      <c r="AA34" s="28">
        <f t="shared" si="14"/>
      </c>
      <c r="AB34" s="8"/>
    </row>
    <row r="35" spans="1:28" s="7" customFormat="1" ht="15">
      <c r="A35" s="6"/>
      <c r="B35" s="65"/>
      <c r="C35" s="298"/>
      <c r="D35" s="295"/>
      <c r="E35" s="295"/>
      <c r="F35" s="299"/>
      <c r="G35" s="304"/>
      <c r="H35" s="305"/>
      <c r="I35" s="176">
        <f t="shared" si="0"/>
        <v>15.70965</v>
      </c>
      <c r="J35" s="309"/>
      <c r="K35" s="309"/>
      <c r="L35" s="12">
        <f t="shared" si="1"/>
      </c>
      <c r="M35" s="13">
        <f t="shared" si="2"/>
      </c>
      <c r="N35" s="311"/>
      <c r="O35" s="14">
        <f t="shared" si="3"/>
      </c>
      <c r="P35" s="190" t="str">
        <f t="shared" si="4"/>
        <v>--</v>
      </c>
      <c r="Q35" s="195" t="str">
        <f t="shared" si="5"/>
        <v>--</v>
      </c>
      <c r="R35" s="200" t="str">
        <f t="shared" si="6"/>
        <v>--</v>
      </c>
      <c r="S35" s="201" t="str">
        <f t="shared" si="7"/>
        <v>--</v>
      </c>
      <c r="T35" s="202" t="str">
        <f t="shared" si="8"/>
        <v>--</v>
      </c>
      <c r="U35" s="215" t="str">
        <f t="shared" si="9"/>
        <v>--</v>
      </c>
      <c r="V35" s="219" t="str">
        <f t="shared" si="10"/>
        <v>--</v>
      </c>
      <c r="W35" s="223" t="str">
        <f t="shared" si="11"/>
        <v>--</v>
      </c>
      <c r="X35" s="228" t="str">
        <f t="shared" si="12"/>
        <v>--</v>
      </c>
      <c r="Y35" s="233" t="str">
        <f t="shared" si="13"/>
        <v>--</v>
      </c>
      <c r="Z35" s="316">
        <f t="shared" si="15"/>
      </c>
      <c r="AA35" s="28">
        <f t="shared" si="14"/>
      </c>
      <c r="AB35" s="8"/>
    </row>
    <row r="36" spans="1:28" s="7" customFormat="1" ht="15">
      <c r="A36" s="6"/>
      <c r="B36" s="65"/>
      <c r="C36" s="298"/>
      <c r="D36" s="295"/>
      <c r="E36" s="295"/>
      <c r="F36" s="299"/>
      <c r="G36" s="304"/>
      <c r="H36" s="305"/>
      <c r="I36" s="176">
        <f t="shared" si="0"/>
        <v>15.70965</v>
      </c>
      <c r="J36" s="309"/>
      <c r="K36" s="309"/>
      <c r="L36" s="12">
        <f t="shared" si="1"/>
      </c>
      <c r="M36" s="13">
        <f t="shared" si="2"/>
      </c>
      <c r="N36" s="311"/>
      <c r="O36" s="14">
        <f t="shared" si="3"/>
      </c>
      <c r="P36" s="190" t="str">
        <f t="shared" si="4"/>
        <v>--</v>
      </c>
      <c r="Q36" s="195" t="str">
        <f t="shared" si="5"/>
        <v>--</v>
      </c>
      <c r="R36" s="200" t="str">
        <f t="shared" si="6"/>
        <v>--</v>
      </c>
      <c r="S36" s="201" t="str">
        <f t="shared" si="7"/>
        <v>--</v>
      </c>
      <c r="T36" s="202" t="str">
        <f t="shared" si="8"/>
        <v>--</v>
      </c>
      <c r="U36" s="215" t="str">
        <f t="shared" si="9"/>
        <v>--</v>
      </c>
      <c r="V36" s="219" t="str">
        <f t="shared" si="10"/>
        <v>--</v>
      </c>
      <c r="W36" s="223" t="str">
        <f t="shared" si="11"/>
        <v>--</v>
      </c>
      <c r="X36" s="228" t="str">
        <f t="shared" si="12"/>
        <v>--</v>
      </c>
      <c r="Y36" s="233" t="str">
        <f t="shared" si="13"/>
        <v>--</v>
      </c>
      <c r="Z36" s="316">
        <f t="shared" si="15"/>
      </c>
      <c r="AA36" s="28">
        <f t="shared" si="14"/>
      </c>
      <c r="AB36" s="8"/>
    </row>
    <row r="37" spans="1:28" s="7" customFormat="1" ht="15">
      <c r="A37" s="6"/>
      <c r="B37" s="65"/>
      <c r="C37" s="298"/>
      <c r="D37" s="295"/>
      <c r="E37" s="295"/>
      <c r="F37" s="299"/>
      <c r="G37" s="304"/>
      <c r="H37" s="305"/>
      <c r="I37" s="176">
        <f t="shared" si="0"/>
        <v>15.70965</v>
      </c>
      <c r="J37" s="309"/>
      <c r="K37" s="309"/>
      <c r="L37" s="12">
        <f t="shared" si="1"/>
      </c>
      <c r="M37" s="13">
        <f t="shared" si="2"/>
      </c>
      <c r="N37" s="311"/>
      <c r="O37" s="14">
        <f t="shared" si="3"/>
      </c>
      <c r="P37" s="190" t="str">
        <f t="shared" si="4"/>
        <v>--</v>
      </c>
      <c r="Q37" s="195" t="str">
        <f t="shared" si="5"/>
        <v>--</v>
      </c>
      <c r="R37" s="200" t="str">
        <f t="shared" si="6"/>
        <v>--</v>
      </c>
      <c r="S37" s="201" t="str">
        <f t="shared" si="7"/>
        <v>--</v>
      </c>
      <c r="T37" s="202" t="str">
        <f t="shared" si="8"/>
        <v>--</v>
      </c>
      <c r="U37" s="215" t="str">
        <f t="shared" si="9"/>
        <v>--</v>
      </c>
      <c r="V37" s="219" t="str">
        <f t="shared" si="10"/>
        <v>--</v>
      </c>
      <c r="W37" s="223" t="str">
        <f t="shared" si="11"/>
        <v>--</v>
      </c>
      <c r="X37" s="228" t="str">
        <f t="shared" si="12"/>
        <v>--</v>
      </c>
      <c r="Y37" s="233" t="str">
        <f t="shared" si="13"/>
        <v>--</v>
      </c>
      <c r="Z37" s="316">
        <f t="shared" si="15"/>
      </c>
      <c r="AA37" s="28">
        <f t="shared" si="14"/>
      </c>
      <c r="AB37" s="8"/>
    </row>
    <row r="38" spans="1:28" s="7" customFormat="1" ht="15">
      <c r="A38" s="6"/>
      <c r="B38" s="65"/>
      <c r="C38" s="298"/>
      <c r="D38" s="295"/>
      <c r="E38" s="295"/>
      <c r="F38" s="299"/>
      <c r="G38" s="304"/>
      <c r="H38" s="305"/>
      <c r="I38" s="176">
        <f t="shared" si="0"/>
        <v>15.70965</v>
      </c>
      <c r="J38" s="309"/>
      <c r="K38" s="309"/>
      <c r="L38" s="12">
        <f t="shared" si="1"/>
      </c>
      <c r="M38" s="13">
        <f t="shared" si="2"/>
      </c>
      <c r="N38" s="311"/>
      <c r="O38" s="14">
        <f t="shared" si="3"/>
      </c>
      <c r="P38" s="190" t="str">
        <f t="shared" si="4"/>
        <v>--</v>
      </c>
      <c r="Q38" s="195" t="str">
        <f t="shared" si="5"/>
        <v>--</v>
      </c>
      <c r="R38" s="200" t="str">
        <f t="shared" si="6"/>
        <v>--</v>
      </c>
      <c r="S38" s="201" t="str">
        <f t="shared" si="7"/>
        <v>--</v>
      </c>
      <c r="T38" s="202" t="str">
        <f t="shared" si="8"/>
        <v>--</v>
      </c>
      <c r="U38" s="215" t="str">
        <f t="shared" si="9"/>
        <v>--</v>
      </c>
      <c r="V38" s="219" t="str">
        <f t="shared" si="10"/>
        <v>--</v>
      </c>
      <c r="W38" s="223" t="str">
        <f t="shared" si="11"/>
        <v>--</v>
      </c>
      <c r="X38" s="228" t="str">
        <f t="shared" si="12"/>
        <v>--</v>
      </c>
      <c r="Y38" s="233" t="str">
        <f t="shared" si="13"/>
        <v>--</v>
      </c>
      <c r="Z38" s="316">
        <f t="shared" si="15"/>
      </c>
      <c r="AA38" s="28">
        <f t="shared" si="14"/>
      </c>
      <c r="AB38" s="8"/>
    </row>
    <row r="39" spans="1:28" s="7" customFormat="1" ht="15">
      <c r="A39" s="6"/>
      <c r="B39" s="65"/>
      <c r="C39" s="298"/>
      <c r="D39" s="295"/>
      <c r="E39" s="295"/>
      <c r="F39" s="299"/>
      <c r="G39" s="304"/>
      <c r="H39" s="305"/>
      <c r="I39" s="176">
        <f t="shared" si="0"/>
        <v>15.70965</v>
      </c>
      <c r="J39" s="309"/>
      <c r="K39" s="309"/>
      <c r="L39" s="12">
        <f t="shared" si="1"/>
      </c>
      <c r="M39" s="13">
        <f t="shared" si="2"/>
      </c>
      <c r="N39" s="311"/>
      <c r="O39" s="14">
        <f t="shared" si="3"/>
      </c>
      <c r="P39" s="190" t="str">
        <f t="shared" si="4"/>
        <v>--</v>
      </c>
      <c r="Q39" s="195" t="str">
        <f t="shared" si="5"/>
        <v>--</v>
      </c>
      <c r="R39" s="200" t="str">
        <f t="shared" si="6"/>
        <v>--</v>
      </c>
      <c r="S39" s="201" t="str">
        <f t="shared" si="7"/>
        <v>--</v>
      </c>
      <c r="T39" s="202" t="str">
        <f t="shared" si="8"/>
        <v>--</v>
      </c>
      <c r="U39" s="215" t="str">
        <f t="shared" si="9"/>
        <v>--</v>
      </c>
      <c r="V39" s="219" t="str">
        <f t="shared" si="10"/>
        <v>--</v>
      </c>
      <c r="W39" s="223" t="str">
        <f t="shared" si="11"/>
        <v>--</v>
      </c>
      <c r="X39" s="228" t="str">
        <f t="shared" si="12"/>
        <v>--</v>
      </c>
      <c r="Y39" s="233" t="str">
        <f t="shared" si="13"/>
        <v>--</v>
      </c>
      <c r="Z39" s="316">
        <f t="shared" si="15"/>
      </c>
      <c r="AA39" s="28">
        <f t="shared" si="14"/>
      </c>
      <c r="AB39" s="8"/>
    </row>
    <row r="40" spans="1:28" s="7" customFormat="1" ht="15">
      <c r="A40" s="6"/>
      <c r="B40" s="65"/>
      <c r="C40" s="298"/>
      <c r="D40" s="295"/>
      <c r="E40" s="295"/>
      <c r="F40" s="299"/>
      <c r="G40" s="304"/>
      <c r="H40" s="305"/>
      <c r="I40" s="176">
        <f t="shared" si="0"/>
        <v>15.70965</v>
      </c>
      <c r="J40" s="309"/>
      <c r="K40" s="309"/>
      <c r="L40" s="12">
        <f t="shared" si="1"/>
      </c>
      <c r="M40" s="13">
        <f t="shared" si="2"/>
      </c>
      <c r="N40" s="311"/>
      <c r="O40" s="14">
        <f t="shared" si="3"/>
      </c>
      <c r="P40" s="190" t="str">
        <f t="shared" si="4"/>
        <v>--</v>
      </c>
      <c r="Q40" s="195" t="str">
        <f t="shared" si="5"/>
        <v>--</v>
      </c>
      <c r="R40" s="200" t="str">
        <f t="shared" si="6"/>
        <v>--</v>
      </c>
      <c r="S40" s="201" t="str">
        <f t="shared" si="7"/>
        <v>--</v>
      </c>
      <c r="T40" s="202" t="str">
        <f t="shared" si="8"/>
        <v>--</v>
      </c>
      <c r="U40" s="215" t="str">
        <f t="shared" si="9"/>
        <v>--</v>
      </c>
      <c r="V40" s="219" t="str">
        <f t="shared" si="10"/>
        <v>--</v>
      </c>
      <c r="W40" s="223" t="str">
        <f t="shared" si="11"/>
        <v>--</v>
      </c>
      <c r="X40" s="228" t="str">
        <f t="shared" si="12"/>
        <v>--</v>
      </c>
      <c r="Y40" s="233" t="str">
        <f t="shared" si="13"/>
        <v>--</v>
      </c>
      <c r="Z40" s="316">
        <f t="shared" si="15"/>
      </c>
      <c r="AA40" s="28">
        <f t="shared" si="14"/>
      </c>
      <c r="AB40" s="8"/>
    </row>
    <row r="41" spans="1:28" s="7" customFormat="1" ht="15.75" thickBot="1">
      <c r="A41" s="6"/>
      <c r="B41" s="65"/>
      <c r="C41" s="300"/>
      <c r="D41" s="300"/>
      <c r="E41" s="300"/>
      <c r="F41" s="301"/>
      <c r="G41" s="306"/>
      <c r="H41" s="307"/>
      <c r="I41" s="177"/>
      <c r="J41" s="310"/>
      <c r="K41" s="310"/>
      <c r="L41" s="15"/>
      <c r="M41" s="15"/>
      <c r="N41" s="310"/>
      <c r="O41" s="29"/>
      <c r="P41" s="191"/>
      <c r="Q41" s="196"/>
      <c r="R41" s="203"/>
      <c r="S41" s="204"/>
      <c r="T41" s="205"/>
      <c r="U41" s="216"/>
      <c r="V41" s="220"/>
      <c r="W41" s="224"/>
      <c r="X41" s="229"/>
      <c r="Y41" s="234"/>
      <c r="Z41" s="317"/>
      <c r="AA41" s="105"/>
      <c r="AB41" s="8"/>
    </row>
    <row r="42" spans="1:28" s="7" customFormat="1" ht="17.25" thickBot="1" thickTop="1">
      <c r="A42" s="6"/>
      <c r="B42" s="65"/>
      <c r="C42" s="164" t="s">
        <v>40</v>
      </c>
      <c r="D42" s="490" t="s">
        <v>232</v>
      </c>
      <c r="E42" s="166"/>
      <c r="F42" s="165"/>
      <c r="G42" s="6"/>
      <c r="H42" s="6"/>
      <c r="I42" s="6"/>
      <c r="J42" s="6"/>
      <c r="K42" s="6"/>
      <c r="L42" s="6"/>
      <c r="M42" s="6"/>
      <c r="N42" s="6"/>
      <c r="O42" s="6"/>
      <c r="P42" s="208">
        <f aca="true" t="shared" si="16" ref="P42:Y42">SUM(P19:P41)</f>
        <v>0</v>
      </c>
      <c r="Q42" s="209">
        <f t="shared" si="16"/>
        <v>0</v>
      </c>
      <c r="R42" s="235">
        <f t="shared" si="16"/>
        <v>1508.1263999999999</v>
      </c>
      <c r="S42" s="235">
        <f t="shared" si="16"/>
        <v>0</v>
      </c>
      <c r="T42" s="235">
        <f t="shared" si="16"/>
        <v>0</v>
      </c>
      <c r="U42" s="236">
        <f t="shared" si="16"/>
        <v>0</v>
      </c>
      <c r="V42" s="236">
        <f t="shared" si="16"/>
        <v>0</v>
      </c>
      <c r="W42" s="236">
        <f t="shared" si="16"/>
        <v>0</v>
      </c>
      <c r="X42" s="237">
        <f t="shared" si="16"/>
        <v>0</v>
      </c>
      <c r="Y42" s="238">
        <f t="shared" si="16"/>
        <v>0</v>
      </c>
      <c r="Z42" s="6"/>
      <c r="AA42" s="173">
        <f>ROUND(SUM(AA19:AA41),2)</f>
        <v>1508.13</v>
      </c>
      <c r="AB42" s="8"/>
    </row>
    <row r="43" spans="1:28" s="170" customFormat="1" ht="13.5" thickTop="1">
      <c r="A43" s="168"/>
      <c r="B43" s="169"/>
      <c r="C43" s="166"/>
      <c r="D43" s="166"/>
      <c r="E43" s="166"/>
      <c r="F43" s="167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71"/>
    </row>
    <row r="44" spans="1:28" s="7" customFormat="1" ht="13.5" thickBot="1">
      <c r="A44" s="6"/>
      <c r="B44" s="91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3"/>
    </row>
    <row r="45" spans="1:2" ht="13.5" thickTop="1">
      <c r="A45" s="1"/>
      <c r="B45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8" r:id="rId3"/>
  <headerFooter alignWithMargins="0">
    <oddFooter>&amp;L&amp;"Times New Roman,Normal"&amp;8&amp;Z&amp;F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S97"/>
  <sheetViews>
    <sheetView zoomScale="75" zoomScaleNormal="75" zoomScalePageLayoutView="0" workbookViewId="0" topLeftCell="B1">
      <selection activeCell="C48" sqref="C48"/>
    </sheetView>
  </sheetViews>
  <sheetFormatPr defaultColWidth="13.421875" defaultRowHeight="12.75"/>
  <cols>
    <col min="1" max="1" width="31.00390625" style="379" customWidth="1"/>
    <col min="2" max="2" width="15.7109375" style="379" customWidth="1"/>
    <col min="3" max="3" width="4.7109375" style="379" customWidth="1"/>
    <col min="4" max="4" width="41.7109375" style="379" customWidth="1"/>
    <col min="5" max="5" width="11.00390625" style="379" customWidth="1"/>
    <col min="6" max="6" width="13.28125" style="379" customWidth="1"/>
    <col min="7" max="7" width="6.7109375" style="379" customWidth="1"/>
    <col min="8" max="9" width="20.7109375" style="379" customWidth="1"/>
    <col min="10" max="10" width="13.8515625" style="379" customWidth="1"/>
    <col min="11" max="11" width="12.7109375" style="379" customWidth="1"/>
    <col min="12" max="12" width="27.57421875" style="379" customWidth="1"/>
    <col min="13" max="13" width="5.00390625" style="379" customWidth="1"/>
    <col min="14" max="14" width="2.8515625" style="379" customWidth="1"/>
    <col min="15" max="15" width="3.00390625" style="379" customWidth="1"/>
    <col min="16" max="16" width="19.00390625" style="379" customWidth="1"/>
    <col min="17" max="16384" width="13.421875" style="379" customWidth="1"/>
  </cols>
  <sheetData>
    <row r="1" s="357" customFormat="1" ht="39.75" customHeight="1">
      <c r="P1" s="358"/>
    </row>
    <row r="2" spans="2:16" s="357" customFormat="1" ht="26.25">
      <c r="B2" s="359" t="str">
        <f>'TOT-0714'!B2</f>
        <v>ANEXO IV al Memorandum D.T.E.E. N°  448  / 2015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</row>
    <row r="3" spans="1:2" s="362" customFormat="1" ht="11.25">
      <c r="A3" s="360" t="s">
        <v>4</v>
      </c>
      <c r="B3" s="361"/>
    </row>
    <row r="4" spans="1:2" s="362" customFormat="1" ht="11.25">
      <c r="A4" s="360" t="s">
        <v>5</v>
      </c>
      <c r="B4" s="361"/>
    </row>
    <row r="5" s="363" customFormat="1" ht="13.5" thickBot="1"/>
    <row r="6" spans="1:16" s="363" customFormat="1" ht="13.5" thickTop="1">
      <c r="A6" s="364"/>
      <c r="B6" s="365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7"/>
    </row>
    <row r="7" spans="1:16" s="371" customFormat="1" ht="20.25">
      <c r="A7" s="368"/>
      <c r="B7" s="369"/>
      <c r="C7" s="368"/>
      <c r="D7" s="370" t="s">
        <v>17</v>
      </c>
      <c r="G7" s="368"/>
      <c r="H7" s="368"/>
      <c r="I7" s="368"/>
      <c r="J7" s="368"/>
      <c r="K7" s="368"/>
      <c r="L7" s="368"/>
      <c r="M7" s="368"/>
      <c r="N7" s="368"/>
      <c r="O7" s="368"/>
      <c r="P7" s="372"/>
    </row>
    <row r="8" spans="1:16" ht="15">
      <c r="A8" s="373"/>
      <c r="B8" s="374"/>
      <c r="C8" s="375"/>
      <c r="D8" s="376"/>
      <c r="E8" s="375"/>
      <c r="F8" s="377"/>
      <c r="G8" s="375"/>
      <c r="H8" s="375"/>
      <c r="I8" s="375"/>
      <c r="J8" s="375"/>
      <c r="K8" s="375"/>
      <c r="L8" s="375"/>
      <c r="M8" s="375"/>
      <c r="N8" s="375"/>
      <c r="O8" s="375"/>
      <c r="P8" s="378"/>
    </row>
    <row r="9" spans="1:19" s="371" customFormat="1" ht="20.25">
      <c r="A9" s="368"/>
      <c r="B9" s="380"/>
      <c r="C9" s="379"/>
      <c r="D9" s="381" t="s">
        <v>224</v>
      </c>
      <c r="E9" s="382"/>
      <c r="F9" s="382"/>
      <c r="G9" s="382"/>
      <c r="H9" s="383"/>
      <c r="I9" s="382"/>
      <c r="J9" s="382"/>
      <c r="K9" s="382"/>
      <c r="L9" s="382"/>
      <c r="M9" s="382"/>
      <c r="N9" s="382"/>
      <c r="O9" s="382"/>
      <c r="P9" s="384"/>
      <c r="Q9" s="385"/>
      <c r="R9" s="386"/>
      <c r="S9" s="386"/>
    </row>
    <row r="10" spans="1:19" s="363" customFormat="1" ht="12.75">
      <c r="A10" s="364"/>
      <c r="B10" s="387"/>
      <c r="C10" s="364"/>
      <c r="D10" s="388"/>
      <c r="E10" s="389"/>
      <c r="F10" s="389"/>
      <c r="G10" s="389"/>
      <c r="H10" s="390"/>
      <c r="I10" s="389"/>
      <c r="J10" s="389"/>
      <c r="K10" s="389"/>
      <c r="L10" s="389"/>
      <c r="M10" s="389"/>
      <c r="N10" s="389"/>
      <c r="O10" s="389"/>
      <c r="P10" s="391"/>
      <c r="Q10" s="389"/>
      <c r="R10" s="389"/>
      <c r="S10" s="392"/>
    </row>
    <row r="11" spans="1:19" s="399" customFormat="1" ht="19.5">
      <c r="A11" s="393"/>
      <c r="B11" s="394" t="str">
        <f>'TOT-0714'!B14</f>
        <v>Desde el 01 al 31 de julio de 2014</v>
      </c>
      <c r="C11" s="395"/>
      <c r="D11" s="396"/>
      <c r="E11" s="396"/>
      <c r="F11" s="396"/>
      <c r="G11" s="396"/>
      <c r="H11" s="396"/>
      <c r="I11" s="395"/>
      <c r="J11" s="396"/>
      <c r="K11" s="396"/>
      <c r="L11" s="396"/>
      <c r="M11" s="396"/>
      <c r="N11" s="396"/>
      <c r="O11" s="396"/>
      <c r="P11" s="397"/>
      <c r="Q11" s="398"/>
      <c r="R11" s="398"/>
      <c r="S11" s="398"/>
    </row>
    <row r="12" spans="1:19" ht="15">
      <c r="A12" s="373"/>
      <c r="B12" s="374"/>
      <c r="C12" s="375"/>
      <c r="D12" s="400"/>
      <c r="E12" s="400"/>
      <c r="F12" s="400"/>
      <c r="G12" s="400"/>
      <c r="H12" s="401"/>
      <c r="I12" s="375"/>
      <c r="J12" s="400"/>
      <c r="K12" s="400"/>
      <c r="L12" s="400"/>
      <c r="M12" s="400"/>
      <c r="N12" s="400"/>
      <c r="O12" s="400"/>
      <c r="P12" s="402"/>
      <c r="Q12" s="403"/>
      <c r="R12" s="403"/>
      <c r="S12" s="404"/>
    </row>
    <row r="13" spans="1:19" ht="18" customHeight="1">
      <c r="A13" s="373"/>
      <c r="B13" s="374"/>
      <c r="C13" s="375"/>
      <c r="D13" s="400"/>
      <c r="E13" s="400"/>
      <c r="F13" s="400"/>
      <c r="G13" s="400"/>
      <c r="H13" s="405"/>
      <c r="I13" s="405"/>
      <c r="J13" s="400"/>
      <c r="K13" s="400"/>
      <c r="P13" s="402"/>
      <c r="Q13" s="403"/>
      <c r="R13" s="403"/>
      <c r="S13" s="404"/>
    </row>
    <row r="14" spans="1:19" ht="18" customHeight="1">
      <c r="A14" s="373"/>
      <c r="B14" s="374"/>
      <c r="C14" s="375"/>
      <c r="D14" s="406"/>
      <c r="E14" s="407"/>
      <c r="F14" s="400"/>
      <c r="G14" s="400"/>
      <c r="H14" s="405"/>
      <c r="I14" s="405"/>
      <c r="J14" s="400"/>
      <c r="K14" s="400"/>
      <c r="P14" s="402"/>
      <c r="Q14" s="403"/>
      <c r="R14" s="403"/>
      <c r="S14" s="404"/>
    </row>
    <row r="15" spans="1:16" ht="15.75">
      <c r="A15" s="373"/>
      <c r="B15" s="374"/>
      <c r="C15" s="408" t="s">
        <v>59</v>
      </c>
      <c r="D15" s="377"/>
      <c r="E15" s="409"/>
      <c r="F15" s="410"/>
      <c r="G15" s="375"/>
      <c r="H15" s="375"/>
      <c r="I15" s="375"/>
      <c r="J15" s="411"/>
      <c r="K15" s="411"/>
      <c r="L15" s="412"/>
      <c r="M15" s="375"/>
      <c r="N15" s="375"/>
      <c r="O15" s="375"/>
      <c r="P15" s="378"/>
    </row>
    <row r="16" spans="1:16" ht="16.5" thickBot="1">
      <c r="A16" s="373"/>
      <c r="B16" s="374"/>
      <c r="C16" s="413"/>
      <c r="D16" s="377"/>
      <c r="E16" s="409"/>
      <c r="F16" s="410"/>
      <c r="G16" s="375"/>
      <c r="L16" s="414" t="s">
        <v>56</v>
      </c>
      <c r="M16" s="415">
        <v>2.414</v>
      </c>
      <c r="N16" s="416"/>
      <c r="O16" s="375"/>
      <c r="P16" s="378"/>
    </row>
    <row r="17" spans="1:16" ht="16.5" thickBot="1">
      <c r="A17" s="373"/>
      <c r="B17" s="374"/>
      <c r="C17" s="413"/>
      <c r="D17" s="411" t="s">
        <v>60</v>
      </c>
      <c r="E17" s="417">
        <f>MID(B11,16,2)*24</f>
        <v>744</v>
      </c>
      <c r="F17" s="375" t="s">
        <v>61</v>
      </c>
      <c r="G17" s="400"/>
      <c r="H17" s="418"/>
      <c r="I17" s="419" t="s">
        <v>62</v>
      </c>
      <c r="J17" s="489">
        <v>239.46</v>
      </c>
      <c r="K17" s="420"/>
      <c r="L17" s="421" t="s">
        <v>57</v>
      </c>
      <c r="M17" s="422">
        <v>1.811</v>
      </c>
      <c r="N17" s="416"/>
      <c r="O17" s="375"/>
      <c r="P17" s="378"/>
    </row>
    <row r="18" spans="1:16" ht="15.75">
      <c r="A18" s="373"/>
      <c r="B18" s="374"/>
      <c r="C18" s="413"/>
      <c r="D18" s="411" t="s">
        <v>63</v>
      </c>
      <c r="E18" s="423">
        <v>0.04</v>
      </c>
      <c r="F18" s="400"/>
      <c r="G18" s="400"/>
      <c r="H18" s="424"/>
      <c r="I18" s="424"/>
      <c r="J18" s="425"/>
      <c r="K18" s="426"/>
      <c r="L18" s="427" t="s">
        <v>58</v>
      </c>
      <c r="M18" s="422">
        <v>1.811</v>
      </c>
      <c r="N18" s="416"/>
      <c r="O18" s="375"/>
      <c r="P18" s="378"/>
    </row>
    <row r="19" spans="1:16" ht="15.75">
      <c r="A19" s="373"/>
      <c r="B19" s="374"/>
      <c r="C19" s="413"/>
      <c r="D19" s="411"/>
      <c r="E19" s="423"/>
      <c r="F19" s="400"/>
      <c r="G19" s="400"/>
      <c r="H19" s="400"/>
      <c r="I19" s="400"/>
      <c r="L19" s="412"/>
      <c r="M19" s="375"/>
      <c r="N19" s="375"/>
      <c r="O19" s="375"/>
      <c r="P19" s="378"/>
    </row>
    <row r="20" spans="1:16" ht="15">
      <c r="A20" s="373"/>
      <c r="B20" s="374"/>
      <c r="C20" s="406" t="s">
        <v>64</v>
      </c>
      <c r="D20" s="428"/>
      <c r="E20" s="409"/>
      <c r="F20" s="410"/>
      <c r="G20" s="375"/>
      <c r="H20" s="375"/>
      <c r="I20" s="375"/>
      <c r="J20" s="411"/>
      <c r="K20" s="411"/>
      <c r="L20" s="412"/>
      <c r="M20" s="375"/>
      <c r="N20" s="375"/>
      <c r="O20" s="375"/>
      <c r="P20" s="378"/>
    </row>
    <row r="21" spans="1:16" ht="15">
      <c r="A21" s="373"/>
      <c r="B21" s="374"/>
      <c r="C21" s="375"/>
      <c r="D21" s="375"/>
      <c r="E21" s="375"/>
      <c r="F21" s="375"/>
      <c r="G21" s="375"/>
      <c r="H21" s="429"/>
      <c r="I21" s="375"/>
      <c r="J21" s="375"/>
      <c r="K21" s="375"/>
      <c r="L21" s="375"/>
      <c r="M21" s="375"/>
      <c r="N21" s="375"/>
      <c r="O21" s="375"/>
      <c r="P21" s="378"/>
    </row>
    <row r="22" spans="1:16" ht="15.75" thickBot="1">
      <c r="A22" s="373"/>
      <c r="B22" s="374"/>
      <c r="C22" s="375"/>
      <c r="D22" s="375"/>
      <c r="E22" s="375"/>
      <c r="F22" s="375"/>
      <c r="G22" s="375"/>
      <c r="H22" s="429"/>
      <c r="I22" s="430"/>
      <c r="J22" s="375"/>
      <c r="K22" s="375"/>
      <c r="L22" s="375"/>
      <c r="M22" s="375"/>
      <c r="N22" s="375"/>
      <c r="O22" s="375"/>
      <c r="P22" s="378"/>
    </row>
    <row r="23" spans="2:16" ht="20.25" thickBot="1" thickTop="1">
      <c r="B23" s="374"/>
      <c r="C23" s="431"/>
      <c r="D23" s="411" t="s">
        <v>65</v>
      </c>
      <c r="E23" s="375"/>
      <c r="F23" s="429" t="s">
        <v>3</v>
      </c>
      <c r="H23" s="432" t="s">
        <v>67</v>
      </c>
      <c r="I23" s="433">
        <v>2873.52</v>
      </c>
      <c r="L23" s="434" t="s">
        <v>66</v>
      </c>
      <c r="M23" s="435"/>
      <c r="N23" s="436"/>
      <c r="O23" s="437"/>
      <c r="P23" s="438"/>
    </row>
    <row r="24" spans="2:16" ht="15.75" thickTop="1">
      <c r="B24" s="374"/>
      <c r="C24" s="431"/>
      <c r="D24" s="428"/>
      <c r="E24" s="428"/>
      <c r="F24" s="439"/>
      <c r="G24" s="435"/>
      <c r="H24" s="435"/>
      <c r="I24" s="435"/>
      <c r="J24" s="435"/>
      <c r="K24" s="435"/>
      <c r="L24" s="435"/>
      <c r="M24" s="435"/>
      <c r="N24" s="436"/>
      <c r="O24" s="437"/>
      <c r="P24" s="438"/>
    </row>
    <row r="25" spans="2:16" ht="15">
      <c r="B25" s="374"/>
      <c r="C25" s="406" t="s">
        <v>68</v>
      </c>
      <c r="D25" s="428"/>
      <c r="E25" s="428"/>
      <c r="F25" s="439"/>
      <c r="G25" s="435"/>
      <c r="H25" s="435"/>
      <c r="I25" s="435"/>
      <c r="J25" s="435"/>
      <c r="K25" s="435"/>
      <c r="L25" s="435"/>
      <c r="M25" s="435"/>
      <c r="N25" s="436"/>
      <c r="O25" s="437"/>
      <c r="P25" s="438"/>
    </row>
    <row r="26" spans="2:16" ht="15">
      <c r="B26" s="374"/>
      <c r="C26" s="431"/>
      <c r="D26" s="428"/>
      <c r="E26" s="428"/>
      <c r="F26" s="439"/>
      <c r="G26" s="435"/>
      <c r="H26" s="435"/>
      <c r="I26" s="435"/>
      <c r="J26" s="435"/>
      <c r="K26" s="435"/>
      <c r="L26" s="435"/>
      <c r="M26" s="435"/>
      <c r="N26" s="436"/>
      <c r="O26" s="437"/>
      <c r="P26" s="438"/>
    </row>
    <row r="27" spans="2:16" ht="15.75">
      <c r="B27" s="374"/>
      <c r="C27" s="431"/>
      <c r="D27" s="440" t="s">
        <v>69</v>
      </c>
      <c r="E27" s="441" t="s">
        <v>70</v>
      </c>
      <c r="F27" s="442" t="s">
        <v>71</v>
      </c>
      <c r="G27" s="443"/>
      <c r="H27" s="443" t="s">
        <v>72</v>
      </c>
      <c r="I27" s="444" t="str">
        <f>"Cargo por E.E.T."</f>
        <v>Cargo por E.E.T.</v>
      </c>
      <c r="J27" s="445"/>
      <c r="K27" s="446"/>
      <c r="L27" s="447" t="s">
        <v>2</v>
      </c>
      <c r="N27" s="436"/>
      <c r="O27" s="437"/>
      <c r="P27" s="438"/>
    </row>
    <row r="28" spans="2:16" ht="15">
      <c r="B28" s="374"/>
      <c r="C28" s="431"/>
      <c r="D28" s="448" t="s">
        <v>159</v>
      </c>
      <c r="E28" s="449">
        <v>132</v>
      </c>
      <c r="F28" s="450">
        <v>40</v>
      </c>
      <c r="G28" s="451"/>
      <c r="H28" s="452">
        <f>F28*$J$17*$E$17/100</f>
        <v>71263.296</v>
      </c>
      <c r="I28" s="453">
        <v>0</v>
      </c>
      <c r="J28" s="454" t="str">
        <f>"(DTE "&amp;DATO!$G$14&amp;DATO!$H$14&amp;")"</f>
        <v>(DTE 0714)</v>
      </c>
      <c r="K28" s="455"/>
      <c r="L28" s="456">
        <f>SUM(H28:K28)</f>
        <v>71263.296</v>
      </c>
      <c r="M28" s="435"/>
      <c r="N28" s="436"/>
      <c r="O28" s="437"/>
      <c r="P28" s="438"/>
    </row>
    <row r="29" spans="2:16" ht="15">
      <c r="B29" s="374"/>
      <c r="C29" s="431"/>
      <c r="D29" s="457" t="s">
        <v>160</v>
      </c>
      <c r="E29" s="458">
        <v>132</v>
      </c>
      <c r="F29" s="459">
        <v>40</v>
      </c>
      <c r="G29" s="460"/>
      <c r="H29" s="461">
        <f>F29*$J$17*$E$17/100</f>
        <v>71263.296</v>
      </c>
      <c r="I29" s="462">
        <v>0</v>
      </c>
      <c r="J29" s="463" t="str">
        <f>"(DTE "&amp;DATO!$G$14&amp;DATO!$H$14&amp;")"</f>
        <v>(DTE 0714)</v>
      </c>
      <c r="K29" s="464"/>
      <c r="L29" s="465">
        <f>SUM(H29:K29)</f>
        <v>71263.296</v>
      </c>
      <c r="M29" s="435"/>
      <c r="N29" s="436"/>
      <c r="O29" s="437"/>
      <c r="P29" s="438"/>
    </row>
    <row r="30" spans="2:16" ht="15">
      <c r="B30" s="374"/>
      <c r="C30" s="431"/>
      <c r="D30" s="428"/>
      <c r="E30" s="428"/>
      <c r="F30" s="466"/>
      <c r="G30" s="435"/>
      <c r="I30" s="467"/>
      <c r="J30" s="468"/>
      <c r="K30" s="468"/>
      <c r="L30" s="469">
        <f>SUM(L28:L29)</f>
        <v>142526.592</v>
      </c>
      <c r="M30" s="435"/>
      <c r="N30" s="436"/>
      <c r="O30" s="437"/>
      <c r="P30" s="438"/>
    </row>
    <row r="31" spans="2:16" ht="15">
      <c r="B31" s="374"/>
      <c r="C31" s="431"/>
      <c r="D31" s="428"/>
      <c r="E31" s="428"/>
      <c r="F31" s="466"/>
      <c r="G31" s="435"/>
      <c r="H31" s="470"/>
      <c r="I31" s="467"/>
      <c r="J31" s="468"/>
      <c r="K31" s="468"/>
      <c r="L31" s="471"/>
      <c r="M31" s="435"/>
      <c r="N31" s="436"/>
      <c r="O31" s="472"/>
      <c r="P31" s="438"/>
    </row>
    <row r="32" spans="2:16" ht="12.75" customHeight="1" thickBot="1">
      <c r="B32" s="374"/>
      <c r="C32" s="431"/>
      <c r="D32" s="428"/>
      <c r="E32" s="428"/>
      <c r="F32" s="439"/>
      <c r="G32" s="435"/>
      <c r="H32" s="467"/>
      <c r="I32" s="428"/>
      <c r="J32" s="428"/>
      <c r="K32" s="428"/>
      <c r="L32" s="435"/>
      <c r="M32" s="435"/>
      <c r="N32" s="436"/>
      <c r="O32" s="437"/>
      <c r="P32" s="438"/>
    </row>
    <row r="33" spans="2:16" ht="20.25" thickBot="1" thickTop="1">
      <c r="B33" s="374"/>
      <c r="C33" s="431"/>
      <c r="D33" s="428"/>
      <c r="E33" s="428"/>
      <c r="F33" s="439"/>
      <c r="G33" s="435"/>
      <c r="H33" s="473" t="s">
        <v>73</v>
      </c>
      <c r="I33" s="474">
        <f>+L30</f>
        <v>142526.592</v>
      </c>
      <c r="J33" s="428"/>
      <c r="K33" s="473" t="s">
        <v>225</v>
      </c>
      <c r="L33" s="474">
        <v>37401.71328</v>
      </c>
      <c r="M33" s="435"/>
      <c r="N33" s="436"/>
      <c r="O33" s="437"/>
      <c r="P33" s="438"/>
    </row>
    <row r="34" spans="2:16" ht="15.75" thickTop="1">
      <c r="B34" s="374"/>
      <c r="C34" s="431"/>
      <c r="D34" s="428"/>
      <c r="E34" s="428"/>
      <c r="F34" s="439"/>
      <c r="G34" s="435"/>
      <c r="H34" s="467"/>
      <c r="I34" s="428"/>
      <c r="J34" s="428"/>
      <c r="K34" s="428"/>
      <c r="L34" s="435"/>
      <c r="M34" s="435"/>
      <c r="N34" s="436"/>
      <c r="O34" s="437"/>
      <c r="P34" s="438"/>
    </row>
    <row r="35" spans="2:16" ht="15.75">
      <c r="B35" s="374"/>
      <c r="C35" s="475" t="s">
        <v>74</v>
      </c>
      <c r="D35" s="428"/>
      <c r="E35" s="428"/>
      <c r="F35" s="439"/>
      <c r="G35" s="435"/>
      <c r="H35" s="467"/>
      <c r="I35" s="428"/>
      <c r="J35" s="428"/>
      <c r="K35" s="428"/>
      <c r="L35" s="435"/>
      <c r="M35" s="435"/>
      <c r="N35" s="436"/>
      <c r="O35" s="437"/>
      <c r="P35" s="438"/>
    </row>
    <row r="36" spans="2:16" ht="15.75" thickBot="1">
      <c r="B36" s="374"/>
      <c r="C36" s="431"/>
      <c r="D36" s="428"/>
      <c r="E36" s="428"/>
      <c r="F36" s="439"/>
      <c r="G36" s="435"/>
      <c r="H36" s="467"/>
      <c r="I36" s="428"/>
      <c r="J36" s="400"/>
      <c r="K36" s="400"/>
      <c r="O36" s="400"/>
      <c r="P36" s="438"/>
    </row>
    <row r="37" spans="2:16" ht="20.25" thickBot="1" thickTop="1">
      <c r="B37" s="374"/>
      <c r="C37" s="431"/>
      <c r="D37" s="476" t="s">
        <v>75</v>
      </c>
      <c r="F37" s="477"/>
      <c r="G37" s="375"/>
      <c r="H37" s="478" t="s">
        <v>76</v>
      </c>
      <c r="I37" s="479">
        <f>E18*L33</f>
        <v>1496.0685312000003</v>
      </c>
      <c r="J37" s="400"/>
      <c r="K37" s="400"/>
      <c r="O37" s="400"/>
      <c r="P37" s="438"/>
    </row>
    <row r="38" spans="2:16" ht="21.75" thickTop="1">
      <c r="B38" s="374"/>
      <c r="C38" s="431"/>
      <c r="F38" s="480"/>
      <c r="G38" s="368"/>
      <c r="I38" s="400"/>
      <c r="J38" s="435"/>
      <c r="K38" s="435"/>
      <c r="L38" s="435"/>
      <c r="M38" s="435"/>
      <c r="N38" s="436"/>
      <c r="O38" s="437"/>
      <c r="P38" s="438"/>
    </row>
    <row r="39" spans="2:16" ht="15">
      <c r="B39" s="374"/>
      <c r="C39" s="406" t="s">
        <v>77</v>
      </c>
      <c r="E39" s="400"/>
      <c r="F39" s="400"/>
      <c r="G39" s="400"/>
      <c r="H39" s="400"/>
      <c r="I39" s="435"/>
      <c r="J39" s="435"/>
      <c r="K39" s="435"/>
      <c r="L39" s="435"/>
      <c r="M39" s="435"/>
      <c r="N39" s="436"/>
      <c r="O39" s="437"/>
      <c r="P39" s="438"/>
    </row>
    <row r="40" spans="2:16" ht="15">
      <c r="B40" s="374"/>
      <c r="C40" s="431"/>
      <c r="D40" s="481" t="s">
        <v>78</v>
      </c>
      <c r="E40" s="482">
        <f>10*I23*I37/I33</f>
        <v>301.6267200000001</v>
      </c>
      <c r="F40" s="483"/>
      <c r="H40" s="400"/>
      <c r="I40" s="435"/>
      <c r="J40" s="435"/>
      <c r="K40" s="435"/>
      <c r="L40" s="435"/>
      <c r="M40" s="435"/>
      <c r="N40" s="436"/>
      <c r="O40" s="437"/>
      <c r="P40" s="438"/>
    </row>
    <row r="41" spans="2:16" ht="15">
      <c r="B41" s="374"/>
      <c r="C41" s="431"/>
      <c r="D41" s="400"/>
      <c r="E41" s="400"/>
      <c r="M41" s="435"/>
      <c r="N41" s="436"/>
      <c r="O41" s="437"/>
      <c r="P41" s="438"/>
    </row>
    <row r="42" spans="2:16" ht="15">
      <c r="B42" s="374"/>
      <c r="C42" s="431"/>
      <c r="D42" s="400" t="s">
        <v>226</v>
      </c>
      <c r="E42" s="400"/>
      <c r="F42" s="400"/>
      <c r="G42" s="400"/>
      <c r="H42" s="400"/>
      <c r="M42" s="435"/>
      <c r="N42" s="436"/>
      <c r="O42" s="437"/>
      <c r="P42" s="438"/>
    </row>
    <row r="43" spans="2:16" ht="15.75" thickBot="1">
      <c r="B43" s="374"/>
      <c r="C43" s="431"/>
      <c r="D43" s="400"/>
      <c r="E43" s="400"/>
      <c r="F43" s="400"/>
      <c r="G43" s="400"/>
      <c r="H43" s="400"/>
      <c r="J43" s="435"/>
      <c r="K43" s="435"/>
      <c r="L43" s="435"/>
      <c r="M43" s="435"/>
      <c r="N43" s="436"/>
      <c r="O43" s="437"/>
      <c r="P43" s="438"/>
    </row>
    <row r="44" spans="2:16" ht="20.25" thickBot="1" thickTop="1">
      <c r="B44" s="374"/>
      <c r="C44" s="431"/>
      <c r="D44" s="428"/>
      <c r="E44" s="428"/>
      <c r="F44" s="439"/>
      <c r="G44" s="435"/>
      <c r="H44" s="484" t="s">
        <v>79</v>
      </c>
      <c r="I44" s="485">
        <f>IF($E$40&gt;3*I37,3*I37,$E$40)</f>
        <v>301.6267200000001</v>
      </c>
      <c r="J44" s="435"/>
      <c r="K44" s="405" t="s">
        <v>227</v>
      </c>
      <c r="L44" s="435"/>
      <c r="M44" s="435"/>
      <c r="N44" s="436"/>
      <c r="O44" s="437"/>
      <c r="P44" s="438"/>
    </row>
    <row r="45" spans="2:16" ht="16.5" thickBot="1" thickTop="1">
      <c r="B45" s="486"/>
      <c r="C45" s="487"/>
      <c r="D45" s="487"/>
      <c r="E45" s="487"/>
      <c r="F45" s="487"/>
      <c r="G45" s="487"/>
      <c r="H45" s="487"/>
      <c r="I45" s="487"/>
      <c r="J45" s="487"/>
      <c r="K45" s="487"/>
      <c r="L45" s="487"/>
      <c r="M45" s="487"/>
      <c r="N45" s="487"/>
      <c r="O45" s="487"/>
      <c r="P45" s="488"/>
    </row>
    <row r="46" spans="2:16" ht="13.5" thickTop="1">
      <c r="B46" s="373"/>
      <c r="P46" s="373"/>
    </row>
    <row r="48" ht="12.75">
      <c r="A48" s="373"/>
    </row>
    <row r="49" ht="12.75">
      <c r="A49" s="373"/>
    </row>
    <row r="50" ht="12.75">
      <c r="A50" s="373"/>
    </row>
    <row r="51" ht="12.75">
      <c r="A51" s="373"/>
    </row>
    <row r="52" ht="12.75">
      <c r="A52" s="373"/>
    </row>
    <row r="55" ht="12" customHeight="1"/>
    <row r="91" ht="12.75">
      <c r="B91" s="373"/>
    </row>
    <row r="97" ht="12.75">
      <c r="A97" s="373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6" r:id="rId2"/>
  <headerFooter alignWithMargins="0">
    <oddFooter>&amp;L&amp;"Times New Roman,Normal"&amp;8&amp;Z&amp;F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8"/>
  <sheetViews>
    <sheetView zoomScale="64" zoomScaleNormal="64" zoomScalePageLayoutView="0" workbookViewId="0" topLeftCell="A1">
      <selection activeCell="G127" sqref="G127:S127"/>
    </sheetView>
  </sheetViews>
  <sheetFormatPr defaultColWidth="11.421875" defaultRowHeight="12.75"/>
  <cols>
    <col min="1" max="1" width="30.28125" style="0" customWidth="1"/>
    <col min="2" max="2" width="8.7109375" style="0" customWidth="1"/>
    <col min="3" max="3" width="7.28125" style="0" customWidth="1"/>
    <col min="4" max="4" width="53.140625" style="0" bestFit="1" customWidth="1"/>
    <col min="5" max="5" width="8.57421875" style="0" customWidth="1"/>
    <col min="6" max="6" width="12.8515625" style="0" customWidth="1"/>
    <col min="7" max="12" width="7.7109375" style="0" customWidth="1"/>
    <col min="13" max="13" width="10.28125" style="0" bestFit="1" customWidth="1"/>
    <col min="14" max="19" width="7.7109375" style="0" customWidth="1"/>
    <col min="20" max="20" width="8.7109375" style="0" customWidth="1"/>
  </cols>
  <sheetData>
    <row r="1" ht="40.5" customHeight="1">
      <c r="T1" s="491"/>
    </row>
    <row r="2" spans="2:20" s="492" customFormat="1" ht="31.5" customHeight="1">
      <c r="B2" s="493" t="str">
        <f>'TOT-0714'!B2</f>
        <v>ANEXO IV al Memorandum D.T.E.E. N°  448  / 2015</v>
      </c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</row>
    <row r="3" spans="1:3" ht="12.75" customHeight="1">
      <c r="A3" s="579" t="s">
        <v>4</v>
      </c>
      <c r="B3" s="579"/>
      <c r="C3" s="579"/>
    </row>
    <row r="4" spans="1:4" ht="12.75" customHeight="1">
      <c r="A4" s="579" t="s">
        <v>5</v>
      </c>
      <c r="B4" s="579"/>
      <c r="C4" s="579"/>
      <c r="D4" s="495"/>
    </row>
    <row r="5" spans="1:4" ht="12" customHeight="1">
      <c r="A5" s="496"/>
      <c r="D5" s="495"/>
    </row>
    <row r="6" spans="1:20" ht="26.25">
      <c r="A6" s="496"/>
      <c r="B6" s="497" t="s">
        <v>235</v>
      </c>
      <c r="C6" s="498"/>
      <c r="D6" s="495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</row>
    <row r="7" spans="1:4" ht="18.75" customHeight="1">
      <c r="A7" s="496"/>
      <c r="D7" s="495"/>
    </row>
    <row r="8" spans="1:20" ht="26.25">
      <c r="A8" s="496"/>
      <c r="B8" s="499" t="s">
        <v>1</v>
      </c>
      <c r="C8" s="498"/>
      <c r="D8" s="495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8"/>
      <c r="T8" s="498"/>
    </row>
    <row r="9" spans="1:4" ht="18.75" customHeight="1">
      <c r="A9" s="496"/>
      <c r="D9" s="495"/>
    </row>
    <row r="10" spans="1:20" ht="26.25">
      <c r="A10" s="496"/>
      <c r="B10" s="499" t="s">
        <v>236</v>
      </c>
      <c r="C10" s="498"/>
      <c r="D10" s="495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</row>
    <row r="11" ht="18.75" customHeight="1" thickBot="1"/>
    <row r="12" spans="2:20" ht="18.75" customHeight="1" thickTop="1">
      <c r="B12" s="500"/>
      <c r="C12" s="501"/>
      <c r="D12" s="502"/>
      <c r="E12" s="502"/>
      <c r="F12" s="502"/>
      <c r="G12" s="501"/>
      <c r="H12" s="501"/>
      <c r="I12" s="501"/>
      <c r="J12" s="501"/>
      <c r="K12" s="501"/>
      <c r="L12" s="501"/>
      <c r="M12" s="501"/>
      <c r="N12" s="501"/>
      <c r="O12" s="501"/>
      <c r="P12" s="501"/>
      <c r="Q12" s="501"/>
      <c r="R12" s="501"/>
      <c r="S12" s="501"/>
      <c r="T12" s="503"/>
    </row>
    <row r="13" spans="1:20" ht="19.5">
      <c r="A13" s="504"/>
      <c r="B13" s="505" t="s">
        <v>237</v>
      </c>
      <c r="C13" s="506"/>
      <c r="D13" s="54" t="s">
        <v>245</v>
      </c>
      <c r="E13" s="507"/>
      <c r="F13" s="507"/>
      <c r="G13" s="508"/>
      <c r="H13" s="508"/>
      <c r="I13" s="508"/>
      <c r="J13" s="508"/>
      <c r="K13" s="508"/>
      <c r="L13" s="508"/>
      <c r="M13" s="508"/>
      <c r="N13" s="508"/>
      <c r="O13" s="508"/>
      <c r="P13" s="508"/>
      <c r="Q13" s="508"/>
      <c r="R13" s="508"/>
      <c r="S13" s="508"/>
      <c r="T13" s="509"/>
    </row>
    <row r="14" spans="2:20" ht="18.75" customHeight="1" thickBot="1">
      <c r="B14" s="510"/>
      <c r="C14" s="511"/>
      <c r="D14" s="512"/>
      <c r="E14" s="512"/>
      <c r="F14" s="51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504"/>
    </row>
    <row r="15" spans="1:20" s="521" customFormat="1" ht="34.5" customHeight="1" thickBot="1" thickTop="1">
      <c r="A15" s="514"/>
      <c r="B15" s="515"/>
      <c r="C15" s="112" t="s">
        <v>22</v>
      </c>
      <c r="D15" s="516" t="s">
        <v>3</v>
      </c>
      <c r="E15" s="517" t="s">
        <v>23</v>
      </c>
      <c r="F15" s="518" t="s">
        <v>24</v>
      </c>
      <c r="G15" s="519">
        <v>41456</v>
      </c>
      <c r="H15" s="519">
        <v>41487</v>
      </c>
      <c r="I15" s="519">
        <v>41518</v>
      </c>
      <c r="J15" s="519">
        <v>41548</v>
      </c>
      <c r="K15" s="519">
        <v>41579</v>
      </c>
      <c r="L15" s="519">
        <v>41609</v>
      </c>
      <c r="M15" s="519">
        <v>41640</v>
      </c>
      <c r="N15" s="519">
        <v>41671</v>
      </c>
      <c r="O15" s="519">
        <v>41699</v>
      </c>
      <c r="P15" s="519">
        <v>41730</v>
      </c>
      <c r="Q15" s="519">
        <v>41760</v>
      </c>
      <c r="R15" s="519">
        <v>41791</v>
      </c>
      <c r="S15" s="519">
        <v>41821</v>
      </c>
      <c r="T15" s="520"/>
    </row>
    <row r="16" spans="2:20" s="522" customFormat="1" ht="19.5" customHeight="1" thickTop="1">
      <c r="B16" s="523"/>
      <c r="C16" s="524"/>
      <c r="D16" s="525"/>
      <c r="E16" s="525"/>
      <c r="F16" s="526"/>
      <c r="G16" s="527"/>
      <c r="H16" s="527"/>
      <c r="I16" s="527"/>
      <c r="J16" s="527"/>
      <c r="K16" s="527"/>
      <c r="L16" s="527"/>
      <c r="M16" s="527"/>
      <c r="N16" s="527"/>
      <c r="O16" s="527"/>
      <c r="P16" s="527"/>
      <c r="Q16" s="527"/>
      <c r="R16" s="527"/>
      <c r="S16" s="526"/>
      <c r="T16" s="528"/>
    </row>
    <row r="17" spans="2:20" s="522" customFormat="1" ht="19.5" customHeight="1">
      <c r="B17" s="523"/>
      <c r="C17" s="529">
        <f>'[1]Tasa de Falla'!C17</f>
        <v>1</v>
      </c>
      <c r="D17" s="529" t="str">
        <f>'[1]Tasa de Falla'!D17</f>
        <v>AGUA BLANCA - VILLA QUINTEROS</v>
      </c>
      <c r="E17" s="529">
        <f>'[1]Tasa de Falla'!E17</f>
        <v>132</v>
      </c>
      <c r="F17" s="529">
        <f>'[1]Tasa de Falla'!F17</f>
        <v>23.8</v>
      </c>
      <c r="G17" s="530">
        <f>IF('[1]Tasa de Falla'!IB17=0,"",'[1]Tasa de Falla'!IB17)</f>
      </c>
      <c r="H17" s="530">
        <f>IF('[1]Tasa de Falla'!IC17=0,"",'[1]Tasa de Falla'!IC17)</f>
        <v>1</v>
      </c>
      <c r="I17" s="530">
        <f>IF('[1]Tasa de Falla'!ID17=0,"",'[1]Tasa de Falla'!ID17)</f>
      </c>
      <c r="J17" s="530">
        <f>IF('[1]Tasa de Falla'!IE17=0,"",'[1]Tasa de Falla'!IE17)</f>
      </c>
      <c r="K17" s="530">
        <f>IF('[1]Tasa de Falla'!IF17=0,"",'[1]Tasa de Falla'!IF17)</f>
      </c>
      <c r="L17" s="530">
        <f>IF('[1]Tasa de Falla'!IG17=0,"",'[1]Tasa de Falla'!IG17)</f>
        <v>1</v>
      </c>
      <c r="M17" s="530">
        <f>IF('[1]Tasa de Falla'!IH17=0,"",'[1]Tasa de Falla'!IH17)</f>
      </c>
      <c r="N17" s="530">
        <f>IF('[1]Tasa de Falla'!II17=0,"",'[1]Tasa de Falla'!II17)</f>
      </c>
      <c r="O17" s="530">
        <f>IF('[1]Tasa de Falla'!IJ17=0,"",'[1]Tasa de Falla'!IJ17)</f>
      </c>
      <c r="P17" s="530">
        <f>IF('[1]Tasa de Falla'!IK17=0,"",'[1]Tasa de Falla'!IK17)</f>
      </c>
      <c r="Q17" s="530">
        <f>IF('[1]Tasa de Falla'!IL17=0,"",'[1]Tasa de Falla'!IL17)</f>
      </c>
      <c r="R17" s="530">
        <f>IF('[1]Tasa de Falla'!IM17=0,"",'[1]Tasa de Falla'!IM17)</f>
      </c>
      <c r="S17" s="531"/>
      <c r="T17" s="528"/>
    </row>
    <row r="18" spans="2:20" s="522" customFormat="1" ht="19.5" customHeight="1">
      <c r="B18" s="523"/>
      <c r="C18" s="529">
        <f>'[1]Tasa de Falla'!C18</f>
        <v>2</v>
      </c>
      <c r="D18" s="529" t="str">
        <f>'[1]Tasa de Falla'!D18</f>
        <v>AGUILARES - ESCABA</v>
      </c>
      <c r="E18" s="529">
        <f>'[1]Tasa de Falla'!E18</f>
        <v>132</v>
      </c>
      <c r="F18" s="529">
        <f>'[1]Tasa de Falla'!F18</f>
        <v>27.6</v>
      </c>
      <c r="G18" s="530">
        <f>IF('[1]Tasa de Falla'!IB18=0,"",'[1]Tasa de Falla'!IB18)</f>
      </c>
      <c r="H18" s="530">
        <f>IF('[1]Tasa de Falla'!IC18=0,"",'[1]Tasa de Falla'!IC18)</f>
        <v>2</v>
      </c>
      <c r="I18" s="530">
        <f>IF('[1]Tasa de Falla'!ID18=0,"",'[1]Tasa de Falla'!ID18)</f>
      </c>
      <c r="J18" s="530">
        <f>IF('[1]Tasa de Falla'!IE18=0,"",'[1]Tasa de Falla'!IE18)</f>
      </c>
      <c r="K18" s="530">
        <f>IF('[1]Tasa de Falla'!IF18=0,"",'[1]Tasa de Falla'!IF18)</f>
      </c>
      <c r="L18" s="530">
        <f>IF('[1]Tasa de Falla'!IG18=0,"",'[1]Tasa de Falla'!IG18)</f>
      </c>
      <c r="M18" s="530">
        <f>IF('[1]Tasa de Falla'!IH18=0,"",'[1]Tasa de Falla'!IH18)</f>
      </c>
      <c r="N18" s="530">
        <f>IF('[1]Tasa de Falla'!II18=0,"",'[1]Tasa de Falla'!II18)</f>
      </c>
      <c r="O18" s="530">
        <f>IF('[1]Tasa de Falla'!IJ18=0,"",'[1]Tasa de Falla'!IJ18)</f>
      </c>
      <c r="P18" s="530">
        <f>IF('[1]Tasa de Falla'!IK18=0,"",'[1]Tasa de Falla'!IK18)</f>
      </c>
      <c r="Q18" s="530">
        <f>IF('[1]Tasa de Falla'!IL18=0,"",'[1]Tasa de Falla'!IL18)</f>
      </c>
      <c r="R18" s="530">
        <f>IF('[1]Tasa de Falla'!IM18=0,"",'[1]Tasa de Falla'!IM18)</f>
      </c>
      <c r="S18" s="531"/>
      <c r="T18" s="528"/>
    </row>
    <row r="19" spans="2:20" s="522" customFormat="1" ht="18">
      <c r="B19" s="523"/>
      <c r="C19" s="529">
        <f>'[1]Tasa de Falla'!C19</f>
        <v>3</v>
      </c>
      <c r="D19" s="529" t="str">
        <f>'[1]Tasa de Falla'!D19</f>
        <v>CABRA CORRAL - SALTA SUR</v>
      </c>
      <c r="E19" s="529">
        <f>'[1]Tasa de Falla'!E19</f>
        <v>132</v>
      </c>
      <c r="F19" s="529">
        <f>'[1]Tasa de Falla'!F19</f>
        <v>62</v>
      </c>
      <c r="G19" s="530" t="str">
        <f>IF('[1]Tasa de Falla'!IB19=0,"",'[1]Tasa de Falla'!IB19)</f>
        <v>XXXX</v>
      </c>
      <c r="H19" s="530" t="str">
        <f>IF('[1]Tasa de Falla'!IC19=0,"",'[1]Tasa de Falla'!IC19)</f>
        <v>XXXX</v>
      </c>
      <c r="I19" s="530" t="str">
        <f>IF('[1]Tasa de Falla'!ID19=0,"",'[1]Tasa de Falla'!ID19)</f>
        <v>XXXX</v>
      </c>
      <c r="J19" s="530" t="str">
        <f>IF('[1]Tasa de Falla'!IE19=0,"",'[1]Tasa de Falla'!IE19)</f>
        <v>XXXX</v>
      </c>
      <c r="K19" s="530" t="str">
        <f>IF('[1]Tasa de Falla'!IF19=0,"",'[1]Tasa de Falla'!IF19)</f>
        <v>XXXX</v>
      </c>
      <c r="L19" s="530" t="str">
        <f>IF('[1]Tasa de Falla'!IG19=0,"",'[1]Tasa de Falla'!IG19)</f>
        <v>XXXX</v>
      </c>
      <c r="M19" s="530" t="str">
        <f>IF('[1]Tasa de Falla'!IH19=0,"",'[1]Tasa de Falla'!IH19)</f>
        <v>XXXX</v>
      </c>
      <c r="N19" s="530" t="str">
        <f>IF('[1]Tasa de Falla'!II19=0,"",'[1]Tasa de Falla'!II19)</f>
        <v>XXXX</v>
      </c>
      <c r="O19" s="530" t="str">
        <f>IF('[1]Tasa de Falla'!IJ19=0,"",'[1]Tasa de Falla'!IJ19)</f>
        <v>XXXX</v>
      </c>
      <c r="P19" s="530" t="str">
        <f>IF('[1]Tasa de Falla'!IK19=0,"",'[1]Tasa de Falla'!IK19)</f>
        <v>XXXX</v>
      </c>
      <c r="Q19" s="530" t="str">
        <f>IF('[1]Tasa de Falla'!IL19=0,"",'[1]Tasa de Falla'!IL19)</f>
        <v>XXXX</v>
      </c>
      <c r="R19" s="530" t="str">
        <f>IF('[1]Tasa de Falla'!IM19=0,"",'[1]Tasa de Falla'!IM19)</f>
        <v>XXXX</v>
      </c>
      <c r="S19" s="531"/>
      <c r="T19" s="528"/>
    </row>
    <row r="20" spans="2:20" s="522" customFormat="1" ht="19.5" customHeight="1">
      <c r="B20" s="523"/>
      <c r="C20" s="529">
        <f>'[1]Tasa de Falla'!C20</f>
        <v>4</v>
      </c>
      <c r="D20" s="529" t="str">
        <f>'[1]Tasa de Falla'!D20</f>
        <v>CEVIL POZO - TUCUMAN NORTE</v>
      </c>
      <c r="E20" s="529">
        <f>'[1]Tasa de Falla'!E20</f>
        <v>132</v>
      </c>
      <c r="F20" s="529">
        <f>'[1]Tasa de Falla'!F20</f>
        <v>14.5</v>
      </c>
      <c r="G20" s="530">
        <f>IF('[1]Tasa de Falla'!IB20=0,"",'[1]Tasa de Falla'!IB20)</f>
      </c>
      <c r="H20" s="530">
        <f>IF('[1]Tasa de Falla'!IC20=0,"",'[1]Tasa de Falla'!IC20)</f>
      </c>
      <c r="I20" s="530">
        <f>IF('[1]Tasa de Falla'!ID20=0,"",'[1]Tasa de Falla'!ID20)</f>
        <v>1</v>
      </c>
      <c r="J20" s="530">
        <f>IF('[1]Tasa de Falla'!IE20=0,"",'[1]Tasa de Falla'!IE20)</f>
      </c>
      <c r="K20" s="530">
        <f>IF('[1]Tasa de Falla'!IF20=0,"",'[1]Tasa de Falla'!IF20)</f>
      </c>
      <c r="L20" s="530">
        <f>IF('[1]Tasa de Falla'!IG20=0,"",'[1]Tasa de Falla'!IG20)</f>
      </c>
      <c r="M20" s="530">
        <f>IF('[1]Tasa de Falla'!IH20=0,"",'[1]Tasa de Falla'!IH20)</f>
      </c>
      <c r="N20" s="530">
        <f>IF('[1]Tasa de Falla'!II20=0,"",'[1]Tasa de Falla'!II20)</f>
      </c>
      <c r="O20" s="530">
        <f>IF('[1]Tasa de Falla'!IJ20=0,"",'[1]Tasa de Falla'!IJ20)</f>
      </c>
      <c r="P20" s="530">
        <f>IF('[1]Tasa de Falla'!IK20=0,"",'[1]Tasa de Falla'!IK20)</f>
      </c>
      <c r="Q20" s="530">
        <f>IF('[1]Tasa de Falla'!IL20=0,"",'[1]Tasa de Falla'!IL20)</f>
      </c>
      <c r="R20" s="530">
        <f>IF('[1]Tasa de Falla'!IM20=0,"",'[1]Tasa de Falla'!IM20)</f>
      </c>
      <c r="S20" s="531"/>
      <c r="T20" s="528"/>
    </row>
    <row r="21" spans="2:20" s="522" customFormat="1" ht="18">
      <c r="B21" s="523"/>
      <c r="C21" s="529">
        <f>'[1]Tasa de Falla'!C21</f>
        <v>5</v>
      </c>
      <c r="D21" s="529" t="str">
        <f>'[1]Tasa de Falla'!D21</f>
        <v>CAMPO SANTO - MINETTI</v>
      </c>
      <c r="E21" s="529">
        <f>'[1]Tasa de Falla'!E21</f>
        <v>132</v>
      </c>
      <c r="F21" s="529">
        <f>'[1]Tasa de Falla'!F21</f>
        <v>29.9</v>
      </c>
      <c r="G21" s="530" t="str">
        <f>IF('[1]Tasa de Falla'!IB21=0,"",'[1]Tasa de Falla'!IB21)</f>
        <v>XXXX</v>
      </c>
      <c r="H21" s="530" t="str">
        <f>IF('[1]Tasa de Falla'!IC21=0,"",'[1]Tasa de Falla'!IC21)</f>
        <v>XXXX</v>
      </c>
      <c r="I21" s="530" t="str">
        <f>IF('[1]Tasa de Falla'!ID21=0,"",'[1]Tasa de Falla'!ID21)</f>
        <v>XXXX</v>
      </c>
      <c r="J21" s="530" t="str">
        <f>IF('[1]Tasa de Falla'!IE21=0,"",'[1]Tasa de Falla'!IE21)</f>
        <v>XXXX</v>
      </c>
      <c r="K21" s="530" t="str">
        <f>IF('[1]Tasa de Falla'!IF21=0,"",'[1]Tasa de Falla'!IF21)</f>
        <v>XXXX</v>
      </c>
      <c r="L21" s="530" t="str">
        <f>IF('[1]Tasa de Falla'!IG21=0,"",'[1]Tasa de Falla'!IG21)</f>
        <v>XXXX</v>
      </c>
      <c r="M21" s="530" t="str">
        <f>IF('[1]Tasa de Falla'!IH21=0,"",'[1]Tasa de Falla'!IH21)</f>
        <v>XXXX</v>
      </c>
      <c r="N21" s="530" t="str">
        <f>IF('[1]Tasa de Falla'!II21=0,"",'[1]Tasa de Falla'!II21)</f>
        <v>XXXX</v>
      </c>
      <c r="O21" s="530" t="str">
        <f>IF('[1]Tasa de Falla'!IJ21=0,"",'[1]Tasa de Falla'!IJ21)</f>
        <v>XXXX</v>
      </c>
      <c r="P21" s="530" t="str">
        <f>IF('[1]Tasa de Falla'!IK21=0,"",'[1]Tasa de Falla'!IK21)</f>
        <v>XXXX</v>
      </c>
      <c r="Q21" s="530" t="str">
        <f>IF('[1]Tasa de Falla'!IL21=0,"",'[1]Tasa de Falla'!IL21)</f>
        <v>XXXX</v>
      </c>
      <c r="R21" s="530" t="str">
        <f>IF('[1]Tasa de Falla'!IM21=0,"",'[1]Tasa de Falla'!IM21)</f>
        <v>XXXX</v>
      </c>
      <c r="S21" s="531"/>
      <c r="T21" s="528"/>
    </row>
    <row r="22" spans="2:20" s="522" customFormat="1" ht="18">
      <c r="B22" s="523"/>
      <c r="C22" s="529">
        <f>'[1]Tasa de Falla'!C22</f>
        <v>6</v>
      </c>
      <c r="D22" s="529" t="str">
        <f>'[1]Tasa de Falla'!D22</f>
        <v>ESCABA - HUACRA</v>
      </c>
      <c r="E22" s="529">
        <f>'[1]Tasa de Falla'!E22</f>
        <v>132</v>
      </c>
      <c r="F22" s="529">
        <f>'[1]Tasa de Falla'!F22</f>
        <v>49.9</v>
      </c>
      <c r="G22" s="530" t="str">
        <f>IF('[1]Tasa de Falla'!IB22=0,"",'[1]Tasa de Falla'!IB22)</f>
        <v>XXXX</v>
      </c>
      <c r="H22" s="530" t="str">
        <f>IF('[1]Tasa de Falla'!IC22=0,"",'[1]Tasa de Falla'!IC22)</f>
        <v>XXXX</v>
      </c>
      <c r="I22" s="530" t="str">
        <f>IF('[1]Tasa de Falla'!ID22=0,"",'[1]Tasa de Falla'!ID22)</f>
        <v>XXXX</v>
      </c>
      <c r="J22" s="530" t="str">
        <f>IF('[1]Tasa de Falla'!IE22=0,"",'[1]Tasa de Falla'!IE22)</f>
        <v>XXXX</v>
      </c>
      <c r="K22" s="530" t="str">
        <f>IF('[1]Tasa de Falla'!IF22=0,"",'[1]Tasa de Falla'!IF22)</f>
        <v>XXXX</v>
      </c>
      <c r="L22" s="530" t="str">
        <f>IF('[1]Tasa de Falla'!IG22=0,"",'[1]Tasa de Falla'!IG22)</f>
        <v>XXXX</v>
      </c>
      <c r="M22" s="530" t="str">
        <f>IF('[1]Tasa de Falla'!IH22=0,"",'[1]Tasa de Falla'!IH22)</f>
        <v>XXXX</v>
      </c>
      <c r="N22" s="530" t="str">
        <f>IF('[1]Tasa de Falla'!II22=0,"",'[1]Tasa de Falla'!II22)</f>
        <v>XXXX</v>
      </c>
      <c r="O22" s="530" t="str">
        <f>IF('[1]Tasa de Falla'!IJ22=0,"",'[1]Tasa de Falla'!IJ22)</f>
        <v>XXXX</v>
      </c>
      <c r="P22" s="530" t="str">
        <f>IF('[1]Tasa de Falla'!IK22=0,"",'[1]Tasa de Falla'!IK22)</f>
        <v>XXXX</v>
      </c>
      <c r="Q22" s="530" t="str">
        <f>IF('[1]Tasa de Falla'!IL22=0,"",'[1]Tasa de Falla'!IL22)</f>
        <v>XXXX</v>
      </c>
      <c r="R22" s="530" t="str">
        <f>IF('[1]Tasa de Falla'!IM22=0,"",'[1]Tasa de Falla'!IM22)</f>
        <v>XXXX</v>
      </c>
      <c r="S22" s="531"/>
      <c r="T22" s="528"/>
    </row>
    <row r="23" spans="2:20" s="522" customFormat="1" ht="19.5" customHeight="1">
      <c r="B23" s="523"/>
      <c r="C23" s="529">
        <f>'[1]Tasa de Falla'!C23</f>
        <v>7</v>
      </c>
      <c r="D23" s="529" t="str">
        <f>'[1]Tasa de Falla'!D23</f>
        <v>ESTATICA SUR - EL BRACHO</v>
      </c>
      <c r="E23" s="529">
        <f>'[1]Tasa de Falla'!E23</f>
        <v>132</v>
      </c>
      <c r="F23" s="529">
        <f>'[1]Tasa de Falla'!F23</f>
        <v>19.6</v>
      </c>
      <c r="G23" s="530">
        <f>IF('[1]Tasa de Falla'!IB23=0,"",'[1]Tasa de Falla'!IB23)</f>
      </c>
      <c r="H23" s="530">
        <f>IF('[1]Tasa de Falla'!IC23=0,"",'[1]Tasa de Falla'!IC23)</f>
      </c>
      <c r="I23" s="530">
        <f>IF('[1]Tasa de Falla'!ID23=0,"",'[1]Tasa de Falla'!ID23)</f>
      </c>
      <c r="J23" s="530">
        <f>IF('[1]Tasa de Falla'!IE23=0,"",'[1]Tasa de Falla'!IE23)</f>
      </c>
      <c r="K23" s="530">
        <f>IF('[1]Tasa de Falla'!IF23=0,"",'[1]Tasa de Falla'!IF23)</f>
      </c>
      <c r="L23" s="530">
        <f>IF('[1]Tasa de Falla'!IG23=0,"",'[1]Tasa de Falla'!IG23)</f>
      </c>
      <c r="M23" s="530">
        <f>IF('[1]Tasa de Falla'!IH23=0,"",'[1]Tasa de Falla'!IH23)</f>
      </c>
      <c r="N23" s="530">
        <f>IF('[1]Tasa de Falla'!II23=0,"",'[1]Tasa de Falla'!II23)</f>
      </c>
      <c r="O23" s="530">
        <f>IF('[1]Tasa de Falla'!IJ23=0,"",'[1]Tasa de Falla'!IJ23)</f>
      </c>
      <c r="P23" s="530">
        <f>IF('[1]Tasa de Falla'!IK23=0,"",'[1]Tasa de Falla'!IK23)</f>
      </c>
      <c r="Q23" s="530">
        <f>IF('[1]Tasa de Falla'!IL23=0,"",'[1]Tasa de Falla'!IL23)</f>
      </c>
      <c r="R23" s="530">
        <f>IF('[1]Tasa de Falla'!IM23=0,"",'[1]Tasa de Falla'!IM23)</f>
      </c>
      <c r="S23" s="531"/>
      <c r="T23" s="528"/>
    </row>
    <row r="24" spans="2:20" s="522" customFormat="1" ht="19.5" customHeight="1">
      <c r="B24" s="523"/>
      <c r="C24" s="529">
        <f>'[1]Tasa de Falla'!C24</f>
        <v>8</v>
      </c>
      <c r="D24" s="529" t="str">
        <f>'[1]Tasa de Falla'!D24</f>
        <v>ESTATICA SUR - INDEPENDENCIA (O.F.)</v>
      </c>
      <c r="E24" s="529">
        <f>'[1]Tasa de Falla'!E24</f>
        <v>132</v>
      </c>
      <c r="F24" s="529">
        <f>'[1]Tasa de Falla'!F24</f>
        <v>2.6</v>
      </c>
      <c r="G24" s="530">
        <f>IF('[1]Tasa de Falla'!IB24=0,"",'[1]Tasa de Falla'!IB24)</f>
      </c>
      <c r="H24" s="530">
        <f>IF('[1]Tasa de Falla'!IC24=0,"",'[1]Tasa de Falla'!IC24)</f>
      </c>
      <c r="I24" s="530">
        <f>IF('[1]Tasa de Falla'!ID24=0,"",'[1]Tasa de Falla'!ID24)</f>
      </c>
      <c r="J24" s="530">
        <f>IF('[1]Tasa de Falla'!IE24=0,"",'[1]Tasa de Falla'!IE24)</f>
      </c>
      <c r="K24" s="530">
        <f>IF('[1]Tasa de Falla'!IF24=0,"",'[1]Tasa de Falla'!IF24)</f>
      </c>
      <c r="L24" s="530">
        <f>IF('[1]Tasa de Falla'!IG24=0,"",'[1]Tasa de Falla'!IG24)</f>
      </c>
      <c r="M24" s="530">
        <f>IF('[1]Tasa de Falla'!IH24=0,"",'[1]Tasa de Falla'!IH24)</f>
      </c>
      <c r="N24" s="530">
        <f>IF('[1]Tasa de Falla'!II24=0,"",'[1]Tasa de Falla'!II24)</f>
      </c>
      <c r="O24" s="530">
        <f>IF('[1]Tasa de Falla'!IJ24=0,"",'[1]Tasa de Falla'!IJ24)</f>
      </c>
      <c r="P24" s="530">
        <f>IF('[1]Tasa de Falla'!IK24=0,"",'[1]Tasa de Falla'!IK24)</f>
      </c>
      <c r="Q24" s="530">
        <f>IF('[1]Tasa de Falla'!IL24=0,"",'[1]Tasa de Falla'!IL24)</f>
      </c>
      <c r="R24" s="530">
        <f>IF('[1]Tasa de Falla'!IM24=0,"",'[1]Tasa de Falla'!IM24)</f>
      </c>
      <c r="S24" s="531"/>
      <c r="T24" s="528"/>
    </row>
    <row r="25" spans="2:20" s="522" customFormat="1" ht="19.5" customHeight="1">
      <c r="B25" s="523"/>
      <c r="C25" s="529">
        <f>'[1]Tasa de Falla'!C25</f>
        <v>9</v>
      </c>
      <c r="D25" s="529" t="str">
        <f>'[1]Tasa de Falla'!D25</f>
        <v>ESTATICA SUR - SARMIENTO "TRANSNOA S.A."</v>
      </c>
      <c r="E25" s="529">
        <f>'[1]Tasa de Falla'!E25</f>
        <v>132</v>
      </c>
      <c r="F25" s="529">
        <f>'[1]Tasa de Falla'!F25</f>
        <v>4.4</v>
      </c>
      <c r="G25" s="530">
        <f>IF('[1]Tasa de Falla'!IB25=0,"",'[1]Tasa de Falla'!IB25)</f>
      </c>
      <c r="H25" s="530">
        <f>IF('[1]Tasa de Falla'!IC25=0,"",'[1]Tasa de Falla'!IC25)</f>
      </c>
      <c r="I25" s="530">
        <f>IF('[1]Tasa de Falla'!ID25=0,"",'[1]Tasa de Falla'!ID25)</f>
      </c>
      <c r="J25" s="530">
        <f>IF('[1]Tasa de Falla'!IE25=0,"",'[1]Tasa de Falla'!IE25)</f>
      </c>
      <c r="K25" s="530">
        <f>IF('[1]Tasa de Falla'!IF25=0,"",'[1]Tasa de Falla'!IF25)</f>
      </c>
      <c r="L25" s="530">
        <f>IF('[1]Tasa de Falla'!IG25=0,"",'[1]Tasa de Falla'!IG25)</f>
      </c>
      <c r="M25" s="530">
        <f>IF('[1]Tasa de Falla'!IH25=0,"",'[1]Tasa de Falla'!IH25)</f>
      </c>
      <c r="N25" s="530">
        <f>IF('[1]Tasa de Falla'!II25=0,"",'[1]Tasa de Falla'!II25)</f>
      </c>
      <c r="O25" s="530">
        <f>IF('[1]Tasa de Falla'!IJ25=0,"",'[1]Tasa de Falla'!IJ25)</f>
      </c>
      <c r="P25" s="530">
        <f>IF('[1]Tasa de Falla'!IK25=0,"",'[1]Tasa de Falla'!IK25)</f>
      </c>
      <c r="Q25" s="530">
        <f>IF('[1]Tasa de Falla'!IL25=0,"",'[1]Tasa de Falla'!IL25)</f>
      </c>
      <c r="R25" s="530">
        <f>IF('[1]Tasa de Falla'!IM25=0,"",'[1]Tasa de Falla'!IM25)</f>
      </c>
      <c r="S25" s="531"/>
      <c r="T25" s="528"/>
    </row>
    <row r="26" spans="2:20" s="522" customFormat="1" ht="18">
      <c r="B26" s="523"/>
      <c r="C26" s="529">
        <f>'[1]Tasa de Falla'!C26</f>
        <v>10</v>
      </c>
      <c r="D26" s="529" t="str">
        <f>'[1]Tasa de Falla'!D26</f>
        <v>GÜEMES - EL BRACHO</v>
      </c>
      <c r="E26" s="529">
        <f>'[1]Tasa de Falla'!E26</f>
        <v>132</v>
      </c>
      <c r="F26" s="529">
        <f>'[1]Tasa de Falla'!F26</f>
        <v>308</v>
      </c>
      <c r="G26" s="530" t="str">
        <f>IF('[1]Tasa de Falla'!IB26=0,"",'[1]Tasa de Falla'!IB26)</f>
        <v>XXXX</v>
      </c>
      <c r="H26" s="530" t="str">
        <f>IF('[1]Tasa de Falla'!IC26=0,"",'[1]Tasa de Falla'!IC26)</f>
        <v>XXXX</v>
      </c>
      <c r="I26" s="530" t="str">
        <f>IF('[1]Tasa de Falla'!ID26=0,"",'[1]Tasa de Falla'!ID26)</f>
        <v>XXXX</v>
      </c>
      <c r="J26" s="530" t="str">
        <f>IF('[1]Tasa de Falla'!IE26=0,"",'[1]Tasa de Falla'!IE26)</f>
        <v>XXXX</v>
      </c>
      <c r="K26" s="530" t="str">
        <f>IF('[1]Tasa de Falla'!IF26=0,"",'[1]Tasa de Falla'!IF26)</f>
        <v>XXXX</v>
      </c>
      <c r="L26" s="530" t="str">
        <f>IF('[1]Tasa de Falla'!IG26=0,"",'[1]Tasa de Falla'!IG26)</f>
        <v>XXXX</v>
      </c>
      <c r="M26" s="530" t="str">
        <f>IF('[1]Tasa de Falla'!IH26=0,"",'[1]Tasa de Falla'!IH26)</f>
        <v>XXXX</v>
      </c>
      <c r="N26" s="530" t="str">
        <f>IF('[1]Tasa de Falla'!II26=0,"",'[1]Tasa de Falla'!II26)</f>
        <v>XXXX</v>
      </c>
      <c r="O26" s="530" t="str">
        <f>IF('[1]Tasa de Falla'!IJ26=0,"",'[1]Tasa de Falla'!IJ26)</f>
        <v>XXXX</v>
      </c>
      <c r="P26" s="530" t="str">
        <f>IF('[1]Tasa de Falla'!IK26=0,"",'[1]Tasa de Falla'!IK26)</f>
        <v>XXXX</v>
      </c>
      <c r="Q26" s="530" t="str">
        <f>IF('[1]Tasa de Falla'!IL26=0,"",'[1]Tasa de Falla'!IL26)</f>
        <v>XXXX</v>
      </c>
      <c r="R26" s="530" t="str">
        <f>IF('[1]Tasa de Falla'!IM26=0,"",'[1]Tasa de Falla'!IM26)</f>
        <v>XXXX</v>
      </c>
      <c r="S26" s="531"/>
      <c r="T26" s="528"/>
    </row>
    <row r="27" spans="2:20" s="522" customFormat="1" ht="19.5" customHeight="1">
      <c r="B27" s="523"/>
      <c r="C27" s="529">
        <f>'[1]Tasa de Falla'!C27</f>
        <v>11</v>
      </c>
      <c r="D27" s="529" t="str">
        <f>'[1]Tasa de Falla'!D27</f>
        <v>CAMPO SANTO - GÜEMES</v>
      </c>
      <c r="E27" s="529">
        <f>'[1]Tasa de Falla'!E27</f>
        <v>132</v>
      </c>
      <c r="F27" s="529">
        <f>'[1]Tasa de Falla'!F27</f>
        <v>6.2</v>
      </c>
      <c r="G27" s="530" t="str">
        <f>IF('[1]Tasa de Falla'!IB27=0,"",'[1]Tasa de Falla'!IB27)</f>
        <v>XXXX</v>
      </c>
      <c r="H27" s="530" t="str">
        <f>IF('[1]Tasa de Falla'!IC27=0,"",'[1]Tasa de Falla'!IC27)</f>
        <v>XXXX</v>
      </c>
      <c r="I27" s="530" t="str">
        <f>IF('[1]Tasa de Falla'!ID27=0,"",'[1]Tasa de Falla'!ID27)</f>
        <v>XXXX</v>
      </c>
      <c r="J27" s="530" t="str">
        <f>IF('[1]Tasa de Falla'!IE27=0,"",'[1]Tasa de Falla'!IE27)</f>
        <v>XXXX</v>
      </c>
      <c r="K27" s="530" t="str">
        <f>IF('[1]Tasa de Falla'!IF27=0,"",'[1]Tasa de Falla'!IF27)</f>
        <v>XXXX</v>
      </c>
      <c r="L27" s="530" t="str">
        <f>IF('[1]Tasa de Falla'!IG27=0,"",'[1]Tasa de Falla'!IG27)</f>
        <v>XXXX</v>
      </c>
      <c r="M27" s="530" t="str">
        <f>IF('[1]Tasa de Falla'!IH27=0,"",'[1]Tasa de Falla'!IH27)</f>
        <v>XXXX</v>
      </c>
      <c r="N27" s="530" t="str">
        <f>IF('[1]Tasa de Falla'!II27=0,"",'[1]Tasa de Falla'!II27)</f>
        <v>XXXX</v>
      </c>
      <c r="O27" s="530" t="str">
        <f>IF('[1]Tasa de Falla'!IJ27=0,"",'[1]Tasa de Falla'!IJ27)</f>
        <v>XXXX</v>
      </c>
      <c r="P27" s="530" t="str">
        <f>IF('[1]Tasa de Falla'!IK27=0,"",'[1]Tasa de Falla'!IK27)</f>
        <v>XXXX</v>
      </c>
      <c r="Q27" s="530" t="str">
        <f>IF('[1]Tasa de Falla'!IL27=0,"",'[1]Tasa de Falla'!IL27)</f>
        <v>XXXX</v>
      </c>
      <c r="R27" s="530" t="str">
        <f>IF('[1]Tasa de Falla'!IM27=0,"",'[1]Tasa de Falla'!IM27)</f>
        <v>XXXX</v>
      </c>
      <c r="S27" s="531"/>
      <c r="T27" s="528"/>
    </row>
    <row r="28" spans="2:20" s="522" customFormat="1" ht="19.5" customHeight="1">
      <c r="B28" s="523"/>
      <c r="C28" s="529">
        <f>'[1]Tasa de Falla'!C28</f>
        <v>12</v>
      </c>
      <c r="D28" s="529" t="str">
        <f>'[1]Tasa de Falla'!D28</f>
        <v>GÜEMES - SAN JUANCITO</v>
      </c>
      <c r="E28" s="529">
        <f>'[1]Tasa de Falla'!E28</f>
        <v>132</v>
      </c>
      <c r="F28" s="529">
        <f>'[1]Tasa de Falla'!F28</f>
        <v>36.24</v>
      </c>
      <c r="G28" s="530">
        <f>IF('[1]Tasa de Falla'!IB28=0,"",'[1]Tasa de Falla'!IB28)</f>
      </c>
      <c r="H28" s="530">
        <f>IF('[1]Tasa de Falla'!IC28=0,"",'[1]Tasa de Falla'!IC28)</f>
      </c>
      <c r="I28" s="530">
        <f>IF('[1]Tasa de Falla'!ID28=0,"",'[1]Tasa de Falla'!ID28)</f>
      </c>
      <c r="J28" s="530">
        <f>IF('[1]Tasa de Falla'!IE28=0,"",'[1]Tasa de Falla'!IE28)</f>
      </c>
      <c r="K28" s="530">
        <f>IF('[1]Tasa de Falla'!IF28=0,"",'[1]Tasa de Falla'!IF28)</f>
      </c>
      <c r="L28" s="530">
        <f>IF('[1]Tasa de Falla'!IG28=0,"",'[1]Tasa de Falla'!IG28)</f>
        <v>1</v>
      </c>
      <c r="M28" s="530">
        <f>IF('[1]Tasa de Falla'!IH28=0,"",'[1]Tasa de Falla'!IH28)</f>
        <v>1</v>
      </c>
      <c r="N28" s="530">
        <f>IF('[1]Tasa de Falla'!II28=0,"",'[1]Tasa de Falla'!II28)</f>
      </c>
      <c r="O28" s="530">
        <f>IF('[1]Tasa de Falla'!IJ28=0,"",'[1]Tasa de Falla'!IJ28)</f>
      </c>
      <c r="P28" s="530">
        <f>IF('[1]Tasa de Falla'!IK28=0,"",'[1]Tasa de Falla'!IK28)</f>
      </c>
      <c r="Q28" s="530">
        <f>IF('[1]Tasa de Falla'!IL28=0,"",'[1]Tasa de Falla'!IL28)</f>
      </c>
      <c r="R28" s="530">
        <f>IF('[1]Tasa de Falla'!IM28=0,"",'[1]Tasa de Falla'!IM28)</f>
      </c>
      <c r="S28" s="531"/>
      <c r="T28" s="528"/>
    </row>
    <row r="29" spans="2:20" s="522" customFormat="1" ht="19.5" customHeight="1">
      <c r="B29" s="523"/>
      <c r="C29" s="529">
        <f>'[1]Tasa de Falla'!C29</f>
        <v>13</v>
      </c>
      <c r="D29" s="529" t="str">
        <f>'[1]Tasa de Falla'!D29</f>
        <v>CATAMARCA - HUACRA</v>
      </c>
      <c r="E29" s="529">
        <f>'[1]Tasa de Falla'!E29</f>
        <v>132</v>
      </c>
      <c r="F29" s="529">
        <f>'[1]Tasa de Falla'!F29</f>
        <v>67.3</v>
      </c>
      <c r="G29" s="530">
        <f>IF('[1]Tasa de Falla'!IB29=0,"",'[1]Tasa de Falla'!IB29)</f>
      </c>
      <c r="H29" s="530">
        <f>IF('[1]Tasa de Falla'!IC29=0,"",'[1]Tasa de Falla'!IC29)</f>
      </c>
      <c r="I29" s="530">
        <f>IF('[1]Tasa de Falla'!ID29=0,"",'[1]Tasa de Falla'!ID29)</f>
      </c>
      <c r="J29" s="530">
        <f>IF('[1]Tasa de Falla'!IE29=0,"",'[1]Tasa de Falla'!IE29)</f>
      </c>
      <c r="K29" s="530">
        <f>IF('[1]Tasa de Falla'!IF29=0,"",'[1]Tasa de Falla'!IF29)</f>
      </c>
      <c r="L29" s="530">
        <f>IF('[1]Tasa de Falla'!IG29=0,"",'[1]Tasa de Falla'!IG29)</f>
      </c>
      <c r="M29" s="530">
        <f>IF('[1]Tasa de Falla'!IH29=0,"",'[1]Tasa de Falla'!IH29)</f>
      </c>
      <c r="N29" s="530">
        <f>IF('[1]Tasa de Falla'!II29=0,"",'[1]Tasa de Falla'!II29)</f>
      </c>
      <c r="O29" s="530">
        <f>IF('[1]Tasa de Falla'!IJ29=0,"",'[1]Tasa de Falla'!IJ29)</f>
      </c>
      <c r="P29" s="530">
        <f>IF('[1]Tasa de Falla'!IK29=0,"",'[1]Tasa de Falla'!IK29)</f>
      </c>
      <c r="Q29" s="530">
        <f>IF('[1]Tasa de Falla'!IL29=0,"",'[1]Tasa de Falla'!IL29)</f>
      </c>
      <c r="R29" s="530">
        <f>IF('[1]Tasa de Falla'!IM29=0,"",'[1]Tasa de Falla'!IM29)</f>
      </c>
      <c r="S29" s="531"/>
      <c r="T29" s="528"/>
    </row>
    <row r="30" spans="2:20" s="522" customFormat="1" ht="19.5" customHeight="1">
      <c r="B30" s="523"/>
      <c r="C30" s="529">
        <f>'[1]Tasa de Falla'!C30</f>
        <v>14</v>
      </c>
      <c r="D30" s="529" t="str">
        <f>'[1]Tasa de Falla'!D30</f>
        <v>HUACRA - LA CALERA</v>
      </c>
      <c r="E30" s="529">
        <f>'[1]Tasa de Falla'!E30</f>
        <v>132</v>
      </c>
      <c r="F30" s="529">
        <f>'[1]Tasa de Falla'!F30</f>
        <v>91.2</v>
      </c>
      <c r="G30" s="530">
        <f>IF('[1]Tasa de Falla'!IB30=0,"",'[1]Tasa de Falla'!IB30)</f>
      </c>
      <c r="H30" s="530">
        <f>IF('[1]Tasa de Falla'!IC30=0,"",'[1]Tasa de Falla'!IC30)</f>
      </c>
      <c r="I30" s="530">
        <f>IF('[1]Tasa de Falla'!ID30=0,"",'[1]Tasa de Falla'!ID30)</f>
      </c>
      <c r="J30" s="530">
        <f>IF('[1]Tasa de Falla'!IE30=0,"",'[1]Tasa de Falla'!IE30)</f>
        <v>1</v>
      </c>
      <c r="K30" s="530">
        <f>IF('[1]Tasa de Falla'!IF30=0,"",'[1]Tasa de Falla'!IF30)</f>
      </c>
      <c r="L30" s="530">
        <f>IF('[1]Tasa de Falla'!IG30=0,"",'[1]Tasa de Falla'!IG30)</f>
      </c>
      <c r="M30" s="530">
        <f>IF('[1]Tasa de Falla'!IH30=0,"",'[1]Tasa de Falla'!IH30)</f>
      </c>
      <c r="N30" s="530">
        <f>IF('[1]Tasa de Falla'!II30=0,"",'[1]Tasa de Falla'!II30)</f>
        <v>1</v>
      </c>
      <c r="O30" s="530">
        <f>IF('[1]Tasa de Falla'!IJ30=0,"",'[1]Tasa de Falla'!IJ30)</f>
        <v>1</v>
      </c>
      <c r="P30" s="530">
        <f>IF('[1]Tasa de Falla'!IK30=0,"",'[1]Tasa de Falla'!IK30)</f>
      </c>
      <c r="Q30" s="530">
        <f>IF('[1]Tasa de Falla'!IL30=0,"",'[1]Tasa de Falla'!IL30)</f>
      </c>
      <c r="R30" s="530">
        <f>IF('[1]Tasa de Falla'!IM30=0,"",'[1]Tasa de Falla'!IM30)</f>
      </c>
      <c r="S30" s="531"/>
      <c r="T30" s="528"/>
    </row>
    <row r="31" spans="2:20" s="522" customFormat="1" ht="19.5" customHeight="1">
      <c r="B31" s="523"/>
      <c r="C31" s="529">
        <f>'[1]Tasa de Falla'!C31</f>
        <v>15</v>
      </c>
      <c r="D31" s="529" t="str">
        <f>'[1]Tasa de Falla'!D31</f>
        <v>AGUA BLANCA - INDEPENDENCIA</v>
      </c>
      <c r="E31" s="529">
        <f>'[1]Tasa de Falla'!E31</f>
        <v>132</v>
      </c>
      <c r="F31" s="529">
        <f>'[1]Tasa de Falla'!F31</f>
        <v>34.14</v>
      </c>
      <c r="G31" s="530">
        <f>IF('[1]Tasa de Falla'!IB31=0,"",'[1]Tasa de Falla'!IB31)</f>
      </c>
      <c r="H31" s="530">
        <f>IF('[1]Tasa de Falla'!IC31=0,"",'[1]Tasa de Falla'!IC31)</f>
      </c>
      <c r="I31" s="530">
        <f>IF('[1]Tasa de Falla'!ID31=0,"",'[1]Tasa de Falla'!ID31)</f>
      </c>
      <c r="J31" s="530">
        <f>IF('[1]Tasa de Falla'!IE31=0,"",'[1]Tasa de Falla'!IE31)</f>
      </c>
      <c r="K31" s="530">
        <f>IF('[1]Tasa de Falla'!IF31=0,"",'[1]Tasa de Falla'!IF31)</f>
      </c>
      <c r="L31" s="530">
        <f>IF('[1]Tasa de Falla'!IG31=0,"",'[1]Tasa de Falla'!IG31)</f>
        <v>1</v>
      </c>
      <c r="M31" s="530">
        <f>IF('[1]Tasa de Falla'!IH31=0,"",'[1]Tasa de Falla'!IH31)</f>
        <v>1</v>
      </c>
      <c r="N31" s="530">
        <f>IF('[1]Tasa de Falla'!II31=0,"",'[1]Tasa de Falla'!II31)</f>
        <v>2</v>
      </c>
      <c r="O31" s="530">
        <f>IF('[1]Tasa de Falla'!IJ31=0,"",'[1]Tasa de Falla'!IJ31)</f>
      </c>
      <c r="P31" s="530">
        <f>IF('[1]Tasa de Falla'!IK31=0,"",'[1]Tasa de Falla'!IK31)</f>
      </c>
      <c r="Q31" s="530">
        <f>IF('[1]Tasa de Falla'!IL31=0,"",'[1]Tasa de Falla'!IL31)</f>
      </c>
      <c r="R31" s="530">
        <f>IF('[1]Tasa de Falla'!IM31=0,"",'[1]Tasa de Falla'!IM31)</f>
      </c>
      <c r="S31" s="531"/>
      <c r="T31" s="528"/>
    </row>
    <row r="32" spans="2:20" s="522" customFormat="1" ht="19.5" customHeight="1">
      <c r="B32" s="523"/>
      <c r="C32" s="529">
        <f>'[1]Tasa de Falla'!C32</f>
        <v>16</v>
      </c>
      <c r="D32" s="529" t="str">
        <f>'[1]Tasa de Falla'!D32</f>
        <v>INDEPENDENCIA - EL BRACHO 1</v>
      </c>
      <c r="E32" s="529">
        <f>'[1]Tasa de Falla'!E32</f>
        <v>132</v>
      </c>
      <c r="F32" s="529">
        <f>'[1]Tasa de Falla'!F32</f>
        <v>17.1</v>
      </c>
      <c r="G32" s="530">
        <f>IF('[1]Tasa de Falla'!IB32=0,"",'[1]Tasa de Falla'!IB32)</f>
      </c>
      <c r="H32" s="530">
        <f>IF('[1]Tasa de Falla'!IC32=0,"",'[1]Tasa de Falla'!IC32)</f>
      </c>
      <c r="I32" s="530">
        <f>IF('[1]Tasa de Falla'!ID32=0,"",'[1]Tasa de Falla'!ID32)</f>
      </c>
      <c r="J32" s="530">
        <f>IF('[1]Tasa de Falla'!IE32=0,"",'[1]Tasa de Falla'!IE32)</f>
      </c>
      <c r="K32" s="530">
        <f>IF('[1]Tasa de Falla'!IF32=0,"",'[1]Tasa de Falla'!IF32)</f>
      </c>
      <c r="L32" s="530">
        <f>IF('[1]Tasa de Falla'!IG32=0,"",'[1]Tasa de Falla'!IG32)</f>
      </c>
      <c r="M32" s="530">
        <f>IF('[1]Tasa de Falla'!IH32=0,"",'[1]Tasa de Falla'!IH32)</f>
      </c>
      <c r="N32" s="530">
        <f>IF('[1]Tasa de Falla'!II32=0,"",'[1]Tasa de Falla'!II32)</f>
      </c>
      <c r="O32" s="530">
        <f>IF('[1]Tasa de Falla'!IJ32=0,"",'[1]Tasa de Falla'!IJ32)</f>
      </c>
      <c r="P32" s="530">
        <f>IF('[1]Tasa de Falla'!IK32=0,"",'[1]Tasa de Falla'!IK32)</f>
      </c>
      <c r="Q32" s="530">
        <f>IF('[1]Tasa de Falla'!IL32=0,"",'[1]Tasa de Falla'!IL32)</f>
      </c>
      <c r="R32" s="530">
        <f>IF('[1]Tasa de Falla'!IM32=0,"",'[1]Tasa de Falla'!IM32)</f>
      </c>
      <c r="S32" s="531"/>
      <c r="T32" s="528"/>
    </row>
    <row r="33" spans="2:20" s="522" customFormat="1" ht="19.5" customHeight="1">
      <c r="B33" s="523"/>
      <c r="C33" s="529">
        <f>'[1]Tasa de Falla'!C33</f>
        <v>17</v>
      </c>
      <c r="D33" s="529" t="str">
        <f>'[1]Tasa de Falla'!D33</f>
        <v>INDEPENDENCIA - LULES - PAPEL TUCUMAN</v>
      </c>
      <c r="E33" s="529">
        <f>'[1]Tasa de Falla'!E33</f>
        <v>132</v>
      </c>
      <c r="F33" s="529">
        <f>'[1]Tasa de Falla'!F33</f>
        <v>19.3</v>
      </c>
      <c r="G33" s="530">
        <f>IF('[1]Tasa de Falla'!IB33=0,"",'[1]Tasa de Falla'!IB33)</f>
      </c>
      <c r="H33" s="530">
        <f>IF('[1]Tasa de Falla'!IC33=0,"",'[1]Tasa de Falla'!IC33)</f>
      </c>
      <c r="I33" s="530">
        <f>IF('[1]Tasa de Falla'!ID33=0,"",'[1]Tasa de Falla'!ID33)</f>
      </c>
      <c r="J33" s="530">
        <f>IF('[1]Tasa de Falla'!IE33=0,"",'[1]Tasa de Falla'!IE33)</f>
      </c>
      <c r="K33" s="530">
        <f>IF('[1]Tasa de Falla'!IF33=0,"",'[1]Tasa de Falla'!IF33)</f>
      </c>
      <c r="L33" s="530">
        <f>IF('[1]Tasa de Falla'!IG33=0,"",'[1]Tasa de Falla'!IG33)</f>
        <v>1</v>
      </c>
      <c r="M33" s="530">
        <f>IF('[1]Tasa de Falla'!IH33=0,"",'[1]Tasa de Falla'!IH33)</f>
      </c>
      <c r="N33" s="530">
        <f>IF('[1]Tasa de Falla'!II33=0,"",'[1]Tasa de Falla'!II33)</f>
        <v>1</v>
      </c>
      <c r="O33" s="530">
        <f>IF('[1]Tasa de Falla'!IJ33=0,"",'[1]Tasa de Falla'!IJ33)</f>
      </c>
      <c r="P33" s="530">
        <f>IF('[1]Tasa de Falla'!IK33=0,"",'[1]Tasa de Falla'!IK33)</f>
      </c>
      <c r="Q33" s="530">
        <f>IF('[1]Tasa de Falla'!IL33=0,"",'[1]Tasa de Falla'!IL33)</f>
      </c>
      <c r="R33" s="530">
        <f>IF('[1]Tasa de Falla'!IM33=0,"",'[1]Tasa de Falla'!IM33)</f>
      </c>
      <c r="S33" s="531"/>
      <c r="T33" s="528"/>
    </row>
    <row r="34" spans="2:20" s="522" customFormat="1" ht="19.5" customHeight="1">
      <c r="B34" s="523"/>
      <c r="C34" s="529">
        <f>'[1]Tasa de Falla'!C34</f>
        <v>18</v>
      </c>
      <c r="D34" s="529" t="str">
        <f>'[1]Tasa de Falla'!D34</f>
        <v>FRIAS - LA CALERA NOA.</v>
      </c>
      <c r="E34" s="529">
        <f>'[1]Tasa de Falla'!E34</f>
        <v>132</v>
      </c>
      <c r="F34" s="529">
        <f>'[1]Tasa de Falla'!F34</f>
        <v>27.3</v>
      </c>
      <c r="G34" s="530">
        <f>IF('[1]Tasa de Falla'!IB34=0,"",'[1]Tasa de Falla'!IB34)</f>
      </c>
      <c r="H34" s="530">
        <f>IF('[1]Tasa de Falla'!IC34=0,"",'[1]Tasa de Falla'!IC34)</f>
      </c>
      <c r="I34" s="530">
        <f>IF('[1]Tasa de Falla'!ID34=0,"",'[1]Tasa de Falla'!ID34)</f>
      </c>
      <c r="J34" s="530">
        <f>IF('[1]Tasa de Falla'!IE34=0,"",'[1]Tasa de Falla'!IE34)</f>
      </c>
      <c r="K34" s="530">
        <f>IF('[1]Tasa de Falla'!IF34=0,"",'[1]Tasa de Falla'!IF34)</f>
      </c>
      <c r="L34" s="530">
        <f>IF('[1]Tasa de Falla'!IG34=0,"",'[1]Tasa de Falla'!IG34)</f>
      </c>
      <c r="M34" s="530">
        <f>IF('[1]Tasa de Falla'!IH34=0,"",'[1]Tasa de Falla'!IH34)</f>
      </c>
      <c r="N34" s="530">
        <f>IF('[1]Tasa de Falla'!II34=0,"",'[1]Tasa de Falla'!II34)</f>
      </c>
      <c r="O34" s="530">
        <f>IF('[1]Tasa de Falla'!IJ34=0,"",'[1]Tasa de Falla'!IJ34)</f>
      </c>
      <c r="P34" s="530">
        <f>IF('[1]Tasa de Falla'!IK34=0,"",'[1]Tasa de Falla'!IK34)</f>
      </c>
      <c r="Q34" s="530">
        <f>IF('[1]Tasa de Falla'!IL34=0,"",'[1]Tasa de Falla'!IL34)</f>
      </c>
      <c r="R34" s="530">
        <f>IF('[1]Tasa de Falla'!IM34=0,"",'[1]Tasa de Falla'!IM34)</f>
      </c>
      <c r="S34" s="531"/>
      <c r="T34" s="528"/>
    </row>
    <row r="35" spans="2:20" s="522" customFormat="1" ht="19.5" customHeight="1">
      <c r="B35" s="523"/>
      <c r="C35" s="529">
        <f>'[1]Tasa de Falla'!C35</f>
        <v>19</v>
      </c>
      <c r="D35" s="529" t="str">
        <f>'[1]Tasa de Falla'!D35</f>
        <v>LA BANDA - SANTIAGO CENTRO</v>
      </c>
      <c r="E35" s="529">
        <f>'[1]Tasa de Falla'!E35</f>
        <v>132</v>
      </c>
      <c r="F35" s="529">
        <f>'[1]Tasa de Falla'!F35</f>
        <v>10.91</v>
      </c>
      <c r="G35" s="530">
        <f>IF('[1]Tasa de Falla'!IB35=0,"",'[1]Tasa de Falla'!IB35)</f>
      </c>
      <c r="H35" s="530">
        <f>IF('[1]Tasa de Falla'!IC35=0,"",'[1]Tasa de Falla'!IC35)</f>
      </c>
      <c r="I35" s="530">
        <f>IF('[1]Tasa de Falla'!ID35=0,"",'[1]Tasa de Falla'!ID35)</f>
        <v>1</v>
      </c>
      <c r="J35" s="530">
        <f>IF('[1]Tasa de Falla'!IE35=0,"",'[1]Tasa de Falla'!IE35)</f>
      </c>
      <c r="K35" s="530">
        <f>IF('[1]Tasa de Falla'!IF35=0,"",'[1]Tasa de Falla'!IF35)</f>
      </c>
      <c r="L35" s="530">
        <f>IF('[1]Tasa de Falla'!IG35=0,"",'[1]Tasa de Falla'!IG35)</f>
      </c>
      <c r="M35" s="530">
        <f>IF('[1]Tasa de Falla'!IH35=0,"",'[1]Tasa de Falla'!IH35)</f>
      </c>
      <c r="N35" s="530">
        <f>IF('[1]Tasa de Falla'!II35=0,"",'[1]Tasa de Falla'!II35)</f>
      </c>
      <c r="O35" s="530">
        <f>IF('[1]Tasa de Falla'!IJ35=0,"",'[1]Tasa de Falla'!IJ35)</f>
      </c>
      <c r="P35" s="530">
        <f>IF('[1]Tasa de Falla'!IK35=0,"",'[1]Tasa de Falla'!IK35)</f>
      </c>
      <c r="Q35" s="530">
        <f>IF('[1]Tasa de Falla'!IL35=0,"",'[1]Tasa de Falla'!IL35)</f>
      </c>
      <c r="R35" s="530">
        <f>IF('[1]Tasa de Falla'!IM35=0,"",'[1]Tasa de Falla'!IM35)</f>
      </c>
      <c r="S35" s="531"/>
      <c r="T35" s="528"/>
    </row>
    <row r="36" spans="2:20" s="522" customFormat="1" ht="19.5" customHeight="1">
      <c r="B36" s="523"/>
      <c r="C36" s="529">
        <f>'[1]Tasa de Falla'!C36</f>
        <v>20</v>
      </c>
      <c r="D36" s="529" t="str">
        <f>'[1]Tasa de Falla'!D36</f>
        <v>LIBERTADOR NOA. - PICHANAL</v>
      </c>
      <c r="E36" s="529">
        <f>'[1]Tasa de Falla'!E36</f>
        <v>132</v>
      </c>
      <c r="F36" s="529">
        <f>'[1]Tasa de Falla'!F36</f>
        <v>76</v>
      </c>
      <c r="G36" s="530">
        <f>IF('[1]Tasa de Falla'!IB36=0,"",'[1]Tasa de Falla'!IB36)</f>
      </c>
      <c r="H36" s="530">
        <f>IF('[1]Tasa de Falla'!IC36=0,"",'[1]Tasa de Falla'!IC36)</f>
        <v>2</v>
      </c>
      <c r="I36" s="530">
        <f>IF('[1]Tasa de Falla'!ID36=0,"",'[1]Tasa de Falla'!ID36)</f>
        <v>1</v>
      </c>
      <c r="J36" s="530">
        <f>IF('[1]Tasa de Falla'!IE36=0,"",'[1]Tasa de Falla'!IE36)</f>
        <v>3</v>
      </c>
      <c r="K36" s="530">
        <f>IF('[1]Tasa de Falla'!IF36=0,"",'[1]Tasa de Falla'!IF36)</f>
        <v>1</v>
      </c>
      <c r="L36" s="530">
        <f>IF('[1]Tasa de Falla'!IG36=0,"",'[1]Tasa de Falla'!IG36)</f>
        <v>4</v>
      </c>
      <c r="M36" s="530">
        <f>IF('[1]Tasa de Falla'!IH36=0,"",'[1]Tasa de Falla'!IH36)</f>
      </c>
      <c r="N36" s="530">
        <f>IF('[1]Tasa de Falla'!II36=0,"",'[1]Tasa de Falla'!II36)</f>
      </c>
      <c r="O36" s="530">
        <f>IF('[1]Tasa de Falla'!IJ36=0,"",'[1]Tasa de Falla'!IJ36)</f>
      </c>
      <c r="P36" s="530">
        <f>IF('[1]Tasa de Falla'!IK36=0,"",'[1]Tasa de Falla'!IK36)</f>
        <v>1</v>
      </c>
      <c r="Q36" s="530">
        <f>IF('[1]Tasa de Falla'!IL36=0,"",'[1]Tasa de Falla'!IL36)</f>
      </c>
      <c r="R36" s="530">
        <f>IF('[1]Tasa de Falla'!IM36=0,"",'[1]Tasa de Falla'!IM36)</f>
        <v>3</v>
      </c>
      <c r="S36" s="531"/>
      <c r="T36" s="528"/>
    </row>
    <row r="37" spans="2:20" s="522" customFormat="1" ht="19.5" customHeight="1">
      <c r="B37" s="523"/>
      <c r="C37" s="529">
        <f>'[1]Tasa de Falla'!C37</f>
        <v>21</v>
      </c>
      <c r="D37" s="529" t="str">
        <f>'[1]Tasa de Falla'!D37</f>
        <v>GÜEMES - METAN</v>
      </c>
      <c r="E37" s="529">
        <f>'[1]Tasa de Falla'!E37</f>
        <v>132</v>
      </c>
      <c r="F37" s="529">
        <f>'[1]Tasa de Falla'!F37</f>
        <v>97.13</v>
      </c>
      <c r="G37" s="530" t="str">
        <f>IF('[1]Tasa de Falla'!IB37=0,"",'[1]Tasa de Falla'!IB37)</f>
        <v>XXXX</v>
      </c>
      <c r="H37" s="530" t="str">
        <f>IF('[1]Tasa de Falla'!IC37=0,"",'[1]Tasa de Falla'!IC37)</f>
        <v>XXXX</v>
      </c>
      <c r="I37" s="530" t="str">
        <f>IF('[1]Tasa de Falla'!ID37=0,"",'[1]Tasa de Falla'!ID37)</f>
        <v>XXXX</v>
      </c>
      <c r="J37" s="530" t="str">
        <f>IF('[1]Tasa de Falla'!IE37=0,"",'[1]Tasa de Falla'!IE37)</f>
        <v>XXXX</v>
      </c>
      <c r="K37" s="530" t="str">
        <f>IF('[1]Tasa de Falla'!IF37=0,"",'[1]Tasa de Falla'!IF37)</f>
        <v>XXXX</v>
      </c>
      <c r="L37" s="530" t="str">
        <f>IF('[1]Tasa de Falla'!IG37=0,"",'[1]Tasa de Falla'!IG37)</f>
        <v>XXXX</v>
      </c>
      <c r="M37" s="530" t="str">
        <f>IF('[1]Tasa de Falla'!IH37=0,"",'[1]Tasa de Falla'!IH37)</f>
        <v>XXXX</v>
      </c>
      <c r="N37" s="530" t="str">
        <f>IF('[1]Tasa de Falla'!II37=0,"",'[1]Tasa de Falla'!II37)</f>
        <v>XXXX</v>
      </c>
      <c r="O37" s="530" t="str">
        <f>IF('[1]Tasa de Falla'!IJ37=0,"",'[1]Tasa de Falla'!IJ37)</f>
        <v>XXXX</v>
      </c>
      <c r="P37" s="530" t="str">
        <f>IF('[1]Tasa de Falla'!IK37=0,"",'[1]Tasa de Falla'!IK37)</f>
        <v>XXXX</v>
      </c>
      <c r="Q37" s="530" t="str">
        <f>IF('[1]Tasa de Falla'!IL37=0,"",'[1]Tasa de Falla'!IL37)</f>
        <v>XXXX</v>
      </c>
      <c r="R37" s="530" t="str">
        <f>IF('[1]Tasa de Falla'!IM37=0,"",'[1]Tasa de Falla'!IM37)</f>
        <v>XXXX</v>
      </c>
      <c r="S37" s="531"/>
      <c r="T37" s="528"/>
    </row>
    <row r="38" spans="2:20" s="522" customFormat="1" ht="19.5" customHeight="1">
      <c r="B38" s="523"/>
      <c r="C38" s="529">
        <f>'[1]Tasa de Falla'!C38</f>
        <v>22</v>
      </c>
      <c r="D38" s="529" t="str">
        <f>'[1]Tasa de Falla'!D38</f>
        <v>MINETTI - SAN JUANCITO</v>
      </c>
      <c r="E38" s="529">
        <f>'[1]Tasa de Falla'!E38</f>
        <v>132</v>
      </c>
      <c r="F38" s="529">
        <f>'[1]Tasa de Falla'!F38</f>
        <v>26</v>
      </c>
      <c r="G38" s="530">
        <f>IF('[1]Tasa de Falla'!IB38=0,"",'[1]Tasa de Falla'!IB38)</f>
      </c>
      <c r="H38" s="530">
        <f>IF('[1]Tasa de Falla'!IC38=0,"",'[1]Tasa de Falla'!IC38)</f>
        <v>2</v>
      </c>
      <c r="I38" s="530">
        <f>IF('[1]Tasa de Falla'!ID38=0,"",'[1]Tasa de Falla'!ID38)</f>
      </c>
      <c r="J38" s="530">
        <f>IF('[1]Tasa de Falla'!IE38=0,"",'[1]Tasa de Falla'!IE38)</f>
      </c>
      <c r="K38" s="530">
        <f>IF('[1]Tasa de Falla'!IF38=0,"",'[1]Tasa de Falla'!IF38)</f>
      </c>
      <c r="L38" s="530">
        <f>IF('[1]Tasa de Falla'!IG38=0,"",'[1]Tasa de Falla'!IG38)</f>
        <v>2</v>
      </c>
      <c r="M38" s="530">
        <f>IF('[1]Tasa de Falla'!IH38=0,"",'[1]Tasa de Falla'!IH38)</f>
        <v>4</v>
      </c>
      <c r="N38" s="530">
        <f>IF('[1]Tasa de Falla'!II38=0,"",'[1]Tasa de Falla'!II38)</f>
      </c>
      <c r="O38" s="530">
        <f>IF('[1]Tasa de Falla'!IJ38=0,"",'[1]Tasa de Falla'!IJ38)</f>
      </c>
      <c r="P38" s="530">
        <f>IF('[1]Tasa de Falla'!IK38=0,"",'[1]Tasa de Falla'!IK38)</f>
      </c>
      <c r="Q38" s="530">
        <f>IF('[1]Tasa de Falla'!IL38=0,"",'[1]Tasa de Falla'!IL38)</f>
      </c>
      <c r="R38" s="530">
        <f>IF('[1]Tasa de Falla'!IM38=0,"",'[1]Tasa de Falla'!IM38)</f>
      </c>
      <c r="S38" s="531"/>
      <c r="T38" s="528"/>
    </row>
    <row r="39" spans="2:20" s="522" customFormat="1" ht="18">
      <c r="B39" s="523"/>
      <c r="C39" s="529">
        <f>'[1]Tasa de Falla'!C39</f>
        <v>23</v>
      </c>
      <c r="D39" s="529" t="str">
        <f>'[1]Tasa de Falla'!D39</f>
        <v>PALPALA - JUJUY SUR</v>
      </c>
      <c r="E39" s="529">
        <f>'[1]Tasa de Falla'!E39</f>
        <v>132</v>
      </c>
      <c r="F39" s="529">
        <f>'[1]Tasa de Falla'!F39</f>
        <v>14</v>
      </c>
      <c r="G39" s="530" t="str">
        <f>IF('[1]Tasa de Falla'!IB39=0,"",'[1]Tasa de Falla'!IB39)</f>
        <v>XXXX</v>
      </c>
      <c r="H39" s="530" t="str">
        <f>IF('[1]Tasa de Falla'!IC39=0,"",'[1]Tasa de Falla'!IC39)</f>
        <v>XXXX</v>
      </c>
      <c r="I39" s="530" t="str">
        <f>IF('[1]Tasa de Falla'!ID39=0,"",'[1]Tasa de Falla'!ID39)</f>
        <v>XXXX</v>
      </c>
      <c r="J39" s="530" t="str">
        <f>IF('[1]Tasa de Falla'!IE39=0,"",'[1]Tasa de Falla'!IE39)</f>
        <v>XXXX</v>
      </c>
      <c r="K39" s="530" t="str">
        <f>IF('[1]Tasa de Falla'!IF39=0,"",'[1]Tasa de Falla'!IF39)</f>
        <v>XXXX</v>
      </c>
      <c r="L39" s="530" t="str">
        <f>IF('[1]Tasa de Falla'!IG39=0,"",'[1]Tasa de Falla'!IG39)</f>
        <v>XXXX</v>
      </c>
      <c r="M39" s="530" t="str">
        <f>IF('[1]Tasa de Falla'!IH39=0,"",'[1]Tasa de Falla'!IH39)</f>
        <v>XXXX</v>
      </c>
      <c r="N39" s="530" t="str">
        <f>IF('[1]Tasa de Falla'!II39=0,"",'[1]Tasa de Falla'!II39)</f>
        <v>XXXX</v>
      </c>
      <c r="O39" s="530" t="str">
        <f>IF('[1]Tasa de Falla'!IJ39=0,"",'[1]Tasa de Falla'!IJ39)</f>
        <v>XXXX</v>
      </c>
      <c r="P39" s="530" t="str">
        <f>IF('[1]Tasa de Falla'!IK39=0,"",'[1]Tasa de Falla'!IK39)</f>
        <v>XXXX</v>
      </c>
      <c r="Q39" s="530" t="str">
        <f>IF('[1]Tasa de Falla'!IL39=0,"",'[1]Tasa de Falla'!IL39)</f>
        <v>XXXX</v>
      </c>
      <c r="R39" s="530" t="str">
        <f>IF('[1]Tasa de Falla'!IM39=0,"",'[1]Tasa de Falla'!IM39)</f>
        <v>XXXX</v>
      </c>
      <c r="S39" s="531"/>
      <c r="T39" s="528"/>
    </row>
    <row r="40" spans="2:20" s="522" customFormat="1" ht="19.5" customHeight="1">
      <c r="B40" s="523"/>
      <c r="C40" s="529">
        <f>'[1]Tasa de Falla'!C40</f>
        <v>24</v>
      </c>
      <c r="D40" s="529" t="str">
        <f>'[1]Tasa de Falla'!D40</f>
        <v>ORAN - PICHANAL</v>
      </c>
      <c r="E40" s="529">
        <f>'[1]Tasa de Falla'!E40</f>
        <v>132</v>
      </c>
      <c r="F40" s="529">
        <f>'[1]Tasa de Falla'!F40</f>
        <v>17</v>
      </c>
      <c r="G40" s="530" t="str">
        <f>IF('[1]Tasa de Falla'!IB40=0,"",'[1]Tasa de Falla'!IB40)</f>
        <v>XXXX</v>
      </c>
      <c r="H40" s="530" t="str">
        <f>IF('[1]Tasa de Falla'!IC40=0,"",'[1]Tasa de Falla'!IC40)</f>
        <v>XXXX</v>
      </c>
      <c r="I40" s="530" t="str">
        <f>IF('[1]Tasa de Falla'!ID40=0,"",'[1]Tasa de Falla'!ID40)</f>
        <v>XXXX</v>
      </c>
      <c r="J40" s="530" t="str">
        <f>IF('[1]Tasa de Falla'!IE40=0,"",'[1]Tasa de Falla'!IE40)</f>
        <v>XXXX</v>
      </c>
      <c r="K40" s="530" t="str">
        <f>IF('[1]Tasa de Falla'!IF40=0,"",'[1]Tasa de Falla'!IF40)</f>
        <v>XXXX</v>
      </c>
      <c r="L40" s="530" t="str">
        <f>IF('[1]Tasa de Falla'!IG40=0,"",'[1]Tasa de Falla'!IG40)</f>
        <v>XXXX</v>
      </c>
      <c r="M40" s="530" t="str">
        <f>IF('[1]Tasa de Falla'!IH40=0,"",'[1]Tasa de Falla'!IH40)</f>
        <v>XXXX</v>
      </c>
      <c r="N40" s="530" t="str">
        <f>IF('[1]Tasa de Falla'!II40=0,"",'[1]Tasa de Falla'!II40)</f>
        <v>XXXX</v>
      </c>
      <c r="O40" s="530" t="str">
        <f>IF('[1]Tasa de Falla'!IJ40=0,"",'[1]Tasa de Falla'!IJ40)</f>
        <v>XXXX</v>
      </c>
      <c r="P40" s="530" t="str">
        <f>IF('[1]Tasa de Falla'!IK40=0,"",'[1]Tasa de Falla'!IK40)</f>
        <v>XXXX</v>
      </c>
      <c r="Q40" s="530" t="str">
        <f>IF('[1]Tasa de Falla'!IL40=0,"",'[1]Tasa de Falla'!IL40)</f>
        <v>XXXX</v>
      </c>
      <c r="R40" s="530" t="str">
        <f>IF('[1]Tasa de Falla'!IM40=0,"",'[1]Tasa de Falla'!IM40)</f>
        <v>XXXX</v>
      </c>
      <c r="S40" s="531"/>
      <c r="T40" s="528"/>
    </row>
    <row r="41" spans="2:20" s="522" customFormat="1" ht="19.5" customHeight="1">
      <c r="B41" s="523"/>
      <c r="C41" s="529">
        <f>'[1]Tasa de Falla'!C41</f>
        <v>25</v>
      </c>
      <c r="D41" s="529" t="str">
        <f>'[1]Tasa de Falla'!D41</f>
        <v>PICHANAL - TARTAGAL</v>
      </c>
      <c r="E41" s="529">
        <f>'[1]Tasa de Falla'!E41</f>
        <v>132</v>
      </c>
      <c r="F41" s="529">
        <f>'[1]Tasa de Falla'!F41</f>
        <v>105</v>
      </c>
      <c r="G41" s="530">
        <f>IF('[1]Tasa de Falla'!IB41=0,"",'[1]Tasa de Falla'!IB41)</f>
      </c>
      <c r="H41" s="530">
        <f>IF('[1]Tasa de Falla'!IC41=0,"",'[1]Tasa de Falla'!IC41)</f>
      </c>
      <c r="I41" s="530">
        <f>IF('[1]Tasa de Falla'!ID41=0,"",'[1]Tasa de Falla'!ID41)</f>
      </c>
      <c r="J41" s="530">
        <f>IF('[1]Tasa de Falla'!IE41=0,"",'[1]Tasa de Falla'!IE41)</f>
      </c>
      <c r="K41" s="530">
        <f>IF('[1]Tasa de Falla'!IF41=0,"",'[1]Tasa de Falla'!IF41)</f>
      </c>
      <c r="L41" s="530">
        <f>IF('[1]Tasa de Falla'!IG41=0,"",'[1]Tasa de Falla'!IG41)</f>
      </c>
      <c r="M41" s="530">
        <f>IF('[1]Tasa de Falla'!IH41=0,"",'[1]Tasa de Falla'!IH41)</f>
      </c>
      <c r="N41" s="530">
        <f>IF('[1]Tasa de Falla'!II41=0,"",'[1]Tasa de Falla'!II41)</f>
      </c>
      <c r="O41" s="530">
        <f>IF('[1]Tasa de Falla'!IJ41=0,"",'[1]Tasa de Falla'!IJ41)</f>
      </c>
      <c r="P41" s="530">
        <f>IF('[1]Tasa de Falla'!IK41=0,"",'[1]Tasa de Falla'!IK41)</f>
      </c>
      <c r="Q41" s="530">
        <f>IF('[1]Tasa de Falla'!IL41=0,"",'[1]Tasa de Falla'!IL41)</f>
      </c>
      <c r="R41" s="530">
        <f>IF('[1]Tasa de Falla'!IM41=0,"",'[1]Tasa de Falla'!IM41)</f>
      </c>
      <c r="S41" s="531"/>
      <c r="T41" s="528"/>
    </row>
    <row r="42" spans="2:20" s="522" customFormat="1" ht="19.5" customHeight="1">
      <c r="B42" s="523"/>
      <c r="C42" s="529">
        <f>'[1]Tasa de Falla'!C42</f>
        <v>26</v>
      </c>
      <c r="D42" s="529" t="str">
        <f>'[1]Tasa de Falla'!D42</f>
        <v>C.H. RIO HONDO - LA BANDA</v>
      </c>
      <c r="E42" s="529">
        <f>'[1]Tasa de Falla'!E42</f>
        <v>132</v>
      </c>
      <c r="F42" s="529">
        <f>'[1]Tasa de Falla'!F42</f>
        <v>76.5</v>
      </c>
      <c r="G42" s="530">
        <f>IF('[1]Tasa de Falla'!IB42=0,"",'[1]Tasa de Falla'!IB42)</f>
      </c>
      <c r="H42" s="530">
        <f>IF('[1]Tasa de Falla'!IC42=0,"",'[1]Tasa de Falla'!IC42)</f>
      </c>
      <c r="I42" s="530">
        <f>IF('[1]Tasa de Falla'!ID42=0,"",'[1]Tasa de Falla'!ID42)</f>
      </c>
      <c r="J42" s="530">
        <f>IF('[1]Tasa de Falla'!IE42=0,"",'[1]Tasa de Falla'!IE42)</f>
      </c>
      <c r="K42" s="530">
        <f>IF('[1]Tasa de Falla'!IF42=0,"",'[1]Tasa de Falla'!IF42)</f>
        <v>1</v>
      </c>
      <c r="L42" s="530">
        <f>IF('[1]Tasa de Falla'!IG42=0,"",'[1]Tasa de Falla'!IG42)</f>
      </c>
      <c r="M42" s="530">
        <f>IF('[1]Tasa de Falla'!IH42=0,"",'[1]Tasa de Falla'!IH42)</f>
        <v>1</v>
      </c>
      <c r="N42" s="530">
        <f>IF('[1]Tasa de Falla'!II42=0,"",'[1]Tasa de Falla'!II42)</f>
      </c>
      <c r="O42" s="530">
        <f>IF('[1]Tasa de Falla'!IJ42=0,"",'[1]Tasa de Falla'!IJ42)</f>
      </c>
      <c r="P42" s="530">
        <f>IF('[1]Tasa de Falla'!IK42=0,"",'[1]Tasa de Falla'!IK42)</f>
      </c>
      <c r="Q42" s="530">
        <f>IF('[1]Tasa de Falla'!IL42=0,"",'[1]Tasa de Falla'!IL42)</f>
      </c>
      <c r="R42" s="530">
        <f>IF('[1]Tasa de Falla'!IM42=0,"",'[1]Tasa de Falla'!IM42)</f>
      </c>
      <c r="S42" s="531"/>
      <c r="T42" s="528"/>
    </row>
    <row r="43" spans="2:20" s="522" customFormat="1" ht="18">
      <c r="B43" s="523"/>
      <c r="C43" s="529">
        <f>'[1]Tasa de Falla'!C43</f>
        <v>27</v>
      </c>
      <c r="D43" s="529" t="str">
        <f>'[1]Tasa de Falla'!D43</f>
        <v>LA RIOJA - RECREO  2</v>
      </c>
      <c r="E43" s="529">
        <f>'[1]Tasa de Falla'!E43</f>
        <v>132</v>
      </c>
      <c r="F43" s="529">
        <f>'[1]Tasa de Falla'!F43</f>
        <v>220</v>
      </c>
      <c r="G43" s="530" t="str">
        <f>IF('[1]Tasa de Falla'!IB43=0,"",'[1]Tasa de Falla'!IB43)</f>
        <v>XXXX</v>
      </c>
      <c r="H43" s="530" t="str">
        <f>IF('[1]Tasa de Falla'!IC43=0,"",'[1]Tasa de Falla'!IC43)</f>
        <v>XXXX</v>
      </c>
      <c r="I43" s="530" t="str">
        <f>IF('[1]Tasa de Falla'!ID43=0,"",'[1]Tasa de Falla'!ID43)</f>
        <v>XXXX</v>
      </c>
      <c r="J43" s="530" t="str">
        <f>IF('[1]Tasa de Falla'!IE43=0,"",'[1]Tasa de Falla'!IE43)</f>
        <v>XXXX</v>
      </c>
      <c r="K43" s="530" t="str">
        <f>IF('[1]Tasa de Falla'!IF43=0,"",'[1]Tasa de Falla'!IF43)</f>
        <v>XXXX</v>
      </c>
      <c r="L43" s="530" t="str">
        <f>IF('[1]Tasa de Falla'!IG43=0,"",'[1]Tasa de Falla'!IG43)</f>
        <v>XXXX</v>
      </c>
      <c r="M43" s="530" t="str">
        <f>IF('[1]Tasa de Falla'!IH43=0,"",'[1]Tasa de Falla'!IH43)</f>
        <v>XXXX</v>
      </c>
      <c r="N43" s="530" t="str">
        <f>IF('[1]Tasa de Falla'!II43=0,"",'[1]Tasa de Falla'!II43)</f>
        <v>XXXX</v>
      </c>
      <c r="O43" s="530" t="str">
        <f>IF('[1]Tasa de Falla'!IJ43=0,"",'[1]Tasa de Falla'!IJ43)</f>
        <v>XXXX</v>
      </c>
      <c r="P43" s="530" t="str">
        <f>IF('[1]Tasa de Falla'!IK43=0,"",'[1]Tasa de Falla'!IK43)</f>
        <v>XXXX</v>
      </c>
      <c r="Q43" s="530" t="str">
        <f>IF('[1]Tasa de Falla'!IL43=0,"",'[1]Tasa de Falla'!IL43)</f>
        <v>XXXX</v>
      </c>
      <c r="R43" s="530" t="str">
        <f>IF('[1]Tasa de Falla'!IM43=0,"",'[1]Tasa de Falla'!IM43)</f>
        <v>XXXX</v>
      </c>
      <c r="S43" s="531"/>
      <c r="T43" s="528"/>
    </row>
    <row r="44" spans="2:20" s="522" customFormat="1" ht="19.5" customHeight="1">
      <c r="B44" s="523"/>
      <c r="C44" s="529">
        <f>'[1]Tasa de Falla'!C44</f>
        <v>28</v>
      </c>
      <c r="D44" s="529" t="str">
        <f>'[1]Tasa de Falla'!D44</f>
        <v>CAMPO SANTO - SALTA SUR</v>
      </c>
      <c r="E44" s="529">
        <f>'[1]Tasa de Falla'!E44</f>
        <v>132</v>
      </c>
      <c r="F44" s="529">
        <f>'[1]Tasa de Falla'!F44</f>
        <v>40.92</v>
      </c>
      <c r="G44" s="530" t="str">
        <f>IF('[1]Tasa de Falla'!IB44=0,"",'[1]Tasa de Falla'!IB44)</f>
        <v>XXXX</v>
      </c>
      <c r="H44" s="530" t="str">
        <f>IF('[1]Tasa de Falla'!IC44=0,"",'[1]Tasa de Falla'!IC44)</f>
        <v>XXXX</v>
      </c>
      <c r="I44" s="530" t="str">
        <f>IF('[1]Tasa de Falla'!ID44=0,"",'[1]Tasa de Falla'!ID44)</f>
        <v>XXXX</v>
      </c>
      <c r="J44" s="530" t="str">
        <f>IF('[1]Tasa de Falla'!IE44=0,"",'[1]Tasa de Falla'!IE44)</f>
        <v>XXXX</v>
      </c>
      <c r="K44" s="530" t="str">
        <f>IF('[1]Tasa de Falla'!IF44=0,"",'[1]Tasa de Falla'!IF44)</f>
        <v>XXXX</v>
      </c>
      <c r="L44" s="530" t="str">
        <f>IF('[1]Tasa de Falla'!IG44=0,"",'[1]Tasa de Falla'!IG44)</f>
        <v>XXXX</v>
      </c>
      <c r="M44" s="530" t="str">
        <f>IF('[1]Tasa de Falla'!IH44=0,"",'[1]Tasa de Falla'!IH44)</f>
        <v>XXXX</v>
      </c>
      <c r="N44" s="530" t="str">
        <f>IF('[1]Tasa de Falla'!II44=0,"",'[1]Tasa de Falla'!II44)</f>
        <v>XXXX</v>
      </c>
      <c r="O44" s="530" t="str">
        <f>IF('[1]Tasa de Falla'!IJ44=0,"",'[1]Tasa de Falla'!IJ44)</f>
        <v>XXXX</v>
      </c>
      <c r="P44" s="530" t="str">
        <f>IF('[1]Tasa de Falla'!IK44=0,"",'[1]Tasa de Falla'!IK44)</f>
        <v>XXXX</v>
      </c>
      <c r="Q44" s="530" t="str">
        <f>IF('[1]Tasa de Falla'!IL44=0,"",'[1]Tasa de Falla'!IL44)</f>
        <v>XXXX</v>
      </c>
      <c r="R44" s="530" t="str">
        <f>IF('[1]Tasa de Falla'!IM44=0,"",'[1]Tasa de Falla'!IM44)</f>
        <v>XXXX</v>
      </c>
      <c r="S44" s="531"/>
      <c r="T44" s="528"/>
    </row>
    <row r="45" spans="2:20" s="522" customFormat="1" ht="19.5" customHeight="1">
      <c r="B45" s="523"/>
      <c r="C45" s="529">
        <f>'[1]Tasa de Falla'!C45</f>
        <v>29</v>
      </c>
      <c r="D45" s="529" t="str">
        <f>'[1]Tasa de Falla'!D45</f>
        <v>PALPALA - SAN JUANCITO</v>
      </c>
      <c r="E45" s="529">
        <f>'[1]Tasa de Falla'!E45</f>
        <v>132</v>
      </c>
      <c r="F45" s="529">
        <f>'[1]Tasa de Falla'!F45</f>
        <v>23.9</v>
      </c>
      <c r="G45" s="530">
        <f>IF('[1]Tasa de Falla'!IB45=0,"",'[1]Tasa de Falla'!IB45)</f>
      </c>
      <c r="H45" s="530">
        <f>IF('[1]Tasa de Falla'!IC45=0,"",'[1]Tasa de Falla'!IC45)</f>
      </c>
      <c r="I45" s="530">
        <f>IF('[1]Tasa de Falla'!ID45=0,"",'[1]Tasa de Falla'!ID45)</f>
        <v>1</v>
      </c>
      <c r="J45" s="530">
        <f>IF('[1]Tasa de Falla'!IE45=0,"",'[1]Tasa de Falla'!IE45)</f>
      </c>
      <c r="K45" s="530">
        <f>IF('[1]Tasa de Falla'!IF45=0,"",'[1]Tasa de Falla'!IF45)</f>
        <v>1</v>
      </c>
      <c r="L45" s="530">
        <f>IF('[1]Tasa de Falla'!IG45=0,"",'[1]Tasa de Falla'!IG45)</f>
      </c>
      <c r="M45" s="530">
        <f>IF('[1]Tasa de Falla'!IH45=0,"",'[1]Tasa de Falla'!IH45)</f>
        <v>2</v>
      </c>
      <c r="N45" s="530">
        <f>IF('[1]Tasa de Falla'!II45=0,"",'[1]Tasa de Falla'!II45)</f>
        <v>2</v>
      </c>
      <c r="O45" s="530">
        <f>IF('[1]Tasa de Falla'!IJ45=0,"",'[1]Tasa de Falla'!IJ45)</f>
      </c>
      <c r="P45" s="530">
        <f>IF('[1]Tasa de Falla'!IK45=0,"",'[1]Tasa de Falla'!IK45)</f>
      </c>
      <c r="Q45" s="530">
        <f>IF('[1]Tasa de Falla'!IL45=0,"",'[1]Tasa de Falla'!IL45)</f>
      </c>
      <c r="R45" s="530">
        <f>IF('[1]Tasa de Falla'!IM45=0,"",'[1]Tasa de Falla'!IM45)</f>
      </c>
      <c r="S45" s="531"/>
      <c r="T45" s="528"/>
    </row>
    <row r="46" spans="2:20" s="522" customFormat="1" ht="19.5" customHeight="1">
      <c r="B46" s="523"/>
      <c r="C46" s="529">
        <f>'[1]Tasa de Falla'!C46</f>
        <v>30</v>
      </c>
      <c r="D46" s="529" t="str">
        <f>'[1]Tasa de Falla'!D46</f>
        <v>SAN JUANCITO - SAN PEDRO JUJUY</v>
      </c>
      <c r="E46" s="529">
        <f>'[1]Tasa de Falla'!E46</f>
        <v>132</v>
      </c>
      <c r="F46" s="529">
        <f>'[1]Tasa de Falla'!F46</f>
        <v>27</v>
      </c>
      <c r="G46" s="530">
        <f>IF('[1]Tasa de Falla'!IB46=0,"",'[1]Tasa de Falla'!IB46)</f>
      </c>
      <c r="H46" s="530">
        <f>IF('[1]Tasa de Falla'!IC46=0,"",'[1]Tasa de Falla'!IC46)</f>
      </c>
      <c r="I46" s="530">
        <f>IF('[1]Tasa de Falla'!ID46=0,"",'[1]Tasa de Falla'!ID46)</f>
      </c>
      <c r="J46" s="530">
        <f>IF('[1]Tasa de Falla'!IE46=0,"",'[1]Tasa de Falla'!IE46)</f>
      </c>
      <c r="K46" s="530">
        <f>IF('[1]Tasa de Falla'!IF46=0,"",'[1]Tasa de Falla'!IF46)</f>
      </c>
      <c r="L46" s="530">
        <f>IF('[1]Tasa de Falla'!IG46=0,"",'[1]Tasa de Falla'!IG46)</f>
      </c>
      <c r="M46" s="530">
        <f>IF('[1]Tasa de Falla'!IH46=0,"",'[1]Tasa de Falla'!IH46)</f>
      </c>
      <c r="N46" s="530">
        <f>IF('[1]Tasa de Falla'!II46=0,"",'[1]Tasa de Falla'!II46)</f>
      </c>
      <c r="O46" s="530">
        <f>IF('[1]Tasa de Falla'!IJ46=0,"",'[1]Tasa de Falla'!IJ46)</f>
      </c>
      <c r="P46" s="530">
        <f>IF('[1]Tasa de Falla'!IK46=0,"",'[1]Tasa de Falla'!IK46)</f>
      </c>
      <c r="Q46" s="530">
        <f>IF('[1]Tasa de Falla'!IL46=0,"",'[1]Tasa de Falla'!IL46)</f>
      </c>
      <c r="R46" s="530">
        <f>IF('[1]Tasa de Falla'!IM46=0,"",'[1]Tasa de Falla'!IM46)</f>
      </c>
      <c r="S46" s="531"/>
      <c r="T46" s="528"/>
    </row>
    <row r="47" spans="2:20" s="522" customFormat="1" ht="18">
      <c r="B47" s="523"/>
      <c r="C47" s="529">
        <f>'[1]Tasa de Falla'!C47</f>
        <v>31</v>
      </c>
      <c r="D47" s="529" t="str">
        <f>'[1]Tasa de Falla'!D47</f>
        <v>SAN MARTIN - CATAMARCA</v>
      </c>
      <c r="E47" s="529">
        <f>'[1]Tasa de Falla'!E47</f>
        <v>132</v>
      </c>
      <c r="F47" s="529">
        <f>'[1]Tasa de Falla'!F47</f>
        <v>88</v>
      </c>
      <c r="G47" s="530" t="str">
        <f>IF('[1]Tasa de Falla'!IB47=0,"",'[1]Tasa de Falla'!IB47)</f>
        <v>XXXX</v>
      </c>
      <c r="H47" s="530" t="str">
        <f>IF('[1]Tasa de Falla'!IC47=0,"",'[1]Tasa de Falla'!IC47)</f>
        <v>XXXX</v>
      </c>
      <c r="I47" s="530" t="str">
        <f>IF('[1]Tasa de Falla'!ID47=0,"",'[1]Tasa de Falla'!ID47)</f>
        <v>XXXX</v>
      </c>
      <c r="J47" s="530" t="str">
        <f>IF('[1]Tasa de Falla'!IE47=0,"",'[1]Tasa de Falla'!IE47)</f>
        <v>XXXX</v>
      </c>
      <c r="K47" s="530" t="str">
        <f>IF('[1]Tasa de Falla'!IF47=0,"",'[1]Tasa de Falla'!IF47)</f>
        <v>XXXX</v>
      </c>
      <c r="L47" s="530" t="str">
        <f>IF('[1]Tasa de Falla'!IG47=0,"",'[1]Tasa de Falla'!IG47)</f>
        <v>XXXX</v>
      </c>
      <c r="M47" s="530" t="str">
        <f>IF('[1]Tasa de Falla'!IH47=0,"",'[1]Tasa de Falla'!IH47)</f>
        <v>XXXX</v>
      </c>
      <c r="N47" s="530" t="str">
        <f>IF('[1]Tasa de Falla'!II47=0,"",'[1]Tasa de Falla'!II47)</f>
        <v>XXXX</v>
      </c>
      <c r="O47" s="530" t="str">
        <f>IF('[1]Tasa de Falla'!IJ47=0,"",'[1]Tasa de Falla'!IJ47)</f>
        <v>XXXX</v>
      </c>
      <c r="P47" s="530" t="str">
        <f>IF('[1]Tasa de Falla'!IK47=0,"",'[1]Tasa de Falla'!IK47)</f>
        <v>XXXX</v>
      </c>
      <c r="Q47" s="530" t="str">
        <f>IF('[1]Tasa de Falla'!IL47=0,"",'[1]Tasa de Falla'!IL47)</f>
        <v>XXXX</v>
      </c>
      <c r="R47" s="530" t="str">
        <f>IF('[1]Tasa de Falla'!IM47=0,"",'[1]Tasa de Falla'!IM47)</f>
        <v>XXXX</v>
      </c>
      <c r="S47" s="531"/>
      <c r="T47" s="528"/>
    </row>
    <row r="48" spans="2:20" s="522" customFormat="1" ht="18">
      <c r="B48" s="523"/>
      <c r="C48" s="529">
        <f>'[1]Tasa de Falla'!C48</f>
        <v>32</v>
      </c>
      <c r="D48" s="529" t="str">
        <f>'[1]Tasa de Falla'!D48</f>
        <v>SAN MARTIN - RECREO</v>
      </c>
      <c r="E48" s="529">
        <f>'[1]Tasa de Falla'!E48</f>
        <v>132</v>
      </c>
      <c r="F48" s="529">
        <f>'[1]Tasa de Falla'!F48</f>
        <v>115</v>
      </c>
      <c r="G48" s="530" t="str">
        <f>IF('[1]Tasa de Falla'!IB48=0,"",'[1]Tasa de Falla'!IB48)</f>
        <v>XXXX</v>
      </c>
      <c r="H48" s="530" t="str">
        <f>IF('[1]Tasa de Falla'!IC48=0,"",'[1]Tasa de Falla'!IC48)</f>
        <v>XXXX</v>
      </c>
      <c r="I48" s="530" t="str">
        <f>IF('[1]Tasa de Falla'!ID48=0,"",'[1]Tasa de Falla'!ID48)</f>
        <v>XXXX</v>
      </c>
      <c r="J48" s="530" t="str">
        <f>IF('[1]Tasa de Falla'!IE48=0,"",'[1]Tasa de Falla'!IE48)</f>
        <v>XXXX</v>
      </c>
      <c r="K48" s="530" t="str">
        <f>IF('[1]Tasa de Falla'!IF48=0,"",'[1]Tasa de Falla'!IF48)</f>
        <v>XXXX</v>
      </c>
      <c r="L48" s="530" t="str">
        <f>IF('[1]Tasa de Falla'!IG48=0,"",'[1]Tasa de Falla'!IG48)</f>
        <v>XXXX</v>
      </c>
      <c r="M48" s="530" t="str">
        <f>IF('[1]Tasa de Falla'!IH48=0,"",'[1]Tasa de Falla'!IH48)</f>
        <v>XXXX</v>
      </c>
      <c r="N48" s="530" t="str">
        <f>IF('[1]Tasa de Falla'!II48=0,"",'[1]Tasa de Falla'!II48)</f>
        <v>XXXX</v>
      </c>
      <c r="O48" s="530" t="str">
        <f>IF('[1]Tasa de Falla'!IJ48=0,"",'[1]Tasa de Falla'!IJ48)</f>
        <v>XXXX</v>
      </c>
      <c r="P48" s="530" t="str">
        <f>IF('[1]Tasa de Falla'!IK48=0,"",'[1]Tasa de Falla'!IK48)</f>
        <v>XXXX</v>
      </c>
      <c r="Q48" s="530" t="str">
        <f>IF('[1]Tasa de Falla'!IL48=0,"",'[1]Tasa de Falla'!IL48)</f>
        <v>XXXX</v>
      </c>
      <c r="R48" s="530" t="str">
        <f>IF('[1]Tasa de Falla'!IM48=0,"",'[1]Tasa de Falla'!IM48)</f>
        <v>XXXX</v>
      </c>
      <c r="S48" s="531"/>
      <c r="T48" s="528"/>
    </row>
    <row r="49" spans="2:20" s="522" customFormat="1" ht="18">
      <c r="B49" s="523"/>
      <c r="C49" s="529">
        <f>'[1]Tasa de Falla'!C49</f>
        <v>33</v>
      </c>
      <c r="D49" s="529" t="str">
        <f>'[1]Tasa de Falla'!D49</f>
        <v>SAN MARTIN C. - LA RIOJA</v>
      </c>
      <c r="E49" s="529">
        <f>'[1]Tasa de Falla'!E49</f>
        <v>132</v>
      </c>
      <c r="F49" s="529">
        <f>'[1]Tasa de Falla'!F49</f>
        <v>105</v>
      </c>
      <c r="G49" s="530" t="str">
        <f>IF('[1]Tasa de Falla'!IB49=0,"",'[1]Tasa de Falla'!IB49)</f>
        <v>XXXX</v>
      </c>
      <c r="H49" s="530" t="str">
        <f>IF('[1]Tasa de Falla'!IC49=0,"",'[1]Tasa de Falla'!IC49)</f>
        <v>XXXX</v>
      </c>
      <c r="I49" s="530" t="str">
        <f>IF('[1]Tasa de Falla'!ID49=0,"",'[1]Tasa de Falla'!ID49)</f>
        <v>XXXX</v>
      </c>
      <c r="J49" s="530" t="str">
        <f>IF('[1]Tasa de Falla'!IE49=0,"",'[1]Tasa de Falla'!IE49)</f>
        <v>XXXX</v>
      </c>
      <c r="K49" s="530" t="str">
        <f>IF('[1]Tasa de Falla'!IF49=0,"",'[1]Tasa de Falla'!IF49)</f>
        <v>XXXX</v>
      </c>
      <c r="L49" s="530" t="str">
        <f>IF('[1]Tasa de Falla'!IG49=0,"",'[1]Tasa de Falla'!IG49)</f>
        <v>XXXX</v>
      </c>
      <c r="M49" s="530" t="str">
        <f>IF('[1]Tasa de Falla'!IH49=0,"",'[1]Tasa de Falla'!IH49)</f>
        <v>XXXX</v>
      </c>
      <c r="N49" s="530" t="str">
        <f>IF('[1]Tasa de Falla'!II49=0,"",'[1]Tasa de Falla'!II49)</f>
        <v>XXXX</v>
      </c>
      <c r="O49" s="530" t="str">
        <f>IF('[1]Tasa de Falla'!IJ49=0,"",'[1]Tasa de Falla'!IJ49)</f>
        <v>XXXX</v>
      </c>
      <c r="P49" s="530" t="str">
        <f>IF('[1]Tasa de Falla'!IK49=0,"",'[1]Tasa de Falla'!IK49)</f>
        <v>XXXX</v>
      </c>
      <c r="Q49" s="530" t="str">
        <f>IF('[1]Tasa de Falla'!IL49=0,"",'[1]Tasa de Falla'!IL49)</f>
        <v>XXXX</v>
      </c>
      <c r="R49" s="530" t="str">
        <f>IF('[1]Tasa de Falla'!IM49=0,"",'[1]Tasa de Falla'!IM49)</f>
        <v>XXXX</v>
      </c>
      <c r="S49" s="531"/>
      <c r="T49" s="528"/>
    </row>
    <row r="50" spans="2:20" s="522" customFormat="1" ht="19.5" customHeight="1">
      <c r="B50" s="523"/>
      <c r="C50" s="529">
        <f>'[1]Tasa de Falla'!C50</f>
        <v>34</v>
      </c>
      <c r="D50" s="529" t="str">
        <f>'[1]Tasa de Falla'!D50</f>
        <v>SAN PEDRO JUJUY - LIBERTADOR NOA.</v>
      </c>
      <c r="E50" s="529">
        <f>'[1]Tasa de Falla'!E50</f>
        <v>132</v>
      </c>
      <c r="F50" s="529">
        <f>'[1]Tasa de Falla'!F50</f>
        <v>49</v>
      </c>
      <c r="G50" s="530">
        <f>IF('[1]Tasa de Falla'!IB50=0,"",'[1]Tasa de Falla'!IB50)</f>
      </c>
      <c r="H50" s="530">
        <f>IF('[1]Tasa de Falla'!IC50=0,"",'[1]Tasa de Falla'!IC50)</f>
      </c>
      <c r="I50" s="530">
        <f>IF('[1]Tasa de Falla'!ID50=0,"",'[1]Tasa de Falla'!ID50)</f>
      </c>
      <c r="J50" s="530">
        <f>IF('[1]Tasa de Falla'!IE50=0,"",'[1]Tasa de Falla'!IE50)</f>
      </c>
      <c r="K50" s="530">
        <f>IF('[1]Tasa de Falla'!IF50=0,"",'[1]Tasa de Falla'!IF50)</f>
      </c>
      <c r="L50" s="530">
        <f>IF('[1]Tasa de Falla'!IG50=0,"",'[1]Tasa de Falla'!IG50)</f>
      </c>
      <c r="M50" s="530">
        <f>IF('[1]Tasa de Falla'!IH50=0,"",'[1]Tasa de Falla'!IH50)</f>
        <v>1</v>
      </c>
      <c r="N50" s="530">
        <f>IF('[1]Tasa de Falla'!II50=0,"",'[1]Tasa de Falla'!II50)</f>
      </c>
      <c r="O50" s="530">
        <f>IF('[1]Tasa de Falla'!IJ50=0,"",'[1]Tasa de Falla'!IJ50)</f>
      </c>
      <c r="P50" s="530">
        <f>IF('[1]Tasa de Falla'!IK50=0,"",'[1]Tasa de Falla'!IK50)</f>
      </c>
      <c r="Q50" s="530">
        <f>IF('[1]Tasa de Falla'!IL50=0,"",'[1]Tasa de Falla'!IL50)</f>
      </c>
      <c r="R50" s="530">
        <f>IF('[1]Tasa de Falla'!IM50=0,"",'[1]Tasa de Falla'!IM50)</f>
      </c>
      <c r="S50" s="531"/>
      <c r="T50" s="528"/>
    </row>
    <row r="51" spans="2:20" s="522" customFormat="1" ht="19.5" customHeight="1">
      <c r="B51" s="523"/>
      <c r="C51" s="529">
        <f>'[1]Tasa de Falla'!C51</f>
        <v>35</v>
      </c>
      <c r="D51" s="529" t="str">
        <f>'[1]Tasa de Falla'!D51</f>
        <v>TUCUMAN NORTE - EL BRACHO</v>
      </c>
      <c r="E51" s="529">
        <f>'[1]Tasa de Falla'!E51</f>
        <v>132</v>
      </c>
      <c r="F51" s="529">
        <f>'[1]Tasa de Falla'!F51</f>
        <v>31.5</v>
      </c>
      <c r="G51" s="530">
        <f>IF('[1]Tasa de Falla'!IB51=0,"",'[1]Tasa de Falla'!IB51)</f>
      </c>
      <c r="H51" s="530">
        <f>IF('[1]Tasa de Falla'!IC51=0,"",'[1]Tasa de Falla'!IC51)</f>
        <v>1</v>
      </c>
      <c r="I51" s="530">
        <f>IF('[1]Tasa de Falla'!ID51=0,"",'[1]Tasa de Falla'!ID51)</f>
        <v>1</v>
      </c>
      <c r="J51" s="530">
        <f>IF('[1]Tasa de Falla'!IE51=0,"",'[1]Tasa de Falla'!IE51)</f>
      </c>
      <c r="K51" s="530">
        <f>IF('[1]Tasa de Falla'!IF51=0,"",'[1]Tasa de Falla'!IF51)</f>
      </c>
      <c r="L51" s="530">
        <f>IF('[1]Tasa de Falla'!IG51=0,"",'[1]Tasa de Falla'!IG51)</f>
      </c>
      <c r="M51" s="530">
        <f>IF('[1]Tasa de Falla'!IH51=0,"",'[1]Tasa de Falla'!IH51)</f>
      </c>
      <c r="N51" s="530">
        <f>IF('[1]Tasa de Falla'!II51=0,"",'[1]Tasa de Falla'!II51)</f>
      </c>
      <c r="O51" s="530">
        <f>IF('[1]Tasa de Falla'!IJ51=0,"",'[1]Tasa de Falla'!IJ51)</f>
      </c>
      <c r="P51" s="530">
        <f>IF('[1]Tasa de Falla'!IK51=0,"",'[1]Tasa de Falla'!IK51)</f>
      </c>
      <c r="Q51" s="530">
        <f>IF('[1]Tasa de Falla'!IL51=0,"",'[1]Tasa de Falla'!IL51)</f>
      </c>
      <c r="R51" s="530">
        <f>IF('[1]Tasa de Falla'!IM51=0,"",'[1]Tasa de Falla'!IM51)</f>
      </c>
      <c r="S51" s="531"/>
      <c r="T51" s="528"/>
    </row>
    <row r="52" spans="2:20" s="522" customFormat="1" ht="19.5" customHeight="1">
      <c r="B52" s="523"/>
      <c r="C52" s="529">
        <f>'[1]Tasa de Falla'!C52</f>
        <v>36</v>
      </c>
      <c r="D52" s="529" t="str">
        <f>'[1]Tasa de Falla'!D52</f>
        <v>C.H. EL CADILLAL - TUCUMAN NORTE</v>
      </c>
      <c r="E52" s="529">
        <f>'[1]Tasa de Falla'!E52</f>
        <v>132</v>
      </c>
      <c r="F52" s="529">
        <f>'[1]Tasa de Falla'!F52</f>
        <v>21.78</v>
      </c>
      <c r="G52" s="530">
        <f>IF('[1]Tasa de Falla'!IB52=0,"",'[1]Tasa de Falla'!IB52)</f>
      </c>
      <c r="H52" s="530">
        <f>IF('[1]Tasa de Falla'!IC52=0,"",'[1]Tasa de Falla'!IC52)</f>
      </c>
      <c r="I52" s="530">
        <f>IF('[1]Tasa de Falla'!ID52=0,"",'[1]Tasa de Falla'!ID52)</f>
      </c>
      <c r="J52" s="530">
        <f>IF('[1]Tasa de Falla'!IE52=0,"",'[1]Tasa de Falla'!IE52)</f>
      </c>
      <c r="K52" s="530">
        <f>IF('[1]Tasa de Falla'!IF52=0,"",'[1]Tasa de Falla'!IF52)</f>
        <v>1</v>
      </c>
      <c r="L52" s="530">
        <f>IF('[1]Tasa de Falla'!IG52=0,"",'[1]Tasa de Falla'!IG52)</f>
      </c>
      <c r="M52" s="530">
        <f>IF('[1]Tasa de Falla'!IH52=0,"",'[1]Tasa de Falla'!IH52)</f>
      </c>
      <c r="N52" s="530">
        <f>IF('[1]Tasa de Falla'!II52=0,"",'[1]Tasa de Falla'!II52)</f>
        <v>1</v>
      </c>
      <c r="O52" s="530">
        <f>IF('[1]Tasa de Falla'!IJ52=0,"",'[1]Tasa de Falla'!IJ52)</f>
      </c>
      <c r="P52" s="530">
        <f>IF('[1]Tasa de Falla'!IK52=0,"",'[1]Tasa de Falla'!IK52)</f>
      </c>
      <c r="Q52" s="530">
        <f>IF('[1]Tasa de Falla'!IL52=0,"",'[1]Tasa de Falla'!IL52)</f>
      </c>
      <c r="R52" s="530">
        <f>IF('[1]Tasa de Falla'!IM52=0,"",'[1]Tasa de Falla'!IM52)</f>
      </c>
      <c r="S52" s="531"/>
      <c r="T52" s="528"/>
    </row>
    <row r="53" spans="2:20" s="522" customFormat="1" ht="19.5" customHeight="1">
      <c r="B53" s="523"/>
      <c r="C53" s="529">
        <f>'[1]Tasa de Falla'!C53</f>
        <v>37</v>
      </c>
      <c r="D53" s="529" t="str">
        <f>'[1]Tasa de Falla'!D53</f>
        <v>TUCUMAN NORTE - CABRA CORRAL</v>
      </c>
      <c r="E53" s="529">
        <f>'[1]Tasa de Falla'!E53</f>
        <v>132</v>
      </c>
      <c r="F53" s="529">
        <f>'[1]Tasa de Falla'!F53</f>
        <v>190</v>
      </c>
      <c r="G53" s="530" t="str">
        <f>IF('[1]Tasa de Falla'!IB53=0,"",'[1]Tasa de Falla'!IB53)</f>
        <v>XXXX</v>
      </c>
      <c r="H53" s="530" t="str">
        <f>IF('[1]Tasa de Falla'!IC53=0,"",'[1]Tasa de Falla'!IC53)</f>
        <v>XXXX</v>
      </c>
      <c r="I53" s="530" t="str">
        <f>IF('[1]Tasa de Falla'!ID53=0,"",'[1]Tasa de Falla'!ID53)</f>
        <v>XXXX</v>
      </c>
      <c r="J53" s="530" t="str">
        <f>IF('[1]Tasa de Falla'!IE53=0,"",'[1]Tasa de Falla'!IE53)</f>
        <v>XXXX</v>
      </c>
      <c r="K53" s="530" t="str">
        <f>IF('[1]Tasa de Falla'!IF53=0,"",'[1]Tasa de Falla'!IF53)</f>
        <v>XXXX</v>
      </c>
      <c r="L53" s="530" t="str">
        <f>IF('[1]Tasa de Falla'!IG53=0,"",'[1]Tasa de Falla'!IG53)</f>
        <v>XXXX</v>
      </c>
      <c r="M53" s="530" t="str">
        <f>IF('[1]Tasa de Falla'!IH53=0,"",'[1]Tasa de Falla'!IH53)</f>
        <v>XXXX</v>
      </c>
      <c r="N53" s="530" t="str">
        <f>IF('[1]Tasa de Falla'!II53=0,"",'[1]Tasa de Falla'!II53)</f>
        <v>XXXX</v>
      </c>
      <c r="O53" s="530" t="str">
        <f>IF('[1]Tasa de Falla'!IJ53=0,"",'[1]Tasa de Falla'!IJ53)</f>
        <v>XXXX</v>
      </c>
      <c r="P53" s="530" t="str">
        <f>IF('[1]Tasa de Falla'!IK53=0,"",'[1]Tasa de Falla'!IK53)</f>
        <v>XXXX</v>
      </c>
      <c r="Q53" s="530" t="str">
        <f>IF('[1]Tasa de Falla'!IL53=0,"",'[1]Tasa de Falla'!IL53)</f>
        <v>XXXX</v>
      </c>
      <c r="R53" s="530" t="str">
        <f>IF('[1]Tasa de Falla'!IM53=0,"",'[1]Tasa de Falla'!IM53)</f>
        <v>XXXX</v>
      </c>
      <c r="S53" s="531"/>
      <c r="T53" s="528"/>
    </row>
    <row r="54" spans="2:20" s="522" customFormat="1" ht="19.5" customHeight="1">
      <c r="B54" s="523"/>
      <c r="C54" s="529">
        <f>'[1]Tasa de Falla'!C54</f>
        <v>38</v>
      </c>
      <c r="D54" s="529" t="str">
        <f>'[1]Tasa de Falla'!D54</f>
        <v>METAN - TUCUMAN NORTE</v>
      </c>
      <c r="E54" s="529">
        <f>'[1]Tasa de Falla'!E54</f>
        <v>132</v>
      </c>
      <c r="F54" s="529">
        <f>'[1]Tasa de Falla'!F54</f>
        <v>155.6</v>
      </c>
      <c r="G54" s="530">
        <f>IF('[1]Tasa de Falla'!IB54=0,"",'[1]Tasa de Falla'!IB54)</f>
      </c>
      <c r="H54" s="530">
        <f>IF('[1]Tasa de Falla'!IC54=0,"",'[1]Tasa de Falla'!IC54)</f>
      </c>
      <c r="I54" s="530">
        <f>IF('[1]Tasa de Falla'!ID54=0,"",'[1]Tasa de Falla'!ID54)</f>
        <v>1</v>
      </c>
      <c r="J54" s="530">
        <f>IF('[1]Tasa de Falla'!IE54=0,"",'[1]Tasa de Falla'!IE54)</f>
      </c>
      <c r="K54" s="530">
        <f>IF('[1]Tasa de Falla'!IF54=0,"",'[1]Tasa de Falla'!IF54)</f>
      </c>
      <c r="L54" s="530">
        <f>IF('[1]Tasa de Falla'!IG54=0,"",'[1]Tasa de Falla'!IG54)</f>
      </c>
      <c r="M54" s="530">
        <f>IF('[1]Tasa de Falla'!IH54=0,"",'[1]Tasa de Falla'!IH54)</f>
        <v>1</v>
      </c>
      <c r="N54" s="530">
        <f>IF('[1]Tasa de Falla'!II54=0,"",'[1]Tasa de Falla'!II54)</f>
      </c>
      <c r="O54" s="530">
        <f>IF('[1]Tasa de Falla'!IJ54=0,"",'[1]Tasa de Falla'!IJ54)</f>
        <v>1</v>
      </c>
      <c r="P54" s="530">
        <f>IF('[1]Tasa de Falla'!IK54=0,"",'[1]Tasa de Falla'!IK54)</f>
      </c>
      <c r="Q54" s="530">
        <f>IF('[1]Tasa de Falla'!IL54=0,"",'[1]Tasa de Falla'!IL54)</f>
      </c>
      <c r="R54" s="530">
        <f>IF('[1]Tasa de Falla'!IM54=0,"",'[1]Tasa de Falla'!IM54)</f>
      </c>
      <c r="S54" s="531"/>
      <c r="T54" s="528"/>
    </row>
    <row r="55" spans="2:20" s="522" customFormat="1" ht="19.5" customHeight="1">
      <c r="B55" s="523"/>
      <c r="C55" s="529">
        <f>'[1]Tasa de Falla'!C55</f>
        <v>39</v>
      </c>
      <c r="D55" s="529" t="str">
        <f>'[1]Tasa de Falla'!D55</f>
        <v>SARMIENTO - TUCUMAN NORTE (O.F.)</v>
      </c>
      <c r="E55" s="529">
        <f>'[1]Tasa de Falla'!E55</f>
        <v>132</v>
      </c>
      <c r="F55" s="529">
        <f>'[1]Tasa de Falla'!F55</f>
        <v>3.3</v>
      </c>
      <c r="G55" s="530">
        <f>IF('[1]Tasa de Falla'!IB55=0,"",'[1]Tasa de Falla'!IB55)</f>
      </c>
      <c r="H55" s="530">
        <f>IF('[1]Tasa de Falla'!IC55=0,"",'[1]Tasa de Falla'!IC55)</f>
      </c>
      <c r="I55" s="530">
        <f>IF('[1]Tasa de Falla'!ID55=0,"",'[1]Tasa de Falla'!ID55)</f>
      </c>
      <c r="J55" s="530">
        <f>IF('[1]Tasa de Falla'!IE55=0,"",'[1]Tasa de Falla'!IE55)</f>
      </c>
      <c r="K55" s="530">
        <f>IF('[1]Tasa de Falla'!IF55=0,"",'[1]Tasa de Falla'!IF55)</f>
      </c>
      <c r="L55" s="530">
        <f>IF('[1]Tasa de Falla'!IG55=0,"",'[1]Tasa de Falla'!IG55)</f>
      </c>
      <c r="M55" s="530">
        <f>IF('[1]Tasa de Falla'!IH55=0,"",'[1]Tasa de Falla'!IH55)</f>
      </c>
      <c r="N55" s="530">
        <f>IF('[1]Tasa de Falla'!II55=0,"",'[1]Tasa de Falla'!II55)</f>
      </c>
      <c r="O55" s="530">
        <f>IF('[1]Tasa de Falla'!IJ55=0,"",'[1]Tasa de Falla'!IJ55)</f>
      </c>
      <c r="P55" s="530">
        <f>IF('[1]Tasa de Falla'!IK55=0,"",'[1]Tasa de Falla'!IK55)</f>
      </c>
      <c r="Q55" s="530">
        <f>IF('[1]Tasa de Falla'!IL55=0,"",'[1]Tasa de Falla'!IL55)</f>
      </c>
      <c r="R55" s="530">
        <f>IF('[1]Tasa de Falla'!IM55=0,"",'[1]Tasa de Falla'!IM55)</f>
      </c>
      <c r="S55" s="531"/>
      <c r="T55" s="528"/>
    </row>
    <row r="56" spans="2:20" s="522" customFormat="1" ht="19.5" customHeight="1">
      <c r="B56" s="523"/>
      <c r="C56" s="529">
        <f>'[1]Tasa de Falla'!C56</f>
        <v>40</v>
      </c>
      <c r="D56" s="529" t="str">
        <f>'[1]Tasa de Falla'!D56</f>
        <v>TUCUMAN OESTE - TUCUMAN NORTE</v>
      </c>
      <c r="E56" s="529">
        <f>'[1]Tasa de Falla'!E56</f>
        <v>132</v>
      </c>
      <c r="F56" s="529">
        <f>'[1]Tasa de Falla'!F56</f>
        <v>7</v>
      </c>
      <c r="G56" s="530">
        <f>IF('[1]Tasa de Falla'!IB56=0,"",'[1]Tasa de Falla'!IB56)</f>
      </c>
      <c r="H56" s="530">
        <f>IF('[1]Tasa de Falla'!IC56=0,"",'[1]Tasa de Falla'!IC56)</f>
      </c>
      <c r="I56" s="530">
        <f>IF('[1]Tasa de Falla'!ID56=0,"",'[1]Tasa de Falla'!ID56)</f>
      </c>
      <c r="J56" s="530">
        <f>IF('[1]Tasa de Falla'!IE56=0,"",'[1]Tasa de Falla'!IE56)</f>
      </c>
      <c r="K56" s="530">
        <f>IF('[1]Tasa de Falla'!IF56=0,"",'[1]Tasa de Falla'!IF56)</f>
      </c>
      <c r="L56" s="530">
        <f>IF('[1]Tasa de Falla'!IG56=0,"",'[1]Tasa de Falla'!IG56)</f>
      </c>
      <c r="M56" s="530">
        <f>IF('[1]Tasa de Falla'!IH56=0,"",'[1]Tasa de Falla'!IH56)</f>
      </c>
      <c r="N56" s="530">
        <f>IF('[1]Tasa de Falla'!II56=0,"",'[1]Tasa de Falla'!II56)</f>
      </c>
      <c r="O56" s="530">
        <f>IF('[1]Tasa de Falla'!IJ56=0,"",'[1]Tasa de Falla'!IJ56)</f>
      </c>
      <c r="P56" s="530">
        <f>IF('[1]Tasa de Falla'!IK56=0,"",'[1]Tasa de Falla'!IK56)</f>
      </c>
      <c r="Q56" s="530">
        <f>IF('[1]Tasa de Falla'!IL56=0,"",'[1]Tasa de Falla'!IL56)</f>
      </c>
      <c r="R56" s="530">
        <f>IF('[1]Tasa de Falla'!IM56=0,"",'[1]Tasa de Falla'!IM56)</f>
        <v>2</v>
      </c>
      <c r="S56" s="531"/>
      <c r="T56" s="528"/>
    </row>
    <row r="57" spans="2:20" s="522" customFormat="1" ht="19.5" customHeight="1">
      <c r="B57" s="523"/>
      <c r="C57" s="529">
        <f>'[1]Tasa de Falla'!C57</f>
        <v>41</v>
      </c>
      <c r="D57" s="529" t="str">
        <f>'[1]Tasa de Falla'!D57</f>
        <v>AGUILARES - VILLA QUINTEROS</v>
      </c>
      <c r="E57" s="529">
        <f>'[1]Tasa de Falla'!E57</f>
        <v>132</v>
      </c>
      <c r="F57" s="529">
        <f>'[1]Tasa de Falla'!F57</f>
        <v>21</v>
      </c>
      <c r="G57" s="530">
        <f>IF('[1]Tasa de Falla'!IB57=0,"",'[1]Tasa de Falla'!IB57)</f>
      </c>
      <c r="H57" s="530">
        <f>IF('[1]Tasa de Falla'!IC57=0,"",'[1]Tasa de Falla'!IC57)</f>
      </c>
      <c r="I57" s="530">
        <f>IF('[1]Tasa de Falla'!ID57=0,"",'[1]Tasa de Falla'!ID57)</f>
      </c>
      <c r="J57" s="530">
        <f>IF('[1]Tasa de Falla'!IE57=0,"",'[1]Tasa de Falla'!IE57)</f>
        <v>2</v>
      </c>
      <c r="K57" s="530">
        <f>IF('[1]Tasa de Falla'!IF57=0,"",'[1]Tasa de Falla'!IF57)</f>
      </c>
      <c r="L57" s="530">
        <f>IF('[1]Tasa de Falla'!IG57=0,"",'[1]Tasa de Falla'!IG57)</f>
      </c>
      <c r="M57" s="530">
        <f>IF('[1]Tasa de Falla'!IH57=0,"",'[1]Tasa de Falla'!IH57)</f>
      </c>
      <c r="N57" s="530">
        <f>IF('[1]Tasa de Falla'!II57=0,"",'[1]Tasa de Falla'!II57)</f>
      </c>
      <c r="O57" s="530">
        <f>IF('[1]Tasa de Falla'!IJ57=0,"",'[1]Tasa de Falla'!IJ57)</f>
      </c>
      <c r="P57" s="530">
        <f>IF('[1]Tasa de Falla'!IK57=0,"",'[1]Tasa de Falla'!IK57)</f>
      </c>
      <c r="Q57" s="530">
        <f>IF('[1]Tasa de Falla'!IL57=0,"",'[1]Tasa de Falla'!IL57)</f>
      </c>
      <c r="R57" s="530">
        <f>IF('[1]Tasa de Falla'!IM57=0,"",'[1]Tasa de Falla'!IM57)</f>
      </c>
      <c r="S57" s="531"/>
      <c r="T57" s="528"/>
    </row>
    <row r="58" spans="2:20" s="522" customFormat="1" ht="19.5" customHeight="1">
      <c r="B58" s="523"/>
      <c r="C58" s="529">
        <f>'[1]Tasa de Falla'!C58</f>
        <v>42</v>
      </c>
      <c r="D58" s="529" t="str">
        <f>'[1]Tasa de Falla'!D58</f>
        <v>C.H. PUEBLO VIEJO - VILLA QUINTEROS </v>
      </c>
      <c r="E58" s="529">
        <f>'[1]Tasa de Falla'!E58</f>
        <v>132</v>
      </c>
      <c r="F58" s="529">
        <f>'[1]Tasa de Falla'!F58</f>
        <v>24.5</v>
      </c>
      <c r="G58" s="530">
        <f>IF('[1]Tasa de Falla'!IB58=0,"",'[1]Tasa de Falla'!IB58)</f>
      </c>
      <c r="H58" s="530">
        <f>IF('[1]Tasa de Falla'!IC58=0,"",'[1]Tasa de Falla'!IC58)</f>
      </c>
      <c r="I58" s="530">
        <f>IF('[1]Tasa de Falla'!ID58=0,"",'[1]Tasa de Falla'!ID58)</f>
      </c>
      <c r="J58" s="530">
        <f>IF('[1]Tasa de Falla'!IE58=0,"",'[1]Tasa de Falla'!IE58)</f>
      </c>
      <c r="K58" s="530">
        <f>IF('[1]Tasa de Falla'!IF58=0,"",'[1]Tasa de Falla'!IF58)</f>
      </c>
      <c r="L58" s="530">
        <f>IF('[1]Tasa de Falla'!IG58=0,"",'[1]Tasa de Falla'!IG58)</f>
      </c>
      <c r="M58" s="530">
        <f>IF('[1]Tasa de Falla'!IH58=0,"",'[1]Tasa de Falla'!IH58)</f>
      </c>
      <c r="N58" s="530">
        <f>IF('[1]Tasa de Falla'!II58=0,"",'[1]Tasa de Falla'!II58)</f>
        <v>1</v>
      </c>
      <c r="O58" s="530">
        <f>IF('[1]Tasa de Falla'!IJ58=0,"",'[1]Tasa de Falla'!IJ58)</f>
      </c>
      <c r="P58" s="530">
        <f>IF('[1]Tasa de Falla'!IK58=0,"",'[1]Tasa de Falla'!IK58)</f>
      </c>
      <c r="Q58" s="530">
        <f>IF('[1]Tasa de Falla'!IL58=0,"",'[1]Tasa de Falla'!IL58)</f>
      </c>
      <c r="R58" s="530">
        <f>IF('[1]Tasa de Falla'!IM58=0,"",'[1]Tasa de Falla'!IM58)</f>
      </c>
      <c r="S58" s="531"/>
      <c r="T58" s="528"/>
    </row>
    <row r="59" spans="2:20" s="522" customFormat="1" ht="19.5" customHeight="1">
      <c r="B59" s="523"/>
      <c r="C59" s="529">
        <f>'[1]Tasa de Falla'!C59</f>
        <v>43</v>
      </c>
      <c r="D59" s="529" t="str">
        <f>'[1]Tasa de Falla'!D59</f>
        <v>C.H. RIO HONDO - VILLA QUINTEROS</v>
      </c>
      <c r="E59" s="529">
        <f>'[1]Tasa de Falla'!E59</f>
        <v>132</v>
      </c>
      <c r="F59" s="529">
        <f>'[1]Tasa de Falla'!F59</f>
        <v>75.4</v>
      </c>
      <c r="G59" s="530">
        <f>IF('[1]Tasa de Falla'!IB59=0,"",'[1]Tasa de Falla'!IB59)</f>
      </c>
      <c r="H59" s="530">
        <f>IF('[1]Tasa de Falla'!IC59=0,"",'[1]Tasa de Falla'!IC59)</f>
        <v>4</v>
      </c>
      <c r="I59" s="530">
        <f>IF('[1]Tasa de Falla'!ID59=0,"",'[1]Tasa de Falla'!ID59)</f>
        <v>1</v>
      </c>
      <c r="J59" s="530">
        <f>IF('[1]Tasa de Falla'!IE59=0,"",'[1]Tasa de Falla'!IE59)</f>
        <v>1</v>
      </c>
      <c r="K59" s="530">
        <f>IF('[1]Tasa de Falla'!IF59=0,"",'[1]Tasa de Falla'!IF59)</f>
        <v>1</v>
      </c>
      <c r="L59" s="530">
        <f>IF('[1]Tasa de Falla'!IG59=0,"",'[1]Tasa de Falla'!IG59)</f>
        <v>1</v>
      </c>
      <c r="M59" s="530">
        <f>IF('[1]Tasa de Falla'!IH59=0,"",'[1]Tasa de Falla'!IH59)</f>
        <v>3</v>
      </c>
      <c r="N59" s="530">
        <f>IF('[1]Tasa de Falla'!II59=0,"",'[1]Tasa de Falla'!II59)</f>
        <v>1</v>
      </c>
      <c r="O59" s="530">
        <f>IF('[1]Tasa de Falla'!IJ59=0,"",'[1]Tasa de Falla'!IJ59)</f>
      </c>
      <c r="P59" s="530">
        <f>IF('[1]Tasa de Falla'!IK59=0,"",'[1]Tasa de Falla'!IK59)</f>
      </c>
      <c r="Q59" s="530">
        <f>IF('[1]Tasa de Falla'!IL59=0,"",'[1]Tasa de Falla'!IL59)</f>
      </c>
      <c r="R59" s="530">
        <f>IF('[1]Tasa de Falla'!IM59=0,"",'[1]Tasa de Falla'!IM59)</f>
      </c>
      <c r="S59" s="531"/>
      <c r="T59" s="528"/>
    </row>
    <row r="60" spans="2:20" s="522" customFormat="1" ht="19.5" customHeight="1">
      <c r="B60" s="523"/>
      <c r="C60" s="529">
        <f>'[1]Tasa de Falla'!C60</f>
        <v>44</v>
      </c>
      <c r="D60" s="529" t="str">
        <f>'[1]Tasa de Falla'!D60</f>
        <v>C.H. RIO HONDO - SANTIAGO CENTRO</v>
      </c>
      <c r="E60" s="529">
        <f>'[1]Tasa de Falla'!E60</f>
        <v>132</v>
      </c>
      <c r="F60" s="529">
        <f>'[1]Tasa de Falla'!F60</f>
        <v>79</v>
      </c>
      <c r="G60" s="530" t="str">
        <f>IF('[1]Tasa de Falla'!IB60=0,"",'[1]Tasa de Falla'!IB60)</f>
        <v>XXXX</v>
      </c>
      <c r="H60" s="530" t="str">
        <f>IF('[1]Tasa de Falla'!IC60=0,"",'[1]Tasa de Falla'!IC60)</f>
        <v>XXXX</v>
      </c>
      <c r="I60" s="530" t="str">
        <f>IF('[1]Tasa de Falla'!ID60=0,"",'[1]Tasa de Falla'!ID60)</f>
        <v>XXXX</v>
      </c>
      <c r="J60" s="530" t="str">
        <f>IF('[1]Tasa de Falla'!IE60=0,"",'[1]Tasa de Falla'!IE60)</f>
        <v>XXXX</v>
      </c>
      <c r="K60" s="530" t="str">
        <f>IF('[1]Tasa de Falla'!IF60=0,"",'[1]Tasa de Falla'!IF60)</f>
        <v>XXXX</v>
      </c>
      <c r="L60" s="530" t="str">
        <f>IF('[1]Tasa de Falla'!IG60=0,"",'[1]Tasa de Falla'!IG60)</f>
        <v>XXXX</v>
      </c>
      <c r="M60" s="530" t="str">
        <f>IF('[1]Tasa de Falla'!IH60=0,"",'[1]Tasa de Falla'!IH60)</f>
        <v>XXXX</v>
      </c>
      <c r="N60" s="530" t="str">
        <f>IF('[1]Tasa de Falla'!II60=0,"",'[1]Tasa de Falla'!II60)</f>
        <v>XXXX</v>
      </c>
      <c r="O60" s="530" t="str">
        <f>IF('[1]Tasa de Falla'!IJ60=0,"",'[1]Tasa de Falla'!IJ60)</f>
        <v>XXXX</v>
      </c>
      <c r="P60" s="530" t="str">
        <f>IF('[1]Tasa de Falla'!IK60=0,"",'[1]Tasa de Falla'!IK60)</f>
        <v>XXXX</v>
      </c>
      <c r="Q60" s="530" t="str">
        <f>IF('[1]Tasa de Falla'!IL60=0,"",'[1]Tasa de Falla'!IL60)</f>
        <v>XXXX</v>
      </c>
      <c r="R60" s="530" t="str">
        <f>IF('[1]Tasa de Falla'!IM60=0,"",'[1]Tasa de Falla'!IM60)</f>
        <v>XXXX</v>
      </c>
      <c r="S60" s="531"/>
      <c r="T60" s="528"/>
    </row>
    <row r="61" spans="2:20" s="522" customFormat="1" ht="19.5" customHeight="1">
      <c r="B61" s="523"/>
      <c r="C61" s="529">
        <f>'[1]Tasa de Falla'!C61</f>
        <v>45</v>
      </c>
      <c r="D61" s="529" t="str">
        <f>'[1]Tasa de Falla'!D61</f>
        <v>C.H. RIO HONDO - EL BRACHO</v>
      </c>
      <c r="E61" s="529">
        <f>'[1]Tasa de Falla'!E61</f>
        <v>132</v>
      </c>
      <c r="F61" s="529">
        <f>'[1]Tasa de Falla'!F61</f>
        <v>80.66</v>
      </c>
      <c r="G61" s="530">
        <f>IF('[1]Tasa de Falla'!IB61=0,"",'[1]Tasa de Falla'!IB61)</f>
      </c>
      <c r="H61" s="530">
        <f>IF('[1]Tasa de Falla'!IC61=0,"",'[1]Tasa de Falla'!IC61)</f>
      </c>
      <c r="I61" s="530">
        <f>IF('[1]Tasa de Falla'!ID61=0,"",'[1]Tasa de Falla'!ID61)</f>
      </c>
      <c r="J61" s="530">
        <f>IF('[1]Tasa de Falla'!IE61=0,"",'[1]Tasa de Falla'!IE61)</f>
        <v>1</v>
      </c>
      <c r="K61" s="530">
        <f>IF('[1]Tasa de Falla'!IF61=0,"",'[1]Tasa de Falla'!IF61)</f>
      </c>
      <c r="L61" s="530">
        <f>IF('[1]Tasa de Falla'!IG61=0,"",'[1]Tasa de Falla'!IG61)</f>
        <v>3</v>
      </c>
      <c r="M61" s="530">
        <f>IF('[1]Tasa de Falla'!IH61=0,"",'[1]Tasa de Falla'!IH61)</f>
      </c>
      <c r="N61" s="530">
        <f>IF('[1]Tasa de Falla'!II61=0,"",'[1]Tasa de Falla'!II61)</f>
        <v>1</v>
      </c>
      <c r="O61" s="530">
        <f>IF('[1]Tasa de Falla'!IJ61=0,"",'[1]Tasa de Falla'!IJ61)</f>
      </c>
      <c r="P61" s="530">
        <f>IF('[1]Tasa de Falla'!IK61=0,"",'[1]Tasa de Falla'!IK61)</f>
      </c>
      <c r="Q61" s="530">
        <f>IF('[1]Tasa de Falla'!IL61=0,"",'[1]Tasa de Falla'!IL61)</f>
      </c>
      <c r="R61" s="530">
        <f>IF('[1]Tasa de Falla'!IM61=0,"",'[1]Tasa de Falla'!IM61)</f>
      </c>
      <c r="S61" s="531"/>
      <c r="T61" s="528"/>
    </row>
    <row r="62" spans="2:20" s="522" customFormat="1" ht="19.5" customHeight="1">
      <c r="B62" s="523"/>
      <c r="C62" s="529">
        <f>'[1]Tasa de Falla'!C62</f>
        <v>46</v>
      </c>
      <c r="D62" s="529" t="str">
        <f>'[1]Tasa de Falla'!D62</f>
        <v>SALTA SUR - SALTA NORTE</v>
      </c>
      <c r="E62" s="529">
        <f>'[1]Tasa de Falla'!E62</f>
        <v>132</v>
      </c>
      <c r="F62" s="529">
        <f>'[1]Tasa de Falla'!F62</f>
        <v>10</v>
      </c>
      <c r="G62" s="530">
        <f>IF('[1]Tasa de Falla'!IB62=0,"",'[1]Tasa de Falla'!IB62)</f>
      </c>
      <c r="H62" s="530">
        <f>IF('[1]Tasa de Falla'!IC62=0,"",'[1]Tasa de Falla'!IC62)</f>
      </c>
      <c r="I62" s="530">
        <f>IF('[1]Tasa de Falla'!ID62=0,"",'[1]Tasa de Falla'!ID62)</f>
      </c>
      <c r="J62" s="530">
        <f>IF('[1]Tasa de Falla'!IE62=0,"",'[1]Tasa de Falla'!IE62)</f>
      </c>
      <c r="K62" s="530">
        <f>IF('[1]Tasa de Falla'!IF62=0,"",'[1]Tasa de Falla'!IF62)</f>
      </c>
      <c r="L62" s="530">
        <f>IF('[1]Tasa de Falla'!IG62=0,"",'[1]Tasa de Falla'!IG62)</f>
      </c>
      <c r="M62" s="530">
        <f>IF('[1]Tasa de Falla'!IH62=0,"",'[1]Tasa de Falla'!IH62)</f>
      </c>
      <c r="N62" s="530">
        <f>IF('[1]Tasa de Falla'!II62=0,"",'[1]Tasa de Falla'!II62)</f>
      </c>
      <c r="O62" s="530">
        <f>IF('[1]Tasa de Falla'!IJ62=0,"",'[1]Tasa de Falla'!IJ62)</f>
      </c>
      <c r="P62" s="530">
        <f>IF('[1]Tasa de Falla'!IK62=0,"",'[1]Tasa de Falla'!IK62)</f>
      </c>
      <c r="Q62" s="530">
        <f>IF('[1]Tasa de Falla'!IL62=0,"",'[1]Tasa de Falla'!IL62)</f>
      </c>
      <c r="R62" s="530">
        <f>IF('[1]Tasa de Falla'!IM62=0,"",'[1]Tasa de Falla'!IM62)</f>
      </c>
      <c r="S62" s="531"/>
      <c r="T62" s="528"/>
    </row>
    <row r="63" spans="2:20" s="522" customFormat="1" ht="19.5" customHeight="1">
      <c r="B63" s="523"/>
      <c r="C63" s="529">
        <f>'[1]Tasa de Falla'!C63</f>
        <v>47</v>
      </c>
      <c r="D63" s="529" t="str">
        <f>'[1]Tasa de Falla'!D63</f>
        <v>PALPALA - JUJUY ESTE</v>
      </c>
      <c r="E63" s="529">
        <f>'[1]Tasa de Falla'!E63</f>
        <v>132</v>
      </c>
      <c r="F63" s="529">
        <f>'[1]Tasa de Falla'!F63</f>
        <v>12.25</v>
      </c>
      <c r="G63" s="530">
        <f>IF('[1]Tasa de Falla'!IB63=0,"",'[1]Tasa de Falla'!IB63)</f>
      </c>
      <c r="H63" s="530">
        <f>IF('[1]Tasa de Falla'!IC63=0,"",'[1]Tasa de Falla'!IC63)</f>
      </c>
      <c r="I63" s="530">
        <f>IF('[1]Tasa de Falla'!ID63=0,"",'[1]Tasa de Falla'!ID63)</f>
      </c>
      <c r="J63" s="530">
        <f>IF('[1]Tasa de Falla'!IE63=0,"",'[1]Tasa de Falla'!IE63)</f>
      </c>
      <c r="K63" s="530">
        <f>IF('[1]Tasa de Falla'!IF63=0,"",'[1]Tasa de Falla'!IF63)</f>
        <v>1</v>
      </c>
      <c r="L63" s="530">
        <f>IF('[1]Tasa de Falla'!IG63=0,"",'[1]Tasa de Falla'!IG63)</f>
      </c>
      <c r="M63" s="530">
        <f>IF('[1]Tasa de Falla'!IH63=0,"",'[1]Tasa de Falla'!IH63)</f>
      </c>
      <c r="N63" s="530">
        <f>IF('[1]Tasa de Falla'!II63=0,"",'[1]Tasa de Falla'!II63)</f>
      </c>
      <c r="O63" s="530">
        <f>IF('[1]Tasa de Falla'!IJ63=0,"",'[1]Tasa de Falla'!IJ63)</f>
      </c>
      <c r="P63" s="530">
        <f>IF('[1]Tasa de Falla'!IK63=0,"",'[1]Tasa de Falla'!IK63)</f>
      </c>
      <c r="Q63" s="530">
        <f>IF('[1]Tasa de Falla'!IL63=0,"",'[1]Tasa de Falla'!IL63)</f>
      </c>
      <c r="R63" s="530">
        <f>IF('[1]Tasa de Falla'!IM63=0,"",'[1]Tasa de Falla'!IM63)</f>
      </c>
      <c r="S63" s="531"/>
      <c r="T63" s="528"/>
    </row>
    <row r="64" spans="2:20" s="522" customFormat="1" ht="19.5" customHeight="1">
      <c r="B64" s="523"/>
      <c r="C64" s="529">
        <f>'[1]Tasa de Falla'!C64</f>
        <v>48</v>
      </c>
      <c r="D64" s="529" t="str">
        <f>'[1]Tasa de Falla'!D64</f>
        <v>JUJUY ESTE - JUJUY SUR</v>
      </c>
      <c r="E64" s="529">
        <f>'[1]Tasa de Falla'!E64</f>
        <v>132</v>
      </c>
      <c r="F64" s="529">
        <f>'[1]Tasa de Falla'!F64</f>
        <v>4.25</v>
      </c>
      <c r="G64" s="530">
        <f>IF('[1]Tasa de Falla'!IB64=0,"",'[1]Tasa de Falla'!IB64)</f>
      </c>
      <c r="H64" s="530">
        <f>IF('[1]Tasa de Falla'!IC64=0,"",'[1]Tasa de Falla'!IC64)</f>
        <v>1</v>
      </c>
      <c r="I64" s="530">
        <f>IF('[1]Tasa de Falla'!ID64=0,"",'[1]Tasa de Falla'!ID64)</f>
      </c>
      <c r="J64" s="530">
        <f>IF('[1]Tasa de Falla'!IE64=0,"",'[1]Tasa de Falla'!IE64)</f>
      </c>
      <c r="K64" s="530">
        <f>IF('[1]Tasa de Falla'!IF64=0,"",'[1]Tasa de Falla'!IF64)</f>
      </c>
      <c r="L64" s="530">
        <f>IF('[1]Tasa de Falla'!IG64=0,"",'[1]Tasa de Falla'!IG64)</f>
      </c>
      <c r="M64" s="530">
        <f>IF('[1]Tasa de Falla'!IH64=0,"",'[1]Tasa de Falla'!IH64)</f>
      </c>
      <c r="N64" s="530">
        <f>IF('[1]Tasa de Falla'!II64=0,"",'[1]Tasa de Falla'!II64)</f>
      </c>
      <c r="O64" s="530">
        <f>IF('[1]Tasa de Falla'!IJ64=0,"",'[1]Tasa de Falla'!IJ64)</f>
      </c>
      <c r="P64" s="530">
        <f>IF('[1]Tasa de Falla'!IK64=0,"",'[1]Tasa de Falla'!IK64)</f>
      </c>
      <c r="Q64" s="530">
        <f>IF('[1]Tasa de Falla'!IL64=0,"",'[1]Tasa de Falla'!IL64)</f>
      </c>
      <c r="R64" s="530">
        <f>IF('[1]Tasa de Falla'!IM64=0,"",'[1]Tasa de Falla'!IM64)</f>
      </c>
      <c r="S64" s="531"/>
      <c r="T64" s="528"/>
    </row>
    <row r="65" spans="2:20" s="522" customFormat="1" ht="18">
      <c r="B65" s="523"/>
      <c r="C65" s="529">
        <f>'[1]Tasa de Falla'!C65</f>
        <v>49</v>
      </c>
      <c r="D65" s="529" t="str">
        <f>'[1]Tasa de Falla'!D65</f>
        <v>CEVIL POZO - GUEMES</v>
      </c>
      <c r="E65" s="529">
        <f>'[1]Tasa de Falla'!E65</f>
        <v>132</v>
      </c>
      <c r="F65" s="529">
        <f>'[1]Tasa de Falla'!F65</f>
        <v>291</v>
      </c>
      <c r="G65" s="530" t="str">
        <f>IF('[1]Tasa de Falla'!IB65=0,"",'[1]Tasa de Falla'!IB65)</f>
        <v>XXXX</v>
      </c>
      <c r="H65" s="530" t="str">
        <f>IF('[1]Tasa de Falla'!IC65=0,"",'[1]Tasa de Falla'!IC65)</f>
        <v>XXXX</v>
      </c>
      <c r="I65" s="530" t="str">
        <f>IF('[1]Tasa de Falla'!ID65=0,"",'[1]Tasa de Falla'!ID65)</f>
        <v>XXXX</v>
      </c>
      <c r="J65" s="530" t="str">
        <f>IF('[1]Tasa de Falla'!IE65=0,"",'[1]Tasa de Falla'!IE65)</f>
        <v>XXXX</v>
      </c>
      <c r="K65" s="530" t="str">
        <f>IF('[1]Tasa de Falla'!IF65=0,"",'[1]Tasa de Falla'!IF65)</f>
        <v>XXXX</v>
      </c>
      <c r="L65" s="530" t="str">
        <f>IF('[1]Tasa de Falla'!IG65=0,"",'[1]Tasa de Falla'!IG65)</f>
        <v>XXXX</v>
      </c>
      <c r="M65" s="530" t="str">
        <f>IF('[1]Tasa de Falla'!IH65=0,"",'[1]Tasa de Falla'!IH65)</f>
        <v>XXXX</v>
      </c>
      <c r="N65" s="530" t="str">
        <f>IF('[1]Tasa de Falla'!II65=0,"",'[1]Tasa de Falla'!II65)</f>
        <v>XXXX</v>
      </c>
      <c r="O65" s="530" t="str">
        <f>IF('[1]Tasa de Falla'!IJ65=0,"",'[1]Tasa de Falla'!IJ65)</f>
        <v>XXXX</v>
      </c>
      <c r="P65" s="530" t="str">
        <f>IF('[1]Tasa de Falla'!IK65=0,"",'[1]Tasa de Falla'!IK65)</f>
        <v>XXXX</v>
      </c>
      <c r="Q65" s="530" t="str">
        <f>IF('[1]Tasa de Falla'!IL65=0,"",'[1]Tasa de Falla'!IL65)</f>
        <v>XXXX</v>
      </c>
      <c r="R65" s="530" t="str">
        <f>IF('[1]Tasa de Falla'!IM65=0,"",'[1]Tasa de Falla'!IM65)</f>
        <v>XXXX</v>
      </c>
      <c r="S65" s="531"/>
      <c r="T65" s="528"/>
    </row>
    <row r="66" spans="2:20" s="522" customFormat="1" ht="19.5" customHeight="1">
      <c r="B66" s="523"/>
      <c r="C66" s="529">
        <f>'[1]Tasa de Falla'!C66</f>
        <v>50</v>
      </c>
      <c r="D66" s="529" t="str">
        <f>'[1]Tasa de Falla'!D66</f>
        <v>CEVIL POZO - EL BRACHO</v>
      </c>
      <c r="E66" s="529">
        <f>'[1]Tasa de Falla'!E66</f>
        <v>132</v>
      </c>
      <c r="F66" s="529">
        <f>'[1]Tasa de Falla'!F66</f>
        <v>17</v>
      </c>
      <c r="G66" s="530">
        <f>IF('[1]Tasa de Falla'!IB66=0,"",'[1]Tasa de Falla'!IB66)</f>
      </c>
      <c r="H66" s="530">
        <f>IF('[1]Tasa de Falla'!IC66=0,"",'[1]Tasa de Falla'!IC66)</f>
      </c>
      <c r="I66" s="530">
        <f>IF('[1]Tasa de Falla'!ID66=0,"",'[1]Tasa de Falla'!ID66)</f>
      </c>
      <c r="J66" s="530">
        <f>IF('[1]Tasa de Falla'!IE66=0,"",'[1]Tasa de Falla'!IE66)</f>
      </c>
      <c r="K66" s="530">
        <f>IF('[1]Tasa de Falla'!IF66=0,"",'[1]Tasa de Falla'!IF66)</f>
      </c>
      <c r="L66" s="530">
        <f>IF('[1]Tasa de Falla'!IG66=0,"",'[1]Tasa de Falla'!IG66)</f>
      </c>
      <c r="M66" s="530">
        <f>IF('[1]Tasa de Falla'!IH66=0,"",'[1]Tasa de Falla'!IH66)</f>
      </c>
      <c r="N66" s="530">
        <f>IF('[1]Tasa de Falla'!II66=0,"",'[1]Tasa de Falla'!II66)</f>
      </c>
      <c r="O66" s="530">
        <f>IF('[1]Tasa de Falla'!IJ66=0,"",'[1]Tasa de Falla'!IJ66)</f>
      </c>
      <c r="P66" s="530">
        <f>IF('[1]Tasa de Falla'!IK66=0,"",'[1]Tasa de Falla'!IK66)</f>
      </c>
      <c r="Q66" s="530">
        <f>IF('[1]Tasa de Falla'!IL66=0,"",'[1]Tasa de Falla'!IL66)</f>
      </c>
      <c r="R66" s="530">
        <f>IF('[1]Tasa de Falla'!IM66=0,"",'[1]Tasa de Falla'!IM66)</f>
      </c>
      <c r="S66" s="531"/>
      <c r="T66" s="528"/>
    </row>
    <row r="67" spans="2:20" s="522" customFormat="1" ht="19.5" customHeight="1">
      <c r="B67" s="523"/>
      <c r="C67" s="529">
        <f>'[1]Tasa de Falla'!C67</f>
        <v>0</v>
      </c>
      <c r="D67" s="529">
        <f>'[1]Tasa de Falla'!D67</f>
        <v>0</v>
      </c>
      <c r="E67" s="529">
        <f>'[1]Tasa de Falla'!E67</f>
        <v>0</v>
      </c>
      <c r="F67" s="529">
        <f>'[1]Tasa de Falla'!F67</f>
        <v>0</v>
      </c>
      <c r="G67" s="530">
        <f>IF('[1]Tasa de Falla'!IB67=0,"",'[1]Tasa de Falla'!IB67)</f>
      </c>
      <c r="H67" s="530">
        <f>IF('[1]Tasa de Falla'!IC67=0,"",'[1]Tasa de Falla'!IC67)</f>
      </c>
      <c r="I67" s="530">
        <f>IF('[1]Tasa de Falla'!ID67=0,"",'[1]Tasa de Falla'!ID67)</f>
      </c>
      <c r="J67" s="530">
        <f>IF('[1]Tasa de Falla'!IE67=0,"",'[1]Tasa de Falla'!IE67)</f>
      </c>
      <c r="K67" s="530">
        <f>IF('[1]Tasa de Falla'!IF67=0,"",'[1]Tasa de Falla'!IF67)</f>
      </c>
      <c r="L67" s="530">
        <f>IF('[1]Tasa de Falla'!IG67=0,"",'[1]Tasa de Falla'!IG67)</f>
      </c>
      <c r="M67" s="530">
        <f>IF('[1]Tasa de Falla'!IH67=0,"",'[1]Tasa de Falla'!IH67)</f>
      </c>
      <c r="N67" s="530">
        <f>IF('[1]Tasa de Falla'!II67=0,"",'[1]Tasa de Falla'!II67)</f>
      </c>
      <c r="O67" s="530">
        <f>IF('[1]Tasa de Falla'!IJ67=0,"",'[1]Tasa de Falla'!IJ67)</f>
      </c>
      <c r="P67" s="530">
        <f>IF('[1]Tasa de Falla'!IK67=0,"",'[1]Tasa de Falla'!IK67)</f>
      </c>
      <c r="Q67" s="530">
        <f>IF('[1]Tasa de Falla'!IL67=0,"",'[1]Tasa de Falla'!IL67)</f>
      </c>
      <c r="R67" s="530">
        <f>IF('[1]Tasa de Falla'!IM67=0,"",'[1]Tasa de Falla'!IM67)</f>
      </c>
      <c r="S67" s="531"/>
      <c r="T67" s="528"/>
    </row>
    <row r="68" spans="2:20" s="522" customFormat="1" ht="19.5" customHeight="1">
      <c r="B68" s="523"/>
      <c r="C68" s="529">
        <f>'[1]Tasa de Falla'!C68</f>
        <v>51</v>
      </c>
      <c r="D68" s="529" t="str">
        <f>'[1]Tasa de Falla'!D68</f>
        <v>METAN - EL TUNAL</v>
      </c>
      <c r="E68" s="529">
        <f>'[1]Tasa de Falla'!E68</f>
        <v>132</v>
      </c>
      <c r="F68" s="529">
        <f>'[1]Tasa de Falla'!F68</f>
        <v>75.6</v>
      </c>
      <c r="G68" s="530">
        <f>IF('[1]Tasa de Falla'!IB68=0,"",'[1]Tasa de Falla'!IB68)</f>
      </c>
      <c r="H68" s="530">
        <f>IF('[1]Tasa de Falla'!IC68=0,"",'[1]Tasa de Falla'!IC68)</f>
      </c>
      <c r="I68" s="530">
        <f>IF('[1]Tasa de Falla'!ID68=0,"",'[1]Tasa de Falla'!ID68)</f>
      </c>
      <c r="J68" s="530">
        <f>IF('[1]Tasa de Falla'!IE68=0,"",'[1]Tasa de Falla'!IE68)</f>
      </c>
      <c r="K68" s="530">
        <f>IF('[1]Tasa de Falla'!IF68=0,"",'[1]Tasa de Falla'!IF68)</f>
      </c>
      <c r="L68" s="530">
        <f>IF('[1]Tasa de Falla'!IG68=0,"",'[1]Tasa de Falla'!IG68)</f>
      </c>
      <c r="M68" s="530">
        <f>IF('[1]Tasa de Falla'!IH68=0,"",'[1]Tasa de Falla'!IH68)</f>
      </c>
      <c r="N68" s="530">
        <f>IF('[1]Tasa de Falla'!II68=0,"",'[1]Tasa de Falla'!II68)</f>
      </c>
      <c r="O68" s="530">
        <f>IF('[1]Tasa de Falla'!IJ68=0,"",'[1]Tasa de Falla'!IJ68)</f>
      </c>
      <c r="P68" s="530">
        <f>IF('[1]Tasa de Falla'!IK68=0,"",'[1]Tasa de Falla'!IK68)</f>
      </c>
      <c r="Q68" s="530">
        <f>IF('[1]Tasa de Falla'!IL68=0,"",'[1]Tasa de Falla'!IL68)</f>
      </c>
      <c r="R68" s="530">
        <f>IF('[1]Tasa de Falla'!IM68=0,"",'[1]Tasa de Falla'!IM68)</f>
      </c>
      <c r="S68" s="531"/>
      <c r="T68" s="528"/>
    </row>
    <row r="69" spans="2:20" s="522" customFormat="1" ht="19.5" customHeight="1">
      <c r="B69" s="523"/>
      <c r="C69" s="529">
        <f>'[1]Tasa de Falla'!C69</f>
        <v>52</v>
      </c>
      <c r="D69" s="529" t="str">
        <f>'[1]Tasa de Falla'!D69</f>
        <v>EL TUNAL - J.V. GONZALEZ</v>
      </c>
      <c r="E69" s="529">
        <f>'[1]Tasa de Falla'!E69</f>
        <v>132</v>
      </c>
      <c r="F69" s="529">
        <f>'[1]Tasa de Falla'!F69</f>
        <v>41.4</v>
      </c>
      <c r="G69" s="530">
        <f>IF('[1]Tasa de Falla'!IB69=0,"",'[1]Tasa de Falla'!IB69)</f>
      </c>
      <c r="H69" s="530">
        <f>IF('[1]Tasa de Falla'!IC69=0,"",'[1]Tasa de Falla'!IC69)</f>
      </c>
      <c r="I69" s="530">
        <f>IF('[1]Tasa de Falla'!ID69=0,"",'[1]Tasa de Falla'!ID69)</f>
      </c>
      <c r="J69" s="530">
        <f>IF('[1]Tasa de Falla'!IE69=0,"",'[1]Tasa de Falla'!IE69)</f>
      </c>
      <c r="K69" s="530">
        <f>IF('[1]Tasa de Falla'!IF69=0,"",'[1]Tasa de Falla'!IF69)</f>
      </c>
      <c r="L69" s="530">
        <f>IF('[1]Tasa de Falla'!IG69=0,"",'[1]Tasa de Falla'!IG69)</f>
      </c>
      <c r="M69" s="530">
        <f>IF('[1]Tasa de Falla'!IH69=0,"",'[1]Tasa de Falla'!IH69)</f>
      </c>
      <c r="N69" s="530">
        <f>IF('[1]Tasa de Falla'!II69=0,"",'[1]Tasa de Falla'!II69)</f>
      </c>
      <c r="O69" s="530">
        <f>IF('[1]Tasa de Falla'!IJ69=0,"",'[1]Tasa de Falla'!IJ69)</f>
      </c>
      <c r="P69" s="530">
        <f>IF('[1]Tasa de Falla'!IK69=0,"",'[1]Tasa de Falla'!IK69)</f>
      </c>
      <c r="Q69" s="530">
        <f>IF('[1]Tasa de Falla'!IL69=0,"",'[1]Tasa de Falla'!IL69)</f>
      </c>
      <c r="R69" s="530">
        <f>IF('[1]Tasa de Falla'!IM69=0,"",'[1]Tasa de Falla'!IM69)</f>
      </c>
      <c r="S69" s="531"/>
      <c r="T69" s="528"/>
    </row>
    <row r="70" spans="2:20" s="522" customFormat="1" ht="19.5" customHeight="1">
      <c r="B70" s="523"/>
      <c r="C70" s="529">
        <f>'[1]Tasa de Falla'!C70</f>
        <v>0</v>
      </c>
      <c r="D70" s="529">
        <f>'[1]Tasa de Falla'!D70</f>
        <v>0</v>
      </c>
      <c r="E70" s="529">
        <f>'[1]Tasa de Falla'!E70</f>
        <v>0</v>
      </c>
      <c r="F70" s="529">
        <f>'[1]Tasa de Falla'!F70</f>
        <v>0</v>
      </c>
      <c r="G70" s="530">
        <f>IF('[1]Tasa de Falla'!IB70=0,"",'[1]Tasa de Falla'!IB70)</f>
      </c>
      <c r="H70" s="530">
        <f>IF('[1]Tasa de Falla'!IC70=0,"",'[1]Tasa de Falla'!IC70)</f>
      </c>
      <c r="I70" s="530">
        <f>IF('[1]Tasa de Falla'!ID70=0,"",'[1]Tasa de Falla'!ID70)</f>
      </c>
      <c r="J70" s="530">
        <f>IF('[1]Tasa de Falla'!IE70=0,"",'[1]Tasa de Falla'!IE70)</f>
      </c>
      <c r="K70" s="530">
        <f>IF('[1]Tasa de Falla'!IF70=0,"",'[1]Tasa de Falla'!IF70)</f>
      </c>
      <c r="L70" s="530">
        <f>IF('[1]Tasa de Falla'!IG70=0,"",'[1]Tasa de Falla'!IG70)</f>
      </c>
      <c r="M70" s="530">
        <f>IF('[1]Tasa de Falla'!IH70=0,"",'[1]Tasa de Falla'!IH70)</f>
      </c>
      <c r="N70" s="530">
        <f>IF('[1]Tasa de Falla'!II70=0,"",'[1]Tasa de Falla'!II70)</f>
      </c>
      <c r="O70" s="530">
        <f>IF('[1]Tasa de Falla'!IJ70=0,"",'[1]Tasa de Falla'!IJ70)</f>
      </c>
      <c r="P70" s="530">
        <f>IF('[1]Tasa de Falla'!IK70=0,"",'[1]Tasa de Falla'!IK70)</f>
      </c>
      <c r="Q70" s="530">
        <f>IF('[1]Tasa de Falla'!IL70=0,"",'[1]Tasa de Falla'!IL70)</f>
      </c>
      <c r="R70" s="530">
        <f>IF('[1]Tasa de Falla'!IM70=0,"",'[1]Tasa de Falla'!IM70)</f>
      </c>
      <c r="S70" s="531"/>
      <c r="T70" s="528"/>
    </row>
    <row r="71" spans="2:20" s="522" customFormat="1" ht="19.5" customHeight="1">
      <c r="B71" s="523"/>
      <c r="C71" s="529">
        <f>'[1]Tasa de Falla'!C71</f>
        <v>53</v>
      </c>
      <c r="D71" s="529" t="str">
        <f>'[1]Tasa de Falla'!D71</f>
        <v>LOS PIZARROS - ESCABA</v>
      </c>
      <c r="E71" s="529">
        <f>'[1]Tasa de Falla'!E71</f>
        <v>132</v>
      </c>
      <c r="F71" s="529">
        <f>'[1]Tasa de Falla'!F71</f>
        <v>21.4</v>
      </c>
      <c r="G71" s="530">
        <f>IF('[1]Tasa de Falla'!IB71=0,"",'[1]Tasa de Falla'!IB71)</f>
      </c>
      <c r="H71" s="530">
        <f>IF('[1]Tasa de Falla'!IC71=0,"",'[1]Tasa de Falla'!IC71)</f>
      </c>
      <c r="I71" s="530">
        <f>IF('[1]Tasa de Falla'!ID71=0,"",'[1]Tasa de Falla'!ID71)</f>
      </c>
      <c r="J71" s="530">
        <f>IF('[1]Tasa de Falla'!IE71=0,"",'[1]Tasa de Falla'!IE71)</f>
      </c>
      <c r="K71" s="530">
        <f>IF('[1]Tasa de Falla'!IF71=0,"",'[1]Tasa de Falla'!IF71)</f>
      </c>
      <c r="L71" s="530">
        <f>IF('[1]Tasa de Falla'!IG71=0,"",'[1]Tasa de Falla'!IG71)</f>
      </c>
      <c r="M71" s="530">
        <f>IF('[1]Tasa de Falla'!IH71=0,"",'[1]Tasa de Falla'!IH71)</f>
      </c>
      <c r="N71" s="530">
        <f>IF('[1]Tasa de Falla'!II71=0,"",'[1]Tasa de Falla'!II71)</f>
      </c>
      <c r="O71" s="530">
        <f>IF('[1]Tasa de Falla'!IJ71=0,"",'[1]Tasa de Falla'!IJ71)</f>
      </c>
      <c r="P71" s="530">
        <f>IF('[1]Tasa de Falla'!IK71=0,"",'[1]Tasa de Falla'!IK71)</f>
      </c>
      <c r="Q71" s="530">
        <f>IF('[1]Tasa de Falla'!IL71=0,"",'[1]Tasa de Falla'!IL71)</f>
      </c>
      <c r="R71" s="530">
        <f>IF('[1]Tasa de Falla'!IM71=0,"",'[1]Tasa de Falla'!IM71)</f>
      </c>
      <c r="S71" s="531"/>
      <c r="T71" s="528"/>
    </row>
    <row r="72" spans="2:20" s="522" customFormat="1" ht="19.5" customHeight="1">
      <c r="B72" s="523"/>
      <c r="C72" s="529">
        <f>'[1]Tasa de Falla'!C72</f>
        <v>54</v>
      </c>
      <c r="D72" s="529" t="str">
        <f>'[1]Tasa de Falla'!D72</f>
        <v>LOS PIZARROS - LA COCHA</v>
      </c>
      <c r="E72" s="529">
        <f>'[1]Tasa de Falla'!E72</f>
        <v>132</v>
      </c>
      <c r="F72" s="529">
        <f>'[1]Tasa de Falla'!F72</f>
        <v>6.5</v>
      </c>
      <c r="G72" s="530">
        <f>IF('[1]Tasa de Falla'!IB72=0,"",'[1]Tasa de Falla'!IB72)</f>
      </c>
      <c r="H72" s="530">
        <f>IF('[1]Tasa de Falla'!IC72=0,"",'[1]Tasa de Falla'!IC72)</f>
      </c>
      <c r="I72" s="530">
        <f>IF('[1]Tasa de Falla'!ID72=0,"",'[1]Tasa de Falla'!ID72)</f>
      </c>
      <c r="J72" s="530">
        <f>IF('[1]Tasa de Falla'!IE72=0,"",'[1]Tasa de Falla'!IE72)</f>
      </c>
      <c r="K72" s="530">
        <f>IF('[1]Tasa de Falla'!IF72=0,"",'[1]Tasa de Falla'!IF72)</f>
      </c>
      <c r="L72" s="530">
        <f>IF('[1]Tasa de Falla'!IG72=0,"",'[1]Tasa de Falla'!IG72)</f>
      </c>
      <c r="M72" s="530">
        <f>IF('[1]Tasa de Falla'!IH72=0,"",'[1]Tasa de Falla'!IH72)</f>
      </c>
      <c r="N72" s="530">
        <f>IF('[1]Tasa de Falla'!II72=0,"",'[1]Tasa de Falla'!II72)</f>
      </c>
      <c r="O72" s="530">
        <f>IF('[1]Tasa de Falla'!IJ72=0,"",'[1]Tasa de Falla'!IJ72)</f>
      </c>
      <c r="P72" s="530">
        <f>IF('[1]Tasa de Falla'!IK72=0,"",'[1]Tasa de Falla'!IK72)</f>
      </c>
      <c r="Q72" s="530">
        <f>IF('[1]Tasa de Falla'!IL72=0,"",'[1]Tasa de Falla'!IL72)</f>
      </c>
      <c r="R72" s="530">
        <f>IF('[1]Tasa de Falla'!IM72=0,"",'[1]Tasa de Falla'!IM72)</f>
      </c>
      <c r="S72" s="531"/>
      <c r="T72" s="528"/>
    </row>
    <row r="73" spans="2:20" s="522" customFormat="1" ht="19.5" customHeight="1">
      <c r="B73" s="523"/>
      <c r="C73" s="529">
        <f>'[1]Tasa de Falla'!C73</f>
        <v>55</v>
      </c>
      <c r="D73" s="529" t="str">
        <f>'[1]Tasa de Falla'!D73</f>
        <v>HUACRA - LOS PIZARROS</v>
      </c>
      <c r="E73" s="529">
        <f>'[1]Tasa de Falla'!E73</f>
        <v>132</v>
      </c>
      <c r="F73" s="529">
        <f>'[1]Tasa de Falla'!F73</f>
        <v>28.5</v>
      </c>
      <c r="G73" s="530">
        <f>IF('[1]Tasa de Falla'!IB73=0,"",'[1]Tasa de Falla'!IB73)</f>
      </c>
      <c r="H73" s="530">
        <f>IF('[1]Tasa de Falla'!IC73=0,"",'[1]Tasa de Falla'!IC73)</f>
      </c>
      <c r="I73" s="530">
        <f>IF('[1]Tasa de Falla'!ID73=0,"",'[1]Tasa de Falla'!ID73)</f>
      </c>
      <c r="J73" s="530">
        <f>IF('[1]Tasa de Falla'!IE73=0,"",'[1]Tasa de Falla'!IE73)</f>
      </c>
      <c r="K73" s="530">
        <f>IF('[1]Tasa de Falla'!IF73=0,"",'[1]Tasa de Falla'!IF73)</f>
      </c>
      <c r="L73" s="530">
        <f>IF('[1]Tasa de Falla'!IG73=0,"",'[1]Tasa de Falla'!IG73)</f>
      </c>
      <c r="M73" s="530">
        <f>IF('[1]Tasa de Falla'!IH73=0,"",'[1]Tasa de Falla'!IH73)</f>
      </c>
      <c r="N73" s="530">
        <f>IF('[1]Tasa de Falla'!II73=0,"",'[1]Tasa de Falla'!II73)</f>
      </c>
      <c r="O73" s="530">
        <f>IF('[1]Tasa de Falla'!IJ73=0,"",'[1]Tasa de Falla'!IJ73)</f>
      </c>
      <c r="P73" s="530">
        <f>IF('[1]Tasa de Falla'!IK73=0,"",'[1]Tasa de Falla'!IK73)</f>
      </c>
      <c r="Q73" s="530">
        <f>IF('[1]Tasa de Falla'!IL73=0,"",'[1]Tasa de Falla'!IL73)</f>
      </c>
      <c r="R73" s="530">
        <f>IF('[1]Tasa de Falla'!IM73=0,"",'[1]Tasa de Falla'!IM73)</f>
      </c>
      <c r="S73" s="531"/>
      <c r="T73" s="528"/>
    </row>
    <row r="74" spans="2:20" s="522" customFormat="1" ht="19.5" customHeight="1">
      <c r="B74" s="523"/>
      <c r="C74" s="529">
        <f>'[1]Tasa de Falla'!C74</f>
        <v>56</v>
      </c>
      <c r="D74" s="529" t="str">
        <f>'[1]Tasa de Falla'!D74</f>
        <v>CEVIL POZO - AVELLANEDA</v>
      </c>
      <c r="E74" s="529">
        <f>'[1]Tasa de Falla'!E74</f>
        <v>132</v>
      </c>
      <c r="F74" s="529">
        <f>'[1]Tasa de Falla'!F74</f>
        <v>8</v>
      </c>
      <c r="G74" s="530">
        <f>IF('[1]Tasa de Falla'!IB74=0,"",'[1]Tasa de Falla'!IB74)</f>
      </c>
      <c r="H74" s="530">
        <f>IF('[1]Tasa de Falla'!IC74=0,"",'[1]Tasa de Falla'!IC74)</f>
      </c>
      <c r="I74" s="530">
        <f>IF('[1]Tasa de Falla'!ID74=0,"",'[1]Tasa de Falla'!ID74)</f>
      </c>
      <c r="J74" s="530">
        <f>IF('[1]Tasa de Falla'!IE74=0,"",'[1]Tasa de Falla'!IE74)</f>
      </c>
      <c r="K74" s="530">
        <f>IF('[1]Tasa de Falla'!IF74=0,"",'[1]Tasa de Falla'!IF74)</f>
      </c>
      <c r="L74" s="530">
        <f>IF('[1]Tasa de Falla'!IG74=0,"",'[1]Tasa de Falla'!IG74)</f>
      </c>
      <c r="M74" s="530">
        <f>IF('[1]Tasa de Falla'!IH74=0,"",'[1]Tasa de Falla'!IH74)</f>
      </c>
      <c r="N74" s="530">
        <f>IF('[1]Tasa de Falla'!II74=0,"",'[1]Tasa de Falla'!II74)</f>
      </c>
      <c r="O74" s="530">
        <f>IF('[1]Tasa de Falla'!IJ74=0,"",'[1]Tasa de Falla'!IJ74)</f>
      </c>
      <c r="P74" s="530">
        <f>IF('[1]Tasa de Falla'!IK74=0,"",'[1]Tasa de Falla'!IK74)</f>
      </c>
      <c r="Q74" s="530">
        <f>IF('[1]Tasa de Falla'!IL74=0,"",'[1]Tasa de Falla'!IL74)</f>
      </c>
      <c r="R74" s="530">
        <f>IF('[1]Tasa de Falla'!IM74=0,"",'[1]Tasa de Falla'!IM74)</f>
      </c>
      <c r="S74" s="531"/>
      <c r="T74" s="528"/>
    </row>
    <row r="75" spans="2:20" s="522" customFormat="1" ht="19.5" customHeight="1">
      <c r="B75" s="523"/>
      <c r="C75" s="529">
        <f>'[1]Tasa de Falla'!C75</f>
        <v>57</v>
      </c>
      <c r="D75" s="529" t="str">
        <f>'[1]Tasa de Falla'!D75</f>
        <v>CABRA CORRAL - SALTA ESTE</v>
      </c>
      <c r="E75" s="529">
        <f>'[1]Tasa de Falla'!E75</f>
        <v>132</v>
      </c>
      <c r="F75" s="529">
        <f>'[1]Tasa de Falla'!F75</f>
        <v>55</v>
      </c>
      <c r="G75" s="530">
        <f>IF('[1]Tasa de Falla'!IB75=0,"",'[1]Tasa de Falla'!IB75)</f>
      </c>
      <c r="H75" s="530">
        <f>IF('[1]Tasa de Falla'!IC75=0,"",'[1]Tasa de Falla'!IC75)</f>
        <v>1</v>
      </c>
      <c r="I75" s="530">
        <f>IF('[1]Tasa de Falla'!ID75=0,"",'[1]Tasa de Falla'!ID75)</f>
      </c>
      <c r="J75" s="530">
        <f>IF('[1]Tasa de Falla'!IE75=0,"",'[1]Tasa de Falla'!IE75)</f>
      </c>
      <c r="K75" s="530">
        <f>IF('[1]Tasa de Falla'!IF75=0,"",'[1]Tasa de Falla'!IF75)</f>
        <v>1</v>
      </c>
      <c r="L75" s="530">
        <f>IF('[1]Tasa de Falla'!IG75=0,"",'[1]Tasa de Falla'!IG75)</f>
      </c>
      <c r="M75" s="530">
        <f>IF('[1]Tasa de Falla'!IH75=0,"",'[1]Tasa de Falla'!IH75)</f>
      </c>
      <c r="N75" s="530">
        <f>IF('[1]Tasa de Falla'!II75=0,"",'[1]Tasa de Falla'!II75)</f>
        <v>1</v>
      </c>
      <c r="O75" s="530">
        <f>IF('[1]Tasa de Falla'!IJ75=0,"",'[1]Tasa de Falla'!IJ75)</f>
        <v>1</v>
      </c>
      <c r="P75" s="530">
        <f>IF('[1]Tasa de Falla'!IK75=0,"",'[1]Tasa de Falla'!IK75)</f>
      </c>
      <c r="Q75" s="530">
        <f>IF('[1]Tasa de Falla'!IL75=0,"",'[1]Tasa de Falla'!IL75)</f>
      </c>
      <c r="R75" s="530">
        <f>IF('[1]Tasa de Falla'!IM75=0,"",'[1]Tasa de Falla'!IM75)</f>
        <v>2</v>
      </c>
      <c r="S75" s="531"/>
      <c r="T75" s="528"/>
    </row>
    <row r="76" spans="2:20" s="522" customFormat="1" ht="19.5" customHeight="1">
      <c r="B76" s="523"/>
      <c r="C76" s="529">
        <f>'[1]Tasa de Falla'!C76</f>
        <v>58</v>
      </c>
      <c r="D76" s="529" t="str">
        <f>'[1]Tasa de Falla'!D76</f>
        <v>SALTA ESTE - SALTA SUR</v>
      </c>
      <c r="E76" s="529">
        <f>'[1]Tasa de Falla'!E76</f>
        <v>132</v>
      </c>
      <c r="F76" s="529">
        <f>'[1]Tasa de Falla'!F76</f>
        <v>7</v>
      </c>
      <c r="G76" s="530">
        <f>IF('[1]Tasa de Falla'!IB76=0,"",'[1]Tasa de Falla'!IB76)</f>
      </c>
      <c r="H76" s="530">
        <f>IF('[1]Tasa de Falla'!IC76=0,"",'[1]Tasa de Falla'!IC76)</f>
      </c>
      <c r="I76" s="530">
        <f>IF('[1]Tasa de Falla'!ID76=0,"",'[1]Tasa de Falla'!ID76)</f>
      </c>
      <c r="J76" s="530">
        <f>IF('[1]Tasa de Falla'!IE76=0,"",'[1]Tasa de Falla'!IE76)</f>
      </c>
      <c r="K76" s="530">
        <f>IF('[1]Tasa de Falla'!IF76=0,"",'[1]Tasa de Falla'!IF76)</f>
      </c>
      <c r="L76" s="530">
        <f>IF('[1]Tasa de Falla'!IG76=0,"",'[1]Tasa de Falla'!IG76)</f>
      </c>
      <c r="M76" s="530">
        <f>IF('[1]Tasa de Falla'!IH76=0,"",'[1]Tasa de Falla'!IH76)</f>
      </c>
      <c r="N76" s="530">
        <f>IF('[1]Tasa de Falla'!II76=0,"",'[1]Tasa de Falla'!II76)</f>
      </c>
      <c r="O76" s="530">
        <f>IF('[1]Tasa de Falla'!IJ76=0,"",'[1]Tasa de Falla'!IJ76)</f>
      </c>
      <c r="P76" s="530">
        <f>IF('[1]Tasa de Falla'!IK76=0,"",'[1]Tasa de Falla'!IK76)</f>
      </c>
      <c r="Q76" s="530">
        <f>IF('[1]Tasa de Falla'!IL76=0,"",'[1]Tasa de Falla'!IL76)</f>
      </c>
      <c r="R76" s="530">
        <f>IF('[1]Tasa de Falla'!IM76=0,"",'[1]Tasa de Falla'!IM76)</f>
      </c>
      <c r="S76" s="531"/>
      <c r="T76" s="528"/>
    </row>
    <row r="77" spans="2:20" s="522" customFormat="1" ht="19.5" customHeight="1">
      <c r="B77" s="523"/>
      <c r="C77" s="529">
        <f>'[1]Tasa de Falla'!C77</f>
        <v>59</v>
      </c>
      <c r="D77" s="529" t="str">
        <f>'[1]Tasa de Falla'!D77</f>
        <v>V. QUINTEROS - ACONQUIJA - ANDALGALA</v>
      </c>
      <c r="E77" s="529">
        <f>'[1]Tasa de Falla'!E77</f>
        <v>132</v>
      </c>
      <c r="F77" s="529">
        <f>'[1]Tasa de Falla'!F77</f>
        <v>102</v>
      </c>
      <c r="G77" s="530">
        <f>IF('[1]Tasa de Falla'!IB77=0,"",'[1]Tasa de Falla'!IB77)</f>
      </c>
      <c r="H77" s="530">
        <f>IF('[1]Tasa de Falla'!IC77=0,"",'[1]Tasa de Falla'!IC77)</f>
        <v>1</v>
      </c>
      <c r="I77" s="530">
        <f>IF('[1]Tasa de Falla'!ID77=0,"",'[1]Tasa de Falla'!ID77)</f>
        <v>1</v>
      </c>
      <c r="J77" s="530">
        <f>IF('[1]Tasa de Falla'!IE77=0,"",'[1]Tasa de Falla'!IE77)</f>
      </c>
      <c r="K77" s="530">
        <f>IF('[1]Tasa de Falla'!IF77=0,"",'[1]Tasa de Falla'!IF77)</f>
      </c>
      <c r="L77" s="530">
        <f>IF('[1]Tasa de Falla'!IG77=0,"",'[1]Tasa de Falla'!IG77)</f>
      </c>
      <c r="M77" s="530">
        <f>IF('[1]Tasa de Falla'!IH77=0,"",'[1]Tasa de Falla'!IH77)</f>
      </c>
      <c r="N77" s="530">
        <f>IF('[1]Tasa de Falla'!II77=0,"",'[1]Tasa de Falla'!II77)</f>
        <v>1</v>
      </c>
      <c r="O77" s="530">
        <f>IF('[1]Tasa de Falla'!IJ77=0,"",'[1]Tasa de Falla'!IJ77)</f>
      </c>
      <c r="P77" s="530">
        <f>IF('[1]Tasa de Falla'!IK77=0,"",'[1]Tasa de Falla'!IK77)</f>
      </c>
      <c r="Q77" s="530">
        <f>IF('[1]Tasa de Falla'!IL77=0,"",'[1]Tasa de Falla'!IL77)</f>
      </c>
      <c r="R77" s="530">
        <f>IF('[1]Tasa de Falla'!IM77=0,"",'[1]Tasa de Falla'!IM77)</f>
      </c>
      <c r="S77" s="531"/>
      <c r="T77" s="528"/>
    </row>
    <row r="78" spans="2:20" s="522" customFormat="1" ht="19.5" customHeight="1">
      <c r="B78" s="523"/>
      <c r="C78" s="529">
        <f>'[1]Tasa de Falla'!C78</f>
        <v>60</v>
      </c>
      <c r="D78" s="529" t="str">
        <f>'[1]Tasa de Falla'!D78</f>
        <v>ANDALGALA - BELEN</v>
      </c>
      <c r="E78" s="529">
        <f>'[1]Tasa de Falla'!E78</f>
        <v>132</v>
      </c>
      <c r="F78" s="529">
        <f>'[1]Tasa de Falla'!F78</f>
        <v>80.3</v>
      </c>
      <c r="G78" s="530">
        <f>IF('[1]Tasa de Falla'!IB78=0,"",'[1]Tasa de Falla'!IB78)</f>
      </c>
      <c r="H78" s="530">
        <f>IF('[1]Tasa de Falla'!IC78=0,"",'[1]Tasa de Falla'!IC78)</f>
      </c>
      <c r="I78" s="530">
        <f>IF('[1]Tasa de Falla'!ID78=0,"",'[1]Tasa de Falla'!ID78)</f>
      </c>
      <c r="J78" s="530">
        <f>IF('[1]Tasa de Falla'!IE78=0,"",'[1]Tasa de Falla'!IE78)</f>
      </c>
      <c r="K78" s="530">
        <f>IF('[1]Tasa de Falla'!IF78=0,"",'[1]Tasa de Falla'!IF78)</f>
      </c>
      <c r="L78" s="530">
        <f>IF('[1]Tasa de Falla'!IG78=0,"",'[1]Tasa de Falla'!IG78)</f>
      </c>
      <c r="M78" s="530">
        <f>IF('[1]Tasa de Falla'!IH78=0,"",'[1]Tasa de Falla'!IH78)</f>
        <v>2</v>
      </c>
      <c r="N78" s="530">
        <f>IF('[1]Tasa de Falla'!II78=0,"",'[1]Tasa de Falla'!II78)</f>
        <v>1</v>
      </c>
      <c r="O78" s="530">
        <f>IF('[1]Tasa de Falla'!IJ78=0,"",'[1]Tasa de Falla'!IJ78)</f>
      </c>
      <c r="P78" s="530">
        <f>IF('[1]Tasa de Falla'!IK78=0,"",'[1]Tasa de Falla'!IK78)</f>
      </c>
      <c r="Q78" s="530">
        <f>IF('[1]Tasa de Falla'!IL78=0,"",'[1]Tasa de Falla'!IL78)</f>
      </c>
      <c r="R78" s="530">
        <f>IF('[1]Tasa de Falla'!IM78=0,"",'[1]Tasa de Falla'!IM78)</f>
      </c>
      <c r="S78" s="531"/>
      <c r="T78" s="528"/>
    </row>
    <row r="79" spans="2:20" s="522" customFormat="1" ht="19.5" customHeight="1">
      <c r="B79" s="523"/>
      <c r="C79" s="529">
        <f>'[1]Tasa de Falla'!C79</f>
        <v>61</v>
      </c>
      <c r="D79" s="529" t="str">
        <f>'[1]Tasa de Falla'!D79</f>
        <v>TUCUMAN NORTE - TRANCAS</v>
      </c>
      <c r="E79" s="529">
        <f>'[1]Tasa de Falla'!E79</f>
        <v>132</v>
      </c>
      <c r="F79" s="529">
        <f>'[1]Tasa de Falla'!F79</f>
        <v>75</v>
      </c>
      <c r="G79" s="530">
        <f>IF('[1]Tasa de Falla'!IB79=0,"",'[1]Tasa de Falla'!IB79)</f>
      </c>
      <c r="H79" s="530">
        <f>IF('[1]Tasa de Falla'!IC79=0,"",'[1]Tasa de Falla'!IC79)</f>
      </c>
      <c r="I79" s="530">
        <f>IF('[1]Tasa de Falla'!ID79=0,"",'[1]Tasa de Falla'!ID79)</f>
        <v>1</v>
      </c>
      <c r="J79" s="530">
        <f>IF('[1]Tasa de Falla'!IE79=0,"",'[1]Tasa de Falla'!IE79)</f>
      </c>
      <c r="K79" s="530">
        <f>IF('[1]Tasa de Falla'!IF79=0,"",'[1]Tasa de Falla'!IF79)</f>
      </c>
      <c r="L79" s="530">
        <f>IF('[1]Tasa de Falla'!IG79=0,"",'[1]Tasa de Falla'!IG79)</f>
      </c>
      <c r="M79" s="530">
        <f>IF('[1]Tasa de Falla'!IH79=0,"",'[1]Tasa de Falla'!IH79)</f>
      </c>
      <c r="N79" s="530">
        <f>IF('[1]Tasa de Falla'!II79=0,"",'[1]Tasa de Falla'!II79)</f>
      </c>
      <c r="O79" s="530">
        <f>IF('[1]Tasa de Falla'!IJ79=0,"",'[1]Tasa de Falla'!IJ79)</f>
        <v>1</v>
      </c>
      <c r="P79" s="530">
        <f>IF('[1]Tasa de Falla'!IK79=0,"",'[1]Tasa de Falla'!IK79)</f>
      </c>
      <c r="Q79" s="530">
        <f>IF('[1]Tasa de Falla'!IL79=0,"",'[1]Tasa de Falla'!IL79)</f>
      </c>
      <c r="R79" s="530">
        <f>IF('[1]Tasa de Falla'!IM79=0,"",'[1]Tasa de Falla'!IM79)</f>
      </c>
      <c r="S79" s="531"/>
      <c r="T79" s="528"/>
    </row>
    <row r="80" spans="2:20" s="522" customFormat="1" ht="19.5" customHeight="1">
      <c r="B80" s="523"/>
      <c r="C80" s="529">
        <f>'[1]Tasa de Falla'!C80</f>
        <v>62</v>
      </c>
      <c r="D80" s="529" t="str">
        <f>'[1]Tasa de Falla'!D80</f>
        <v>CABRA CORRAL - TRANCAS</v>
      </c>
      <c r="E80" s="529">
        <f>'[1]Tasa de Falla'!E80</f>
        <v>132</v>
      </c>
      <c r="F80" s="529">
        <f>'[1]Tasa de Falla'!F80</f>
        <v>115</v>
      </c>
      <c r="G80" s="530" t="str">
        <f>IF('[1]Tasa de Falla'!IB80=0,"",'[1]Tasa de Falla'!IB80)</f>
        <v>XXXX</v>
      </c>
      <c r="H80" s="530" t="str">
        <f>IF('[1]Tasa de Falla'!IC80=0,"",'[1]Tasa de Falla'!IC80)</f>
        <v>XXXX</v>
      </c>
      <c r="I80" s="530" t="str">
        <f>IF('[1]Tasa de Falla'!ID80=0,"",'[1]Tasa de Falla'!ID80)</f>
        <v>XXXX</v>
      </c>
      <c r="J80" s="530" t="str">
        <f>IF('[1]Tasa de Falla'!IE80=0,"",'[1]Tasa de Falla'!IE80)</f>
        <v>XXXX</v>
      </c>
      <c r="K80" s="530" t="str">
        <f>IF('[1]Tasa de Falla'!IF80=0,"",'[1]Tasa de Falla'!IF80)</f>
        <v>XXXX</v>
      </c>
      <c r="L80" s="530" t="str">
        <f>IF('[1]Tasa de Falla'!IG80=0,"",'[1]Tasa de Falla'!IG80)</f>
        <v>XXXX</v>
      </c>
      <c r="M80" s="530" t="str">
        <f>IF('[1]Tasa de Falla'!IH80=0,"",'[1]Tasa de Falla'!IH80)</f>
        <v>XXXX</v>
      </c>
      <c r="N80" s="530" t="str">
        <f>IF('[1]Tasa de Falla'!II80=0,"",'[1]Tasa de Falla'!II80)</f>
        <v>XXXX</v>
      </c>
      <c r="O80" s="530" t="str">
        <f>IF('[1]Tasa de Falla'!IJ80=0,"",'[1]Tasa de Falla'!IJ80)</f>
        <v>XXXX</v>
      </c>
      <c r="P80" s="530" t="str">
        <f>IF('[1]Tasa de Falla'!IK80=0,"",'[1]Tasa de Falla'!IK80)</f>
        <v>XXXX</v>
      </c>
      <c r="Q80" s="530" t="str">
        <f>IF('[1]Tasa de Falla'!IL80=0,"",'[1]Tasa de Falla'!IL80)</f>
        <v>XXXX</v>
      </c>
      <c r="R80" s="530" t="str">
        <f>IF('[1]Tasa de Falla'!IM80=0,"",'[1]Tasa de Falla'!IM80)</f>
        <v>XXXX</v>
      </c>
      <c r="S80" s="531"/>
      <c r="T80" s="528"/>
    </row>
    <row r="81" spans="2:20" s="522" customFormat="1" ht="19.5" customHeight="1">
      <c r="B81" s="523"/>
      <c r="C81" s="529">
        <f>'[1]Tasa de Falla'!C81</f>
        <v>63</v>
      </c>
      <c r="D81" s="529" t="str">
        <f>'[1]Tasa de Falla'!D81</f>
        <v>LAS MADERAS - JUJUY SUR</v>
      </c>
      <c r="E81" s="529">
        <f>'[1]Tasa de Falla'!E81</f>
        <v>132</v>
      </c>
      <c r="F81" s="529">
        <f>'[1]Tasa de Falla'!F81</f>
        <v>29</v>
      </c>
      <c r="G81" s="530">
        <f>IF('[1]Tasa de Falla'!IB81=0,"",'[1]Tasa de Falla'!IB81)</f>
        <v>1</v>
      </c>
      <c r="H81" s="530">
        <f>IF('[1]Tasa de Falla'!IC81=0,"",'[1]Tasa de Falla'!IC81)</f>
        <v>1</v>
      </c>
      <c r="I81" s="530">
        <f>IF('[1]Tasa de Falla'!ID81=0,"",'[1]Tasa de Falla'!ID81)</f>
      </c>
      <c r="J81" s="530">
        <f>IF('[1]Tasa de Falla'!IE81=0,"",'[1]Tasa de Falla'!IE81)</f>
      </c>
      <c r="K81" s="530">
        <f>IF('[1]Tasa de Falla'!IF81=0,"",'[1]Tasa de Falla'!IF81)</f>
      </c>
      <c r="L81" s="530">
        <f>IF('[1]Tasa de Falla'!IG81=0,"",'[1]Tasa de Falla'!IG81)</f>
        <v>1</v>
      </c>
      <c r="M81" s="530">
        <f>IF('[1]Tasa de Falla'!IH81=0,"",'[1]Tasa de Falla'!IH81)</f>
        <v>3</v>
      </c>
      <c r="N81" s="530">
        <f>IF('[1]Tasa de Falla'!II81=0,"",'[1]Tasa de Falla'!II81)</f>
        <v>1</v>
      </c>
      <c r="O81" s="530">
        <f>IF('[1]Tasa de Falla'!IJ81=0,"",'[1]Tasa de Falla'!IJ81)</f>
      </c>
      <c r="P81" s="530">
        <f>IF('[1]Tasa de Falla'!IK81=0,"",'[1]Tasa de Falla'!IK81)</f>
      </c>
      <c r="Q81" s="530">
        <f>IF('[1]Tasa de Falla'!IL81=0,"",'[1]Tasa de Falla'!IL81)</f>
      </c>
      <c r="R81" s="530">
        <f>IF('[1]Tasa de Falla'!IM81=0,"",'[1]Tasa de Falla'!IM81)</f>
      </c>
      <c r="S81" s="531"/>
      <c r="T81" s="528"/>
    </row>
    <row r="82" spans="2:20" s="522" customFormat="1" ht="19.5" customHeight="1">
      <c r="B82" s="523"/>
      <c r="C82" s="529">
        <f>'[1]Tasa de Falla'!C82</f>
        <v>64</v>
      </c>
      <c r="D82" s="529" t="str">
        <f>'[1]Tasa de Falla'!D82</f>
        <v>BELEN - TINOGASTA</v>
      </c>
      <c r="E82" s="529">
        <f>'[1]Tasa de Falla'!E82</f>
        <v>132</v>
      </c>
      <c r="F82" s="529">
        <f>'[1]Tasa de Falla'!F82</f>
        <v>72</v>
      </c>
      <c r="G82" s="530">
        <f>IF('[1]Tasa de Falla'!IB82=0,"",'[1]Tasa de Falla'!IB82)</f>
      </c>
      <c r="H82" s="530">
        <f>IF('[1]Tasa de Falla'!IC82=0,"",'[1]Tasa de Falla'!IC82)</f>
      </c>
      <c r="I82" s="530">
        <f>IF('[1]Tasa de Falla'!ID82=0,"",'[1]Tasa de Falla'!ID82)</f>
      </c>
      <c r="J82" s="530">
        <f>IF('[1]Tasa de Falla'!IE82=0,"",'[1]Tasa de Falla'!IE82)</f>
      </c>
      <c r="K82" s="530">
        <f>IF('[1]Tasa de Falla'!IF82=0,"",'[1]Tasa de Falla'!IF82)</f>
      </c>
      <c r="L82" s="530">
        <f>IF('[1]Tasa de Falla'!IG82=0,"",'[1]Tasa de Falla'!IG82)</f>
      </c>
      <c r="M82" s="530">
        <f>IF('[1]Tasa de Falla'!IH82=0,"",'[1]Tasa de Falla'!IH82)</f>
        <v>2</v>
      </c>
      <c r="N82" s="530">
        <f>IF('[1]Tasa de Falla'!II82=0,"",'[1]Tasa de Falla'!II82)</f>
        <v>2</v>
      </c>
      <c r="O82" s="530">
        <f>IF('[1]Tasa de Falla'!IJ82=0,"",'[1]Tasa de Falla'!IJ82)</f>
      </c>
      <c r="P82" s="530">
        <f>IF('[1]Tasa de Falla'!IK82=0,"",'[1]Tasa de Falla'!IK82)</f>
      </c>
      <c r="Q82" s="530">
        <f>IF('[1]Tasa de Falla'!IL82=0,"",'[1]Tasa de Falla'!IL82)</f>
      </c>
      <c r="R82" s="530">
        <f>IF('[1]Tasa de Falla'!IM82=0,"",'[1]Tasa de Falla'!IM82)</f>
      </c>
      <c r="S82" s="531"/>
      <c r="T82" s="528"/>
    </row>
    <row r="83" spans="2:20" s="522" customFormat="1" ht="19.5" customHeight="1">
      <c r="B83" s="523"/>
      <c r="C83" s="529">
        <f>'[1]Tasa de Falla'!C83</f>
        <v>65</v>
      </c>
      <c r="D83" s="529" t="str">
        <f>'[1]Tasa de Falla'!D83</f>
        <v>BURRUYACU - CEVIL POZO</v>
      </c>
      <c r="E83" s="529">
        <f>'[1]Tasa de Falla'!E83</f>
        <v>132</v>
      </c>
      <c r="F83" s="529">
        <f>'[1]Tasa de Falla'!F83</f>
        <v>56</v>
      </c>
      <c r="G83" s="530">
        <f>IF('[1]Tasa de Falla'!IB83=0,"",'[1]Tasa de Falla'!IB83)</f>
        <v>1</v>
      </c>
      <c r="H83" s="530">
        <f>IF('[1]Tasa de Falla'!IC83=0,"",'[1]Tasa de Falla'!IC83)</f>
      </c>
      <c r="I83" s="530">
        <f>IF('[1]Tasa de Falla'!ID83=0,"",'[1]Tasa de Falla'!ID83)</f>
        <v>2</v>
      </c>
      <c r="J83" s="530">
        <f>IF('[1]Tasa de Falla'!IE83=0,"",'[1]Tasa de Falla'!IE83)</f>
      </c>
      <c r="K83" s="530">
        <f>IF('[1]Tasa de Falla'!IF83=0,"",'[1]Tasa de Falla'!IF83)</f>
        <v>1</v>
      </c>
      <c r="L83" s="530">
        <f>IF('[1]Tasa de Falla'!IG83=0,"",'[1]Tasa de Falla'!IG83)</f>
      </c>
      <c r="M83" s="530">
        <f>IF('[1]Tasa de Falla'!IH83=0,"",'[1]Tasa de Falla'!IH83)</f>
      </c>
      <c r="N83" s="530">
        <f>IF('[1]Tasa de Falla'!II83=0,"",'[1]Tasa de Falla'!II83)</f>
      </c>
      <c r="O83" s="530">
        <f>IF('[1]Tasa de Falla'!IJ83=0,"",'[1]Tasa de Falla'!IJ83)</f>
      </c>
      <c r="P83" s="530">
        <f>IF('[1]Tasa de Falla'!IK83=0,"",'[1]Tasa de Falla'!IK83)</f>
      </c>
      <c r="Q83" s="530">
        <f>IF('[1]Tasa de Falla'!IL83=0,"",'[1]Tasa de Falla'!IL83)</f>
      </c>
      <c r="R83" s="530">
        <f>IF('[1]Tasa de Falla'!IM83=0,"",'[1]Tasa de Falla'!IM83)</f>
      </c>
      <c r="S83" s="531"/>
      <c r="T83" s="528"/>
    </row>
    <row r="84" spans="2:20" s="522" customFormat="1" ht="19.5" customHeight="1">
      <c r="B84" s="523"/>
      <c r="C84" s="529">
        <f>'[1]Tasa de Falla'!C84</f>
        <v>66</v>
      </c>
      <c r="D84" s="529" t="str">
        <f>'[1]Tasa de Falla'!D84</f>
        <v>GÜEMES - BURRUYACU</v>
      </c>
      <c r="E84" s="529">
        <f>'[1]Tasa de Falla'!E84</f>
        <v>132</v>
      </c>
      <c r="F84" s="529">
        <f>'[1]Tasa de Falla'!F84</f>
        <v>235.1</v>
      </c>
      <c r="G84" s="530" t="str">
        <f>IF('[1]Tasa de Falla'!IB84=0,"",'[1]Tasa de Falla'!IB84)</f>
        <v>XXXX</v>
      </c>
      <c r="H84" s="530" t="str">
        <f>IF('[1]Tasa de Falla'!IC84=0,"",'[1]Tasa de Falla'!IC84)</f>
        <v>XXXX</v>
      </c>
      <c r="I84" s="530" t="str">
        <f>IF('[1]Tasa de Falla'!ID84=0,"",'[1]Tasa de Falla'!ID84)</f>
        <v>XXXX</v>
      </c>
      <c r="J84" s="530" t="str">
        <f>IF('[1]Tasa de Falla'!IE84=0,"",'[1]Tasa de Falla'!IE84)</f>
        <v>XXXX</v>
      </c>
      <c r="K84" s="530" t="str">
        <f>IF('[1]Tasa de Falla'!IF84=0,"",'[1]Tasa de Falla'!IF84)</f>
        <v>XXXX</v>
      </c>
      <c r="L84" s="530" t="str">
        <f>IF('[1]Tasa de Falla'!IG84=0,"",'[1]Tasa de Falla'!IG84)</f>
        <v>XXXX</v>
      </c>
      <c r="M84" s="530" t="str">
        <f>IF('[1]Tasa de Falla'!IH84=0,"",'[1]Tasa de Falla'!IH84)</f>
        <v>XXXX</v>
      </c>
      <c r="N84" s="530" t="str">
        <f>IF('[1]Tasa de Falla'!II84=0,"",'[1]Tasa de Falla'!II84)</f>
        <v>XXXX</v>
      </c>
      <c r="O84" s="530" t="str">
        <f>IF('[1]Tasa de Falla'!IJ84=0,"",'[1]Tasa de Falla'!IJ84)</f>
        <v>XXXX</v>
      </c>
      <c r="P84" s="530" t="str">
        <f>IF('[1]Tasa de Falla'!IK84=0,"",'[1]Tasa de Falla'!IK84)</f>
        <v>XXXX</v>
      </c>
      <c r="Q84" s="530" t="str">
        <f>IF('[1]Tasa de Falla'!IL84=0,"",'[1]Tasa de Falla'!IL84)</f>
        <v>XXXX</v>
      </c>
      <c r="R84" s="530" t="str">
        <f>IF('[1]Tasa de Falla'!IM84=0,"",'[1]Tasa de Falla'!IM84)</f>
        <v>XXXX</v>
      </c>
      <c r="S84" s="531"/>
      <c r="T84" s="528"/>
    </row>
    <row r="85" spans="2:20" s="522" customFormat="1" ht="19.5" customHeight="1">
      <c r="B85" s="523"/>
      <c r="C85" s="529">
        <f>'[1]Tasa de Falla'!C85</f>
        <v>67</v>
      </c>
      <c r="D85" s="529" t="str">
        <f>'[1]Tasa de Falla'!D85</f>
        <v>FRIAS - RECREO</v>
      </c>
      <c r="E85" s="529">
        <f>'[1]Tasa de Falla'!E85</f>
        <v>132</v>
      </c>
      <c r="F85" s="529">
        <f>'[1]Tasa de Falla'!F85</f>
        <v>74.54</v>
      </c>
      <c r="G85" s="530">
        <f>IF('[1]Tasa de Falla'!IB85=0,"",'[1]Tasa de Falla'!IB85)</f>
      </c>
      <c r="H85" s="530">
        <f>IF('[1]Tasa de Falla'!IC85=0,"",'[1]Tasa de Falla'!IC85)</f>
        <v>1</v>
      </c>
      <c r="I85" s="530">
        <f>IF('[1]Tasa de Falla'!ID85=0,"",'[1]Tasa de Falla'!ID85)</f>
      </c>
      <c r="J85" s="530">
        <f>IF('[1]Tasa de Falla'!IE85=0,"",'[1]Tasa de Falla'!IE85)</f>
      </c>
      <c r="K85" s="530">
        <f>IF('[1]Tasa de Falla'!IF85=0,"",'[1]Tasa de Falla'!IF85)</f>
      </c>
      <c r="L85" s="530">
        <f>IF('[1]Tasa de Falla'!IG85=0,"",'[1]Tasa de Falla'!IG85)</f>
      </c>
      <c r="M85" s="530">
        <f>IF('[1]Tasa de Falla'!IH85=0,"",'[1]Tasa de Falla'!IH85)</f>
      </c>
      <c r="N85" s="530">
        <f>IF('[1]Tasa de Falla'!II85=0,"",'[1]Tasa de Falla'!II85)</f>
        <v>1</v>
      </c>
      <c r="O85" s="530">
        <f>IF('[1]Tasa de Falla'!IJ85=0,"",'[1]Tasa de Falla'!IJ85)</f>
      </c>
      <c r="P85" s="530">
        <f>IF('[1]Tasa de Falla'!IK85=0,"",'[1]Tasa de Falla'!IK85)</f>
      </c>
      <c r="Q85" s="530">
        <f>IF('[1]Tasa de Falla'!IL85=0,"",'[1]Tasa de Falla'!IL85)</f>
      </c>
      <c r="R85" s="530">
        <f>IF('[1]Tasa de Falla'!IM85=0,"",'[1]Tasa de Falla'!IM85)</f>
      </c>
      <c r="S85" s="531"/>
      <c r="T85" s="528"/>
    </row>
    <row r="86" spans="2:20" s="522" customFormat="1" ht="19.5" customHeight="1">
      <c r="B86" s="523"/>
      <c r="C86" s="529">
        <f>'[1]Tasa de Falla'!C86</f>
        <v>68</v>
      </c>
      <c r="D86" s="529" t="str">
        <f>'[1]Tasa de Falla'!D86</f>
        <v>RECREO - LA RIOJA 1</v>
      </c>
      <c r="E86" s="529">
        <f>'[1]Tasa de Falla'!E86</f>
        <v>132</v>
      </c>
      <c r="F86" s="529">
        <f>'[1]Tasa de Falla'!F86</f>
        <v>221</v>
      </c>
      <c r="G86" s="530">
        <f>IF('[1]Tasa de Falla'!IB86=0,"",'[1]Tasa de Falla'!IB86)</f>
      </c>
      <c r="H86" s="530">
        <f>IF('[1]Tasa de Falla'!IC86=0,"",'[1]Tasa de Falla'!IC86)</f>
      </c>
      <c r="I86" s="530">
        <f>IF('[1]Tasa de Falla'!ID86=0,"",'[1]Tasa de Falla'!ID86)</f>
      </c>
      <c r="J86" s="530">
        <f>IF('[1]Tasa de Falla'!IE86=0,"",'[1]Tasa de Falla'!IE86)</f>
      </c>
      <c r="K86" s="530">
        <f>IF('[1]Tasa de Falla'!IF86=0,"",'[1]Tasa de Falla'!IF86)</f>
      </c>
      <c r="L86" s="530">
        <f>IF('[1]Tasa de Falla'!IG86=0,"",'[1]Tasa de Falla'!IG86)</f>
        <v>1</v>
      </c>
      <c r="M86" s="530">
        <f>IF('[1]Tasa de Falla'!IH86=0,"",'[1]Tasa de Falla'!IH86)</f>
      </c>
      <c r="N86" s="530">
        <f>IF('[1]Tasa de Falla'!II86=0,"",'[1]Tasa de Falla'!II86)</f>
        <v>1</v>
      </c>
      <c r="O86" s="530">
        <f>IF('[1]Tasa de Falla'!IJ86=0,"",'[1]Tasa de Falla'!IJ86)</f>
        <v>1</v>
      </c>
      <c r="P86" s="530">
        <f>IF('[1]Tasa de Falla'!IK86=0,"",'[1]Tasa de Falla'!IK86)</f>
      </c>
      <c r="Q86" s="530">
        <f>IF('[1]Tasa de Falla'!IL86=0,"",'[1]Tasa de Falla'!IL86)</f>
      </c>
      <c r="R86" s="530">
        <f>IF('[1]Tasa de Falla'!IM86=0,"",'[1]Tasa de Falla'!IM86)</f>
      </c>
      <c r="S86" s="531"/>
      <c r="T86" s="528"/>
    </row>
    <row r="87" spans="2:20" s="522" customFormat="1" ht="19.5" customHeight="1">
      <c r="B87" s="523"/>
      <c r="C87" s="529">
        <f>'[1]Tasa de Falla'!C87</f>
        <v>69</v>
      </c>
      <c r="D87" s="529" t="str">
        <f>'[1]Tasa de Falla'!D87</f>
        <v>RECREO - LA RIOJA 2</v>
      </c>
      <c r="E87" s="529">
        <f>'[1]Tasa de Falla'!E87</f>
        <v>132</v>
      </c>
      <c r="F87" s="529">
        <f>'[1]Tasa de Falla'!F87</f>
        <v>220</v>
      </c>
      <c r="G87" s="530">
        <f>IF('[1]Tasa de Falla'!IB87=0,"",'[1]Tasa de Falla'!IB87)</f>
      </c>
      <c r="H87" s="530">
        <f>IF('[1]Tasa de Falla'!IC87=0,"",'[1]Tasa de Falla'!IC87)</f>
        <v>1</v>
      </c>
      <c r="I87" s="530">
        <f>IF('[1]Tasa de Falla'!ID87=0,"",'[1]Tasa de Falla'!ID87)</f>
      </c>
      <c r="J87" s="530">
        <f>IF('[1]Tasa de Falla'!IE87=0,"",'[1]Tasa de Falla'!IE87)</f>
      </c>
      <c r="K87" s="530">
        <f>IF('[1]Tasa de Falla'!IF87=0,"",'[1]Tasa de Falla'!IF87)</f>
      </c>
      <c r="L87" s="530">
        <f>IF('[1]Tasa de Falla'!IG87=0,"",'[1]Tasa de Falla'!IG87)</f>
      </c>
      <c r="M87" s="530">
        <f>IF('[1]Tasa de Falla'!IH87=0,"",'[1]Tasa de Falla'!IH87)</f>
        <v>1</v>
      </c>
      <c r="N87" s="530">
        <f>IF('[1]Tasa de Falla'!II87=0,"",'[1]Tasa de Falla'!II87)</f>
        <v>3</v>
      </c>
      <c r="O87" s="530">
        <f>IF('[1]Tasa de Falla'!IJ87=0,"",'[1]Tasa de Falla'!IJ87)</f>
        <v>1</v>
      </c>
      <c r="P87" s="530">
        <f>IF('[1]Tasa de Falla'!IK87=0,"",'[1]Tasa de Falla'!IK87)</f>
      </c>
      <c r="Q87" s="530">
        <f>IF('[1]Tasa de Falla'!IL87=0,"",'[1]Tasa de Falla'!IL87)</f>
      </c>
      <c r="R87" s="530">
        <f>IF('[1]Tasa de Falla'!IM87=0,"",'[1]Tasa de Falla'!IM87)</f>
        <v>1</v>
      </c>
      <c r="S87" s="531"/>
      <c r="T87" s="528"/>
    </row>
    <row r="88" spans="2:20" s="522" customFormat="1" ht="19.5" customHeight="1">
      <c r="B88" s="523"/>
      <c r="C88" s="529">
        <f>'[1]Tasa de Falla'!C88</f>
        <v>70</v>
      </c>
      <c r="D88" s="529" t="str">
        <f>'[1]Tasa de Falla'!D88</f>
        <v>RECREO - CATAMARCA</v>
      </c>
      <c r="E88" s="529">
        <f>'[1]Tasa de Falla'!E88</f>
        <v>132</v>
      </c>
      <c r="F88" s="529">
        <f>'[1]Tasa de Falla'!F88</f>
        <v>203</v>
      </c>
      <c r="G88" s="530">
        <f>IF('[1]Tasa de Falla'!IB88=0,"",'[1]Tasa de Falla'!IB88)</f>
      </c>
      <c r="H88" s="530">
        <f>IF('[1]Tasa de Falla'!IC88=0,"",'[1]Tasa de Falla'!IC88)</f>
      </c>
      <c r="I88" s="530">
        <f>IF('[1]Tasa de Falla'!ID88=0,"",'[1]Tasa de Falla'!ID88)</f>
        <v>2</v>
      </c>
      <c r="J88" s="530">
        <f>IF('[1]Tasa de Falla'!IE88=0,"",'[1]Tasa de Falla'!IE88)</f>
      </c>
      <c r="K88" s="530">
        <f>IF('[1]Tasa de Falla'!IF88=0,"",'[1]Tasa de Falla'!IF88)</f>
      </c>
      <c r="L88" s="530">
        <f>IF('[1]Tasa de Falla'!IG88=0,"",'[1]Tasa de Falla'!IG88)</f>
      </c>
      <c r="M88" s="530">
        <f>IF('[1]Tasa de Falla'!IH88=0,"",'[1]Tasa de Falla'!IH88)</f>
      </c>
      <c r="N88" s="530">
        <f>IF('[1]Tasa de Falla'!II88=0,"",'[1]Tasa de Falla'!II88)</f>
      </c>
      <c r="O88" s="530">
        <f>IF('[1]Tasa de Falla'!IJ88=0,"",'[1]Tasa de Falla'!IJ88)</f>
      </c>
      <c r="P88" s="530">
        <f>IF('[1]Tasa de Falla'!IK88=0,"",'[1]Tasa de Falla'!IK88)</f>
      </c>
      <c r="Q88" s="530">
        <f>IF('[1]Tasa de Falla'!IL88=0,"",'[1]Tasa de Falla'!IL88)</f>
      </c>
      <c r="R88" s="530">
        <f>IF('[1]Tasa de Falla'!IM88=0,"",'[1]Tasa de Falla'!IM88)</f>
        <v>1</v>
      </c>
      <c r="S88" s="531"/>
      <c r="T88" s="528"/>
    </row>
    <row r="89" spans="2:20" s="522" customFormat="1" ht="19.5" customHeight="1">
      <c r="B89" s="523"/>
      <c r="C89" s="529">
        <f>'[1]Tasa de Falla'!C89</f>
        <v>71</v>
      </c>
      <c r="D89" s="529" t="str">
        <f>'[1]Tasa de Falla'!D89</f>
        <v>CABRA CORRAL - EL CARRIL</v>
      </c>
      <c r="E89" s="529">
        <f>'[1]Tasa de Falla'!E89</f>
        <v>132</v>
      </c>
      <c r="F89" s="529">
        <f>'[1]Tasa de Falla'!F89</f>
        <v>33.55</v>
      </c>
      <c r="G89" s="530">
        <f>IF('[1]Tasa de Falla'!IB89=0,"",'[1]Tasa de Falla'!IB89)</f>
      </c>
      <c r="H89" s="530">
        <f>IF('[1]Tasa de Falla'!IC89=0,"",'[1]Tasa de Falla'!IC89)</f>
      </c>
      <c r="I89" s="530">
        <f>IF('[1]Tasa de Falla'!ID89=0,"",'[1]Tasa de Falla'!ID89)</f>
        <v>1</v>
      </c>
      <c r="J89" s="530">
        <f>IF('[1]Tasa de Falla'!IE89=0,"",'[1]Tasa de Falla'!IE89)</f>
      </c>
      <c r="K89" s="530">
        <f>IF('[1]Tasa de Falla'!IF89=0,"",'[1]Tasa de Falla'!IF89)</f>
        <v>1</v>
      </c>
      <c r="L89" s="530">
        <f>IF('[1]Tasa de Falla'!IG89=0,"",'[1]Tasa de Falla'!IG89)</f>
      </c>
      <c r="M89" s="530">
        <f>IF('[1]Tasa de Falla'!IH89=0,"",'[1]Tasa de Falla'!IH89)</f>
      </c>
      <c r="N89" s="530">
        <f>IF('[1]Tasa de Falla'!II89=0,"",'[1]Tasa de Falla'!II89)</f>
      </c>
      <c r="O89" s="530">
        <f>IF('[1]Tasa de Falla'!IJ89=0,"",'[1]Tasa de Falla'!IJ89)</f>
        <v>2</v>
      </c>
      <c r="P89" s="530">
        <f>IF('[1]Tasa de Falla'!IK89=0,"",'[1]Tasa de Falla'!IK89)</f>
      </c>
      <c r="Q89" s="530">
        <f>IF('[1]Tasa de Falla'!IL89=0,"",'[1]Tasa de Falla'!IL89)</f>
      </c>
      <c r="R89" s="530">
        <f>IF('[1]Tasa de Falla'!IM89=0,"",'[1]Tasa de Falla'!IM89)</f>
        <v>2</v>
      </c>
      <c r="S89" s="531"/>
      <c r="T89" s="528"/>
    </row>
    <row r="90" spans="2:20" s="522" customFormat="1" ht="19.5" customHeight="1">
      <c r="B90" s="523"/>
      <c r="C90" s="529">
        <f>'[1]Tasa de Falla'!C90</f>
        <v>72</v>
      </c>
      <c r="D90" s="529" t="str">
        <f>'[1]Tasa de Falla'!D90</f>
        <v>PAMPA GRANDE - CABRA CORRAL</v>
      </c>
      <c r="E90" s="529">
        <f>'[1]Tasa de Falla'!E90</f>
        <v>132</v>
      </c>
      <c r="F90" s="529">
        <f>'[1]Tasa de Falla'!F90</f>
        <v>60</v>
      </c>
      <c r="G90" s="530">
        <f>IF('[1]Tasa de Falla'!IB90=0,"",'[1]Tasa de Falla'!IB90)</f>
      </c>
      <c r="H90" s="530">
        <f>IF('[1]Tasa de Falla'!IC90=0,"",'[1]Tasa de Falla'!IC90)</f>
      </c>
      <c r="I90" s="530">
        <f>IF('[1]Tasa de Falla'!ID90=0,"",'[1]Tasa de Falla'!ID90)</f>
      </c>
      <c r="J90" s="530">
        <f>IF('[1]Tasa de Falla'!IE90=0,"",'[1]Tasa de Falla'!IE90)</f>
        <v>1</v>
      </c>
      <c r="K90" s="530">
        <f>IF('[1]Tasa de Falla'!IF90=0,"",'[1]Tasa de Falla'!IF90)</f>
        <v>1</v>
      </c>
      <c r="L90" s="530">
        <f>IF('[1]Tasa de Falla'!IG90=0,"",'[1]Tasa de Falla'!IG90)</f>
        <v>1</v>
      </c>
      <c r="M90" s="530">
        <f>IF('[1]Tasa de Falla'!IH90=0,"",'[1]Tasa de Falla'!IH90)</f>
      </c>
      <c r="N90" s="530">
        <f>IF('[1]Tasa de Falla'!II90=0,"",'[1]Tasa de Falla'!II90)</f>
        <v>1</v>
      </c>
      <c r="O90" s="530">
        <f>IF('[1]Tasa de Falla'!IJ90=0,"",'[1]Tasa de Falla'!IJ90)</f>
        <v>1</v>
      </c>
      <c r="P90" s="530">
        <f>IF('[1]Tasa de Falla'!IK90=0,"",'[1]Tasa de Falla'!IK90)</f>
      </c>
      <c r="Q90" s="530">
        <f>IF('[1]Tasa de Falla'!IL90=0,"",'[1]Tasa de Falla'!IL90)</f>
      </c>
      <c r="R90" s="530">
        <f>IF('[1]Tasa de Falla'!IM90=0,"",'[1]Tasa de Falla'!IM90)</f>
        <v>3</v>
      </c>
      <c r="S90" s="531"/>
      <c r="T90" s="528"/>
    </row>
    <row r="91" spans="2:20" s="522" customFormat="1" ht="19.5" customHeight="1">
      <c r="B91" s="523"/>
      <c r="C91" s="529">
        <f>'[1]Tasa de Falla'!C91</f>
        <v>73</v>
      </c>
      <c r="D91" s="529" t="str">
        <f>'[1]Tasa de Falla'!D91</f>
        <v>PAMPA GRANDE - CAFAYATE</v>
      </c>
      <c r="E91" s="529">
        <f>'[1]Tasa de Falla'!E91</f>
        <v>132</v>
      </c>
      <c r="F91" s="529">
        <f>'[1]Tasa de Falla'!F91</f>
        <v>63</v>
      </c>
      <c r="G91" s="530">
        <f>IF('[1]Tasa de Falla'!IB91=0,"",'[1]Tasa de Falla'!IB91)</f>
      </c>
      <c r="H91" s="530">
        <f>IF('[1]Tasa de Falla'!IC91=0,"",'[1]Tasa de Falla'!IC91)</f>
      </c>
      <c r="I91" s="530">
        <f>IF('[1]Tasa de Falla'!ID91=0,"",'[1]Tasa de Falla'!ID91)</f>
        <v>3</v>
      </c>
      <c r="J91" s="530">
        <f>IF('[1]Tasa de Falla'!IE91=0,"",'[1]Tasa de Falla'!IE91)</f>
      </c>
      <c r="K91" s="530">
        <f>IF('[1]Tasa de Falla'!IF91=0,"",'[1]Tasa de Falla'!IF91)</f>
      </c>
      <c r="L91" s="530">
        <f>IF('[1]Tasa de Falla'!IG91=0,"",'[1]Tasa de Falla'!IG91)</f>
      </c>
      <c r="M91" s="530">
        <f>IF('[1]Tasa de Falla'!IH91=0,"",'[1]Tasa de Falla'!IH91)</f>
      </c>
      <c r="N91" s="530">
        <f>IF('[1]Tasa de Falla'!II91=0,"",'[1]Tasa de Falla'!II91)</f>
      </c>
      <c r="O91" s="530">
        <f>IF('[1]Tasa de Falla'!IJ91=0,"",'[1]Tasa de Falla'!IJ91)</f>
      </c>
      <c r="P91" s="530">
        <f>IF('[1]Tasa de Falla'!IK91=0,"",'[1]Tasa de Falla'!IK91)</f>
      </c>
      <c r="Q91" s="530">
        <f>IF('[1]Tasa de Falla'!IL91=0,"",'[1]Tasa de Falla'!IL91)</f>
      </c>
      <c r="R91" s="530">
        <f>IF('[1]Tasa de Falla'!IM91=0,"",'[1]Tasa de Falla'!IM91)</f>
      </c>
      <c r="S91" s="531"/>
      <c r="T91" s="528"/>
    </row>
    <row r="92" spans="2:20" s="522" customFormat="1" ht="19.5" customHeight="1">
      <c r="B92" s="523"/>
      <c r="C92" s="529">
        <f>'[1]Tasa de Falla'!C92</f>
        <v>74</v>
      </c>
      <c r="D92" s="529" t="str">
        <f>'[1]Tasa de Falla'!D92</f>
        <v>PAMPA GRANDE - TRANCAS</v>
      </c>
      <c r="E92" s="529">
        <f>'[1]Tasa de Falla'!E92</f>
        <v>132</v>
      </c>
      <c r="F92" s="529">
        <f>'[1]Tasa de Falla'!F92</f>
        <v>55</v>
      </c>
      <c r="G92" s="530">
        <f>IF('[1]Tasa de Falla'!IB92=0,"",'[1]Tasa de Falla'!IB92)</f>
      </c>
      <c r="H92" s="530">
        <f>IF('[1]Tasa de Falla'!IC92=0,"",'[1]Tasa de Falla'!IC92)</f>
      </c>
      <c r="I92" s="530">
        <f>IF('[1]Tasa de Falla'!ID92=0,"",'[1]Tasa de Falla'!ID92)</f>
      </c>
      <c r="J92" s="530">
        <f>IF('[1]Tasa de Falla'!IE92=0,"",'[1]Tasa de Falla'!IE92)</f>
      </c>
      <c r="K92" s="530">
        <f>IF('[1]Tasa de Falla'!IF92=0,"",'[1]Tasa de Falla'!IF92)</f>
      </c>
      <c r="L92" s="530">
        <f>IF('[1]Tasa de Falla'!IG92=0,"",'[1]Tasa de Falla'!IG92)</f>
      </c>
      <c r="M92" s="530">
        <f>IF('[1]Tasa de Falla'!IH92=0,"",'[1]Tasa de Falla'!IH92)</f>
      </c>
      <c r="N92" s="530">
        <f>IF('[1]Tasa de Falla'!II92=0,"",'[1]Tasa de Falla'!II92)</f>
      </c>
      <c r="O92" s="530">
        <f>IF('[1]Tasa de Falla'!IJ92=0,"",'[1]Tasa de Falla'!IJ92)</f>
      </c>
      <c r="P92" s="530">
        <f>IF('[1]Tasa de Falla'!IK92=0,"",'[1]Tasa de Falla'!IK92)</f>
      </c>
      <c r="Q92" s="530">
        <f>IF('[1]Tasa de Falla'!IL92=0,"",'[1]Tasa de Falla'!IL92)</f>
      </c>
      <c r="R92" s="530">
        <f>IF('[1]Tasa de Falla'!IM92=0,"",'[1]Tasa de Falla'!IM92)</f>
        <v>3</v>
      </c>
      <c r="S92" s="531"/>
      <c r="T92" s="528"/>
    </row>
    <row r="93" spans="2:20" s="522" customFormat="1" ht="19.5" customHeight="1">
      <c r="B93" s="523"/>
      <c r="C93" s="529">
        <f>'[1]Tasa de Falla'!C93</f>
        <v>75</v>
      </c>
      <c r="D93" s="529" t="str">
        <f>'[1]Tasa de Falla'!D93</f>
        <v>SANTIAGO CENTRO - SUNCHO CORRAL </v>
      </c>
      <c r="E93" s="529">
        <f>'[1]Tasa de Falla'!E93</f>
        <v>132</v>
      </c>
      <c r="F93" s="529">
        <f>'[1]Tasa de Falla'!F93</f>
        <v>103</v>
      </c>
      <c r="G93" s="530">
        <f>IF('[1]Tasa de Falla'!IB93=0,"",'[1]Tasa de Falla'!IB93)</f>
      </c>
      <c r="H93" s="530">
        <f>IF('[1]Tasa de Falla'!IC93=0,"",'[1]Tasa de Falla'!IC93)</f>
      </c>
      <c r="I93" s="530">
        <f>IF('[1]Tasa de Falla'!ID93=0,"",'[1]Tasa de Falla'!ID93)</f>
      </c>
      <c r="J93" s="530">
        <f>IF('[1]Tasa de Falla'!IE93=0,"",'[1]Tasa de Falla'!IE93)</f>
      </c>
      <c r="K93" s="530">
        <f>IF('[1]Tasa de Falla'!IF93=0,"",'[1]Tasa de Falla'!IF93)</f>
      </c>
      <c r="L93" s="530">
        <f>IF('[1]Tasa de Falla'!IG93=0,"",'[1]Tasa de Falla'!IG93)</f>
      </c>
      <c r="M93" s="530">
        <f>IF('[1]Tasa de Falla'!IH93=0,"",'[1]Tasa de Falla'!IH93)</f>
      </c>
      <c r="N93" s="530">
        <f>IF('[1]Tasa de Falla'!II93=0,"",'[1]Tasa de Falla'!II93)</f>
      </c>
      <c r="O93" s="530">
        <f>IF('[1]Tasa de Falla'!IJ93=0,"",'[1]Tasa de Falla'!IJ93)</f>
      </c>
      <c r="P93" s="530">
        <f>IF('[1]Tasa de Falla'!IK93=0,"",'[1]Tasa de Falla'!IK93)</f>
      </c>
      <c r="Q93" s="530">
        <f>IF('[1]Tasa de Falla'!IL93=0,"",'[1]Tasa de Falla'!IL93)</f>
        <v>1</v>
      </c>
      <c r="R93" s="530">
        <f>IF('[1]Tasa de Falla'!IM93=0,"",'[1]Tasa de Falla'!IM93)</f>
      </c>
      <c r="S93" s="531"/>
      <c r="T93" s="528"/>
    </row>
    <row r="94" spans="2:20" s="522" customFormat="1" ht="19.5" customHeight="1">
      <c r="B94" s="523"/>
      <c r="C94" s="529">
        <f>'[1]Tasa de Falla'!C94</f>
        <v>76</v>
      </c>
      <c r="D94" s="529" t="str">
        <f>'[1]Tasa de Falla'!D94</f>
        <v>SUNCHO CORRAL - ANATUYA</v>
      </c>
      <c r="E94" s="529">
        <f>'[1]Tasa de Falla'!E94</f>
        <v>132</v>
      </c>
      <c r="F94" s="529">
        <f>'[1]Tasa de Falla'!F94</f>
        <v>81</v>
      </c>
      <c r="G94" s="530">
        <f>IF('[1]Tasa de Falla'!IB94=0,"",'[1]Tasa de Falla'!IB94)</f>
      </c>
      <c r="H94" s="530">
        <f>IF('[1]Tasa de Falla'!IC94=0,"",'[1]Tasa de Falla'!IC94)</f>
      </c>
      <c r="I94" s="530">
        <f>IF('[1]Tasa de Falla'!ID94=0,"",'[1]Tasa de Falla'!ID94)</f>
      </c>
      <c r="J94" s="530">
        <f>IF('[1]Tasa de Falla'!IE94=0,"",'[1]Tasa de Falla'!IE94)</f>
        <v>1</v>
      </c>
      <c r="K94" s="530">
        <f>IF('[1]Tasa de Falla'!IF94=0,"",'[1]Tasa de Falla'!IF94)</f>
        <v>1</v>
      </c>
      <c r="L94" s="530">
        <f>IF('[1]Tasa de Falla'!IG94=0,"",'[1]Tasa de Falla'!IG94)</f>
      </c>
      <c r="M94" s="530">
        <f>IF('[1]Tasa de Falla'!IH94=0,"",'[1]Tasa de Falla'!IH94)</f>
      </c>
      <c r="N94" s="530">
        <f>IF('[1]Tasa de Falla'!II94=0,"",'[1]Tasa de Falla'!II94)</f>
      </c>
      <c r="O94" s="530">
        <f>IF('[1]Tasa de Falla'!IJ94=0,"",'[1]Tasa de Falla'!IJ94)</f>
      </c>
      <c r="P94" s="530">
        <f>IF('[1]Tasa de Falla'!IK94=0,"",'[1]Tasa de Falla'!IK94)</f>
      </c>
      <c r="Q94" s="530">
        <f>IF('[1]Tasa de Falla'!IL94=0,"",'[1]Tasa de Falla'!IL94)</f>
      </c>
      <c r="R94" s="530">
        <f>IF('[1]Tasa de Falla'!IM94=0,"",'[1]Tasa de Falla'!IM94)</f>
      </c>
      <c r="S94" s="531"/>
      <c r="T94" s="528"/>
    </row>
    <row r="95" spans="2:20" s="522" customFormat="1" ht="19.5" customHeight="1">
      <c r="B95" s="523"/>
      <c r="C95" s="529">
        <f>'[1]Tasa de Falla'!C95</f>
        <v>77</v>
      </c>
      <c r="D95" s="529" t="str">
        <f>'[1]Tasa de Falla'!D95</f>
        <v>LAS MADERAS - GÜEMES SALTA</v>
      </c>
      <c r="E95" s="529">
        <f>'[1]Tasa de Falla'!E95</f>
        <v>132</v>
      </c>
      <c r="F95" s="529">
        <f>'[1]Tasa de Falla'!F95</f>
        <v>42</v>
      </c>
      <c r="G95" s="530">
        <f>IF('[1]Tasa de Falla'!IB95=0,"",'[1]Tasa de Falla'!IB95)</f>
      </c>
      <c r="H95" s="530">
        <f>IF('[1]Tasa de Falla'!IC95=0,"",'[1]Tasa de Falla'!IC95)</f>
      </c>
      <c r="I95" s="530">
        <f>IF('[1]Tasa de Falla'!ID95=0,"",'[1]Tasa de Falla'!ID95)</f>
      </c>
      <c r="J95" s="530">
        <f>IF('[1]Tasa de Falla'!IE95=0,"",'[1]Tasa de Falla'!IE95)</f>
      </c>
      <c r="K95" s="530">
        <f>IF('[1]Tasa de Falla'!IF95=0,"",'[1]Tasa de Falla'!IF95)</f>
      </c>
      <c r="L95" s="530">
        <f>IF('[1]Tasa de Falla'!IG95=0,"",'[1]Tasa de Falla'!IG95)</f>
      </c>
      <c r="M95" s="530">
        <f>IF('[1]Tasa de Falla'!IH95=0,"",'[1]Tasa de Falla'!IH95)</f>
      </c>
      <c r="N95" s="530">
        <f>IF('[1]Tasa de Falla'!II95=0,"",'[1]Tasa de Falla'!II95)</f>
      </c>
      <c r="O95" s="530">
        <f>IF('[1]Tasa de Falla'!IJ95=0,"",'[1]Tasa de Falla'!IJ95)</f>
      </c>
      <c r="P95" s="530">
        <f>IF('[1]Tasa de Falla'!IK95=0,"",'[1]Tasa de Falla'!IK95)</f>
      </c>
      <c r="Q95" s="530">
        <f>IF('[1]Tasa de Falla'!IL95=0,"",'[1]Tasa de Falla'!IL95)</f>
      </c>
      <c r="R95" s="530">
        <f>IF('[1]Tasa de Falla'!IM95=0,"",'[1]Tasa de Falla'!IM95)</f>
      </c>
      <c r="S95" s="531"/>
      <c r="T95" s="528"/>
    </row>
    <row r="96" spans="2:20" s="522" customFormat="1" ht="19.5" customHeight="1">
      <c r="B96" s="523"/>
      <c r="C96" s="529">
        <f>'[1]Tasa de Falla'!C96</f>
        <v>78</v>
      </c>
      <c r="D96" s="529" t="str">
        <f>'[1]Tasa de Falla'!D96</f>
        <v>INDEPENDENCIA - EL BRACHO 2</v>
      </c>
      <c r="E96" s="529">
        <f>'[1]Tasa de Falla'!E96</f>
        <v>132</v>
      </c>
      <c r="F96" s="529">
        <f>'[1]Tasa de Falla'!F96</f>
        <v>17.1</v>
      </c>
      <c r="G96" s="530">
        <f>IF('[1]Tasa de Falla'!IB96=0,"",'[1]Tasa de Falla'!IB96)</f>
      </c>
      <c r="H96" s="530">
        <f>IF('[1]Tasa de Falla'!IC96=0,"",'[1]Tasa de Falla'!IC96)</f>
      </c>
      <c r="I96" s="530">
        <f>IF('[1]Tasa de Falla'!ID96=0,"",'[1]Tasa de Falla'!ID96)</f>
        <v>1</v>
      </c>
      <c r="J96" s="530">
        <f>IF('[1]Tasa de Falla'!IE96=0,"",'[1]Tasa de Falla'!IE96)</f>
      </c>
      <c r="K96" s="530">
        <f>IF('[1]Tasa de Falla'!IF96=0,"",'[1]Tasa de Falla'!IF96)</f>
      </c>
      <c r="L96" s="530">
        <f>IF('[1]Tasa de Falla'!IG96=0,"",'[1]Tasa de Falla'!IG96)</f>
      </c>
      <c r="M96" s="530">
        <f>IF('[1]Tasa de Falla'!IH96=0,"",'[1]Tasa de Falla'!IH96)</f>
      </c>
      <c r="N96" s="530">
        <f>IF('[1]Tasa de Falla'!II96=0,"",'[1]Tasa de Falla'!II96)</f>
      </c>
      <c r="O96" s="530">
        <f>IF('[1]Tasa de Falla'!IJ96=0,"",'[1]Tasa de Falla'!IJ96)</f>
      </c>
      <c r="P96" s="530">
        <f>IF('[1]Tasa de Falla'!IK96=0,"",'[1]Tasa de Falla'!IK96)</f>
      </c>
      <c r="Q96" s="530">
        <f>IF('[1]Tasa de Falla'!IL96=0,"",'[1]Tasa de Falla'!IL96)</f>
      </c>
      <c r="R96" s="530">
        <f>IF('[1]Tasa de Falla'!IM96=0,"",'[1]Tasa de Falla'!IM96)</f>
      </c>
      <c r="S96" s="531"/>
      <c r="T96" s="528"/>
    </row>
    <row r="97" spans="2:20" s="522" customFormat="1" ht="19.5" customHeight="1">
      <c r="B97" s="523"/>
      <c r="C97" s="529">
        <f>'[1]Tasa de Falla'!C97</f>
        <v>79</v>
      </c>
      <c r="D97" s="529" t="str">
        <f>'[1]Tasa de Falla'!D97</f>
        <v>GÜEMES - SALTA SUR</v>
      </c>
      <c r="E97" s="529">
        <f>'[1]Tasa de Falla'!E97</f>
        <v>132</v>
      </c>
      <c r="F97" s="529">
        <f>'[1]Tasa de Falla'!F97</f>
        <v>47.6</v>
      </c>
      <c r="G97" s="530">
        <f>IF('[1]Tasa de Falla'!IB97=0,"",'[1]Tasa de Falla'!IB97)</f>
      </c>
      <c r="H97" s="530">
        <f>IF('[1]Tasa de Falla'!IC97=0,"",'[1]Tasa de Falla'!IC97)</f>
      </c>
      <c r="I97" s="530">
        <f>IF('[1]Tasa de Falla'!ID97=0,"",'[1]Tasa de Falla'!ID97)</f>
      </c>
      <c r="J97" s="530">
        <f>IF('[1]Tasa de Falla'!IE97=0,"",'[1]Tasa de Falla'!IE97)</f>
      </c>
      <c r="K97" s="530">
        <f>IF('[1]Tasa de Falla'!IF97=0,"",'[1]Tasa de Falla'!IF97)</f>
      </c>
      <c r="L97" s="530">
        <f>IF('[1]Tasa de Falla'!IG97=0,"",'[1]Tasa de Falla'!IG97)</f>
      </c>
      <c r="M97" s="530">
        <f>IF('[1]Tasa de Falla'!IH97=0,"",'[1]Tasa de Falla'!IH97)</f>
        <v>1</v>
      </c>
      <c r="N97" s="530">
        <f>IF('[1]Tasa de Falla'!II97=0,"",'[1]Tasa de Falla'!II97)</f>
        <v>2</v>
      </c>
      <c r="O97" s="530">
        <f>IF('[1]Tasa de Falla'!IJ97=0,"",'[1]Tasa de Falla'!IJ97)</f>
      </c>
      <c r="P97" s="530">
        <f>IF('[1]Tasa de Falla'!IK97=0,"",'[1]Tasa de Falla'!IK97)</f>
      </c>
      <c r="Q97" s="530">
        <f>IF('[1]Tasa de Falla'!IL97=0,"",'[1]Tasa de Falla'!IL97)</f>
      </c>
      <c r="R97" s="530">
        <f>IF('[1]Tasa de Falla'!IM97=0,"",'[1]Tasa de Falla'!IM97)</f>
      </c>
      <c r="S97" s="531"/>
      <c r="T97" s="528"/>
    </row>
    <row r="98" spans="2:20" s="522" customFormat="1" ht="19.5" customHeight="1">
      <c r="B98" s="523"/>
      <c r="C98" s="529">
        <f>'[1]Tasa de Falla'!C98</f>
        <v>80</v>
      </c>
      <c r="D98" s="529" t="str">
        <f>'[1]Tasa de Falla'!D98</f>
        <v>BURRUYACU - COBOS</v>
      </c>
      <c r="E98" s="529">
        <f>'[1]Tasa de Falla'!E98</f>
        <v>132</v>
      </c>
      <c r="F98" s="529">
        <f>'[1]Tasa de Falla'!F98</f>
        <v>229.5</v>
      </c>
      <c r="G98" s="530" t="str">
        <f>IF('[1]Tasa de Falla'!IB98=0,"",'[1]Tasa de Falla'!IB98)</f>
        <v>XXXX</v>
      </c>
      <c r="H98" s="530" t="str">
        <f>IF('[1]Tasa de Falla'!IC98=0,"",'[1]Tasa de Falla'!IC98)</f>
        <v>XXXX</v>
      </c>
      <c r="I98" s="530" t="str">
        <f>IF('[1]Tasa de Falla'!ID98=0,"",'[1]Tasa de Falla'!ID98)</f>
        <v>XXXX</v>
      </c>
      <c r="J98" s="530" t="str">
        <f>IF('[1]Tasa de Falla'!IE98=0,"",'[1]Tasa de Falla'!IE98)</f>
        <v>XXXX</v>
      </c>
      <c r="K98" s="530" t="str">
        <f>IF('[1]Tasa de Falla'!IF98=0,"",'[1]Tasa de Falla'!IF98)</f>
        <v>XXXX</v>
      </c>
      <c r="L98" s="530" t="str">
        <f>IF('[1]Tasa de Falla'!IG98=0,"",'[1]Tasa de Falla'!IG98)</f>
        <v>XXXX</v>
      </c>
      <c r="M98" s="530" t="str">
        <f>IF('[1]Tasa de Falla'!IH98=0,"",'[1]Tasa de Falla'!IH98)</f>
        <v>XXXX</v>
      </c>
      <c r="N98" s="530" t="str">
        <f>IF('[1]Tasa de Falla'!II98=0,"",'[1]Tasa de Falla'!II98)</f>
        <v>XXXX</v>
      </c>
      <c r="O98" s="530" t="str">
        <f>IF('[1]Tasa de Falla'!IJ98=0,"",'[1]Tasa de Falla'!IJ98)</f>
        <v>XXXX</v>
      </c>
      <c r="P98" s="530" t="str">
        <f>IF('[1]Tasa de Falla'!IK98=0,"",'[1]Tasa de Falla'!IK98)</f>
        <v>XXXX</v>
      </c>
      <c r="Q98" s="530" t="str">
        <f>IF('[1]Tasa de Falla'!IL98=0,"",'[1]Tasa de Falla'!IL98)</f>
        <v>XXXX</v>
      </c>
      <c r="R98" s="530" t="str">
        <f>IF('[1]Tasa de Falla'!IM98=0,"",'[1]Tasa de Falla'!IM98)</f>
        <v>XXXX</v>
      </c>
      <c r="S98" s="531"/>
      <c r="T98" s="528"/>
    </row>
    <row r="99" spans="2:20" s="522" customFormat="1" ht="19.5" customHeight="1">
      <c r="B99" s="523"/>
      <c r="C99" s="529">
        <f>'[1]Tasa de Falla'!C99</f>
        <v>81</v>
      </c>
      <c r="D99" s="529" t="str">
        <f>'[1]Tasa de Falla'!D99</f>
        <v>METAN - COBOS</v>
      </c>
      <c r="E99" s="529">
        <f>'[1]Tasa de Falla'!E99</f>
        <v>132</v>
      </c>
      <c r="F99" s="529">
        <f>'[1]Tasa de Falla'!F99</f>
        <v>89.2</v>
      </c>
      <c r="G99" s="530">
        <f>IF('[1]Tasa de Falla'!IB99=0,"",'[1]Tasa de Falla'!IB99)</f>
      </c>
      <c r="H99" s="530">
        <f>IF('[1]Tasa de Falla'!IC99=0,"",'[1]Tasa de Falla'!IC99)</f>
      </c>
      <c r="I99" s="530">
        <f>IF('[1]Tasa de Falla'!ID99=0,"",'[1]Tasa de Falla'!ID99)</f>
      </c>
      <c r="J99" s="530">
        <f>IF('[1]Tasa de Falla'!IE99=0,"",'[1]Tasa de Falla'!IE99)</f>
      </c>
      <c r="K99" s="530">
        <f>IF('[1]Tasa de Falla'!IF99=0,"",'[1]Tasa de Falla'!IF99)</f>
      </c>
      <c r="L99" s="530">
        <f>IF('[1]Tasa de Falla'!IG99=0,"",'[1]Tasa de Falla'!IG99)</f>
      </c>
      <c r="M99" s="530">
        <f>IF('[1]Tasa de Falla'!IH99=0,"",'[1]Tasa de Falla'!IH99)</f>
      </c>
      <c r="N99" s="530">
        <f>IF('[1]Tasa de Falla'!II99=0,"",'[1]Tasa de Falla'!II99)</f>
      </c>
      <c r="O99" s="530">
        <f>IF('[1]Tasa de Falla'!IJ99=0,"",'[1]Tasa de Falla'!IJ99)</f>
      </c>
      <c r="P99" s="530">
        <f>IF('[1]Tasa de Falla'!IK99=0,"",'[1]Tasa de Falla'!IK99)</f>
      </c>
      <c r="Q99" s="530">
        <f>IF('[1]Tasa de Falla'!IL99=0,"",'[1]Tasa de Falla'!IL99)</f>
      </c>
      <c r="R99" s="530">
        <f>IF('[1]Tasa de Falla'!IM99=0,"",'[1]Tasa de Falla'!IM99)</f>
      </c>
      <c r="S99" s="531"/>
      <c r="T99" s="528"/>
    </row>
    <row r="100" spans="2:20" s="522" customFormat="1" ht="19.5" customHeight="1">
      <c r="B100" s="523"/>
      <c r="C100" s="529">
        <f>'[1]Tasa de Falla'!C100</f>
        <v>82</v>
      </c>
      <c r="D100" s="529" t="str">
        <f>'[1]Tasa de Falla'!D100</f>
        <v>AÑATUYA - BANDERA</v>
      </c>
      <c r="E100" s="529">
        <f>'[1]Tasa de Falla'!E100</f>
        <v>132</v>
      </c>
      <c r="F100" s="529">
        <f>'[1]Tasa de Falla'!F100</f>
        <v>76</v>
      </c>
      <c r="G100" s="530">
        <f>IF('[1]Tasa de Falla'!IB100=0,"",'[1]Tasa de Falla'!IB100)</f>
      </c>
      <c r="H100" s="530">
        <f>IF('[1]Tasa de Falla'!IC100=0,"",'[1]Tasa de Falla'!IC100)</f>
        <v>1</v>
      </c>
      <c r="I100" s="530">
        <f>IF('[1]Tasa de Falla'!ID100=0,"",'[1]Tasa de Falla'!ID100)</f>
      </c>
      <c r="J100" s="530">
        <f>IF('[1]Tasa de Falla'!IE100=0,"",'[1]Tasa de Falla'!IE100)</f>
      </c>
      <c r="K100" s="530">
        <f>IF('[1]Tasa de Falla'!IF100=0,"",'[1]Tasa de Falla'!IF100)</f>
      </c>
      <c r="L100" s="530">
        <f>IF('[1]Tasa de Falla'!IG100=0,"",'[1]Tasa de Falla'!IG100)</f>
      </c>
      <c r="M100" s="530">
        <f>IF('[1]Tasa de Falla'!IH100=0,"",'[1]Tasa de Falla'!IH100)</f>
      </c>
      <c r="N100" s="530">
        <f>IF('[1]Tasa de Falla'!II100=0,"",'[1]Tasa de Falla'!II100)</f>
      </c>
      <c r="O100" s="530">
        <f>IF('[1]Tasa de Falla'!IJ100=0,"",'[1]Tasa de Falla'!IJ100)</f>
      </c>
      <c r="P100" s="530">
        <f>IF('[1]Tasa de Falla'!IK100=0,"",'[1]Tasa de Falla'!IK100)</f>
      </c>
      <c r="Q100" s="530">
        <f>IF('[1]Tasa de Falla'!IL100=0,"",'[1]Tasa de Falla'!IL100)</f>
      </c>
      <c r="R100" s="530">
        <f>IF('[1]Tasa de Falla'!IM100=0,"",'[1]Tasa de Falla'!IM100)</f>
      </c>
      <c r="S100" s="531"/>
      <c r="T100" s="528"/>
    </row>
    <row r="101" spans="2:20" s="522" customFormat="1" ht="19.5" customHeight="1">
      <c r="B101" s="523"/>
      <c r="C101" s="529">
        <f>'[1]Tasa de Falla'!C101</f>
        <v>84</v>
      </c>
      <c r="D101" s="529" t="str">
        <f>'[1]Tasa de Falla'!D101</f>
        <v>GÜEMES SALTA - COBOS 1</v>
      </c>
      <c r="E101" s="529">
        <f>'[1]Tasa de Falla'!E101</f>
        <v>132</v>
      </c>
      <c r="F101" s="529">
        <f>'[1]Tasa de Falla'!F101</f>
        <v>12.1</v>
      </c>
      <c r="G101" s="530">
        <f>IF('[1]Tasa de Falla'!IB101=0,"",'[1]Tasa de Falla'!IB101)</f>
      </c>
      <c r="H101" s="530">
        <f>IF('[1]Tasa de Falla'!IC101=0,"",'[1]Tasa de Falla'!IC101)</f>
      </c>
      <c r="I101" s="530">
        <f>IF('[1]Tasa de Falla'!ID101=0,"",'[1]Tasa de Falla'!ID101)</f>
      </c>
      <c r="J101" s="530">
        <f>IF('[1]Tasa de Falla'!IE101=0,"",'[1]Tasa de Falla'!IE101)</f>
      </c>
      <c r="K101" s="530">
        <f>IF('[1]Tasa de Falla'!IF101=0,"",'[1]Tasa de Falla'!IF101)</f>
      </c>
      <c r="L101" s="530">
        <f>IF('[1]Tasa de Falla'!IG101=0,"",'[1]Tasa de Falla'!IG101)</f>
      </c>
      <c r="M101" s="530">
        <f>IF('[1]Tasa de Falla'!IH101=0,"",'[1]Tasa de Falla'!IH101)</f>
      </c>
      <c r="N101" s="530">
        <f>IF('[1]Tasa de Falla'!II101=0,"",'[1]Tasa de Falla'!II101)</f>
      </c>
      <c r="O101" s="530">
        <f>IF('[1]Tasa de Falla'!IJ101=0,"",'[1]Tasa de Falla'!IJ101)</f>
      </c>
      <c r="P101" s="530">
        <f>IF('[1]Tasa de Falla'!IK101=0,"",'[1]Tasa de Falla'!IK101)</f>
      </c>
      <c r="Q101" s="530">
        <f>IF('[1]Tasa de Falla'!IL101=0,"",'[1]Tasa de Falla'!IL101)</f>
      </c>
      <c r="R101" s="530">
        <f>IF('[1]Tasa de Falla'!IM101=0,"",'[1]Tasa de Falla'!IM101)</f>
      </c>
      <c r="S101" s="531"/>
      <c r="T101" s="528"/>
    </row>
    <row r="102" spans="2:20" s="522" customFormat="1" ht="19.5" customHeight="1">
      <c r="B102" s="523"/>
      <c r="C102" s="529">
        <f>'[1]Tasa de Falla'!C102</f>
        <v>85</v>
      </c>
      <c r="D102" s="529" t="str">
        <f>'[1]Tasa de Falla'!D102</f>
        <v>GÜEMES SALTA - COBOS 2</v>
      </c>
      <c r="E102" s="529">
        <f>'[1]Tasa de Falla'!E102</f>
        <v>132</v>
      </c>
      <c r="F102" s="529">
        <f>'[1]Tasa de Falla'!F102</f>
        <v>12.1</v>
      </c>
      <c r="G102" s="530">
        <f>IF('[1]Tasa de Falla'!IB102=0,"",'[1]Tasa de Falla'!IB102)</f>
      </c>
      <c r="H102" s="530">
        <f>IF('[1]Tasa de Falla'!IC102=0,"",'[1]Tasa de Falla'!IC102)</f>
      </c>
      <c r="I102" s="530">
        <f>IF('[1]Tasa de Falla'!ID102=0,"",'[1]Tasa de Falla'!ID102)</f>
      </c>
      <c r="J102" s="530">
        <f>IF('[1]Tasa de Falla'!IE102=0,"",'[1]Tasa de Falla'!IE102)</f>
      </c>
      <c r="K102" s="530">
        <f>IF('[1]Tasa de Falla'!IF102=0,"",'[1]Tasa de Falla'!IF102)</f>
      </c>
      <c r="L102" s="530">
        <f>IF('[1]Tasa de Falla'!IG102=0,"",'[1]Tasa de Falla'!IG102)</f>
      </c>
      <c r="M102" s="530">
        <f>IF('[1]Tasa de Falla'!IH102=0,"",'[1]Tasa de Falla'!IH102)</f>
      </c>
      <c r="N102" s="530">
        <f>IF('[1]Tasa de Falla'!II102=0,"",'[1]Tasa de Falla'!II102)</f>
      </c>
      <c r="O102" s="530">
        <f>IF('[1]Tasa de Falla'!IJ102=0,"",'[1]Tasa de Falla'!IJ102)</f>
      </c>
      <c r="P102" s="530">
        <f>IF('[1]Tasa de Falla'!IK102=0,"",'[1]Tasa de Falla'!IK102)</f>
      </c>
      <c r="Q102" s="530">
        <f>IF('[1]Tasa de Falla'!IL102=0,"",'[1]Tasa de Falla'!IL102)</f>
      </c>
      <c r="R102" s="530">
        <f>IF('[1]Tasa de Falla'!IM102=0,"",'[1]Tasa de Falla'!IM102)</f>
      </c>
      <c r="S102" s="531"/>
      <c r="T102" s="528"/>
    </row>
    <row r="103" spans="2:20" s="522" customFormat="1" ht="19.5" customHeight="1">
      <c r="B103" s="523"/>
      <c r="C103" s="529">
        <f>'[1]Tasa de Falla'!C103</f>
        <v>86</v>
      </c>
      <c r="D103" s="529" t="str">
        <f>'[1]Tasa de Falla'!D103</f>
        <v>EL BRACHO - LA BANDA</v>
      </c>
      <c r="E103" s="529">
        <f>'[1]Tasa de Falla'!E103</f>
        <v>132</v>
      </c>
      <c r="F103" s="529">
        <f>'[1]Tasa de Falla'!F103</f>
        <v>133.5</v>
      </c>
      <c r="G103" s="530" t="str">
        <f>IF('[1]Tasa de Falla'!IB103=0,"",'[1]Tasa de Falla'!IB103)</f>
        <v>XXXX</v>
      </c>
      <c r="H103" s="530" t="str">
        <f>IF('[1]Tasa de Falla'!IC103=0,"",'[1]Tasa de Falla'!IC103)</f>
        <v>XXXX</v>
      </c>
      <c r="I103" s="530" t="str">
        <f>IF('[1]Tasa de Falla'!ID103=0,"",'[1]Tasa de Falla'!ID103)</f>
        <v>XXXX</v>
      </c>
      <c r="J103" s="530" t="str">
        <f>IF('[1]Tasa de Falla'!IE103=0,"",'[1]Tasa de Falla'!IE103)</f>
        <v>XXXX</v>
      </c>
      <c r="K103" s="530" t="str">
        <f>IF('[1]Tasa de Falla'!IF103=0,"",'[1]Tasa de Falla'!IF103)</f>
        <v>XXXX</v>
      </c>
      <c r="L103" s="530" t="str">
        <f>IF('[1]Tasa de Falla'!IG103=0,"",'[1]Tasa de Falla'!IG103)</f>
        <v>XXXX</v>
      </c>
      <c r="M103" s="530" t="str">
        <f>IF('[1]Tasa de Falla'!IH103=0,"",'[1]Tasa de Falla'!IH103)</f>
        <v>XXXX</v>
      </c>
      <c r="N103" s="530" t="str">
        <f>IF('[1]Tasa de Falla'!II103=0,"",'[1]Tasa de Falla'!II103)</f>
        <v>XXXX</v>
      </c>
      <c r="O103" s="530" t="str">
        <f>IF('[1]Tasa de Falla'!IJ103=0,"",'[1]Tasa de Falla'!IJ103)</f>
        <v>XXXX</v>
      </c>
      <c r="P103" s="530" t="str">
        <f>IF('[1]Tasa de Falla'!IK103=0,"",'[1]Tasa de Falla'!IK103)</f>
        <v>XXXX</v>
      </c>
      <c r="Q103" s="530" t="str">
        <f>IF('[1]Tasa de Falla'!IL103=0,"",'[1]Tasa de Falla'!IL103)</f>
        <v>XXXX</v>
      </c>
      <c r="R103" s="530" t="str">
        <f>IF('[1]Tasa de Falla'!IM103=0,"",'[1]Tasa de Falla'!IM103)</f>
        <v>XXXX</v>
      </c>
      <c r="S103" s="531"/>
      <c r="T103" s="528"/>
    </row>
    <row r="104" spans="2:20" s="522" customFormat="1" ht="19.5" customHeight="1">
      <c r="B104" s="523"/>
      <c r="C104" s="529">
        <f>'[1]Tasa de Falla'!C104</f>
        <v>87</v>
      </c>
      <c r="D104" s="529" t="str">
        <f>'[1]Tasa de Falla'!D104</f>
        <v>SANTIAGO OESTE - SANTIAGO SUR </v>
      </c>
      <c r="E104" s="529">
        <f>'[1]Tasa de Falla'!E104</f>
        <v>132</v>
      </c>
      <c r="F104" s="529">
        <f>'[1]Tasa de Falla'!F104</f>
        <v>10.6</v>
      </c>
      <c r="G104" s="530">
        <f>IF('[1]Tasa de Falla'!IB104=0,"",'[1]Tasa de Falla'!IB104)</f>
      </c>
      <c r="H104" s="530">
        <f>IF('[1]Tasa de Falla'!IC104=0,"",'[1]Tasa de Falla'!IC104)</f>
      </c>
      <c r="I104" s="530">
        <f>IF('[1]Tasa de Falla'!ID104=0,"",'[1]Tasa de Falla'!ID104)</f>
      </c>
      <c r="J104" s="530">
        <f>IF('[1]Tasa de Falla'!IE104=0,"",'[1]Tasa de Falla'!IE104)</f>
        <v>1</v>
      </c>
      <c r="K104" s="530">
        <f>IF('[1]Tasa de Falla'!IF104=0,"",'[1]Tasa de Falla'!IF104)</f>
      </c>
      <c r="L104" s="530">
        <f>IF('[1]Tasa de Falla'!IG104=0,"",'[1]Tasa de Falla'!IG104)</f>
      </c>
      <c r="M104" s="530">
        <f>IF('[1]Tasa de Falla'!IH104=0,"",'[1]Tasa de Falla'!IH104)</f>
        <v>1</v>
      </c>
      <c r="N104" s="530">
        <f>IF('[1]Tasa de Falla'!II104=0,"",'[1]Tasa de Falla'!II104)</f>
      </c>
      <c r="O104" s="530">
        <f>IF('[1]Tasa de Falla'!IJ104=0,"",'[1]Tasa de Falla'!IJ104)</f>
        <v>1</v>
      </c>
      <c r="P104" s="530">
        <f>IF('[1]Tasa de Falla'!IK104=0,"",'[1]Tasa de Falla'!IK104)</f>
      </c>
      <c r="Q104" s="530">
        <f>IF('[1]Tasa de Falla'!IL104=0,"",'[1]Tasa de Falla'!IL104)</f>
      </c>
      <c r="R104" s="530">
        <f>IF('[1]Tasa de Falla'!IM104=0,"",'[1]Tasa de Falla'!IM104)</f>
      </c>
      <c r="S104" s="531"/>
      <c r="T104" s="528"/>
    </row>
    <row r="105" spans="2:20" s="522" customFormat="1" ht="19.5" customHeight="1">
      <c r="B105" s="523"/>
      <c r="C105" s="529">
        <f>'[1]Tasa de Falla'!C105</f>
        <v>88</v>
      </c>
      <c r="D105" s="529" t="str">
        <f>'[1]Tasa de Falla'!D105</f>
        <v>SANTIAGO SUR - SANTIAGO CENTRO</v>
      </c>
      <c r="E105" s="529">
        <f>'[1]Tasa de Falla'!E105</f>
        <v>132</v>
      </c>
      <c r="F105" s="529">
        <f>'[1]Tasa de Falla'!F105</f>
        <v>4</v>
      </c>
      <c r="G105" s="530">
        <f>IF('[1]Tasa de Falla'!IB105=0,"",'[1]Tasa de Falla'!IB105)</f>
      </c>
      <c r="H105" s="530">
        <f>IF('[1]Tasa de Falla'!IC105=0,"",'[1]Tasa de Falla'!IC105)</f>
      </c>
      <c r="I105" s="530">
        <f>IF('[1]Tasa de Falla'!ID105=0,"",'[1]Tasa de Falla'!ID105)</f>
      </c>
      <c r="J105" s="530">
        <f>IF('[1]Tasa de Falla'!IE105=0,"",'[1]Tasa de Falla'!IE105)</f>
        <v>1</v>
      </c>
      <c r="K105" s="530">
        <f>IF('[1]Tasa de Falla'!IF105=0,"",'[1]Tasa de Falla'!IF105)</f>
      </c>
      <c r="L105" s="530">
        <f>IF('[1]Tasa de Falla'!IG105=0,"",'[1]Tasa de Falla'!IG105)</f>
      </c>
      <c r="M105" s="530">
        <f>IF('[1]Tasa de Falla'!IH105=0,"",'[1]Tasa de Falla'!IH105)</f>
        <v>4</v>
      </c>
      <c r="N105" s="530">
        <f>IF('[1]Tasa de Falla'!II105=0,"",'[1]Tasa de Falla'!II105)</f>
      </c>
      <c r="O105" s="530">
        <f>IF('[1]Tasa de Falla'!IJ105=0,"",'[1]Tasa de Falla'!IJ105)</f>
        <v>1</v>
      </c>
      <c r="P105" s="530">
        <f>IF('[1]Tasa de Falla'!IK105=0,"",'[1]Tasa de Falla'!IK105)</f>
      </c>
      <c r="Q105" s="530">
        <f>IF('[1]Tasa de Falla'!IL105=0,"",'[1]Tasa de Falla'!IL105)</f>
      </c>
      <c r="R105" s="530">
        <f>IF('[1]Tasa de Falla'!IM105=0,"",'[1]Tasa de Falla'!IM105)</f>
      </c>
      <c r="S105" s="531"/>
      <c r="T105" s="528"/>
    </row>
    <row r="106" spans="2:20" s="522" customFormat="1" ht="19.5" customHeight="1">
      <c r="B106" s="523"/>
      <c r="C106" s="529">
        <f>'[1]Tasa de Falla'!C106</f>
        <v>89</v>
      </c>
      <c r="D106" s="529" t="str">
        <f>'[1]Tasa de Falla'!D106</f>
        <v>C.H. RIO HONDO - SANTIAGO OESTE</v>
      </c>
      <c r="E106" s="529">
        <f>'[1]Tasa de Falla'!E106</f>
        <v>132</v>
      </c>
      <c r="F106" s="529">
        <f>'[1]Tasa de Falla'!F106</f>
        <v>69.8</v>
      </c>
      <c r="G106" s="530">
        <f>IF('[1]Tasa de Falla'!IB106=0,"",'[1]Tasa de Falla'!IB106)</f>
      </c>
      <c r="H106" s="530">
        <f>IF('[1]Tasa de Falla'!IC106=0,"",'[1]Tasa de Falla'!IC106)</f>
        <v>1</v>
      </c>
      <c r="I106" s="530">
        <f>IF('[1]Tasa de Falla'!ID106=0,"",'[1]Tasa de Falla'!ID106)</f>
      </c>
      <c r="J106" s="530">
        <f>IF('[1]Tasa de Falla'!IE106=0,"",'[1]Tasa de Falla'!IE106)</f>
      </c>
      <c r="K106" s="530">
        <f>IF('[1]Tasa de Falla'!IF106=0,"",'[1]Tasa de Falla'!IF106)</f>
      </c>
      <c r="L106" s="530">
        <f>IF('[1]Tasa de Falla'!IG106=0,"",'[1]Tasa de Falla'!IG106)</f>
      </c>
      <c r="M106" s="530">
        <f>IF('[1]Tasa de Falla'!IH106=0,"",'[1]Tasa de Falla'!IH106)</f>
      </c>
      <c r="N106" s="530">
        <f>IF('[1]Tasa de Falla'!II106=0,"",'[1]Tasa de Falla'!II106)</f>
      </c>
      <c r="O106" s="530">
        <f>IF('[1]Tasa de Falla'!IJ106=0,"",'[1]Tasa de Falla'!IJ106)</f>
      </c>
      <c r="P106" s="530">
        <f>IF('[1]Tasa de Falla'!IK106=0,"",'[1]Tasa de Falla'!IK106)</f>
      </c>
      <c r="Q106" s="530">
        <f>IF('[1]Tasa de Falla'!IL106=0,"",'[1]Tasa de Falla'!IL106)</f>
      </c>
      <c r="R106" s="530">
        <f>IF('[1]Tasa de Falla'!IM106=0,"",'[1]Tasa de Falla'!IM106)</f>
      </c>
      <c r="S106" s="531"/>
      <c r="T106" s="528"/>
    </row>
    <row r="107" spans="2:20" s="522" customFormat="1" ht="19.5" customHeight="1">
      <c r="B107" s="523"/>
      <c r="C107" s="529">
        <f>'[1]Tasa de Falla'!C107</f>
        <v>90</v>
      </c>
      <c r="D107" s="529" t="str">
        <f>'[1]Tasa de Falla'!D107</f>
        <v>GÜEMES - MINETTI</v>
      </c>
      <c r="E107" s="529">
        <f>'[1]Tasa de Falla'!E107</f>
        <v>132</v>
      </c>
      <c r="F107" s="529">
        <f>'[1]Tasa de Falla'!F107</f>
        <v>41.4</v>
      </c>
      <c r="G107" s="530">
        <f>IF('[1]Tasa de Falla'!IB107=0,"",'[1]Tasa de Falla'!IB107)</f>
      </c>
      <c r="H107" s="530">
        <f>IF('[1]Tasa de Falla'!IC107=0,"",'[1]Tasa de Falla'!IC107)</f>
        <v>1</v>
      </c>
      <c r="I107" s="530">
        <f>IF('[1]Tasa de Falla'!ID107=0,"",'[1]Tasa de Falla'!ID107)</f>
      </c>
      <c r="J107" s="530">
        <f>IF('[1]Tasa de Falla'!IE107=0,"",'[1]Tasa de Falla'!IE107)</f>
      </c>
      <c r="K107" s="530">
        <f>IF('[1]Tasa de Falla'!IF107=0,"",'[1]Tasa de Falla'!IF107)</f>
      </c>
      <c r="L107" s="530">
        <f>IF('[1]Tasa de Falla'!IG107=0,"",'[1]Tasa de Falla'!IG107)</f>
        <v>3</v>
      </c>
      <c r="M107" s="530">
        <f>IF('[1]Tasa de Falla'!IH107=0,"",'[1]Tasa de Falla'!IH107)</f>
        <v>6</v>
      </c>
      <c r="N107" s="530">
        <f>IF('[1]Tasa de Falla'!II107=0,"",'[1]Tasa de Falla'!II107)</f>
      </c>
      <c r="O107" s="530">
        <f>IF('[1]Tasa de Falla'!IJ107=0,"",'[1]Tasa de Falla'!IJ107)</f>
      </c>
      <c r="P107" s="530">
        <f>IF('[1]Tasa de Falla'!IK107=0,"",'[1]Tasa de Falla'!IK107)</f>
      </c>
      <c r="Q107" s="530">
        <f>IF('[1]Tasa de Falla'!IL107=0,"",'[1]Tasa de Falla'!IL107)</f>
      </c>
      <c r="R107" s="530">
        <f>IF('[1]Tasa de Falla'!IM107=0,"",'[1]Tasa de Falla'!IM107)</f>
      </c>
      <c r="S107" s="531"/>
      <c r="T107" s="528"/>
    </row>
    <row r="108" spans="2:20" s="522" customFormat="1" ht="19.5" customHeight="1">
      <c r="B108" s="523"/>
      <c r="C108" s="529">
        <f>'[1]Tasa de Falla'!C108</f>
        <v>91</v>
      </c>
      <c r="D108" s="529" t="str">
        <f>'[1]Tasa de Falla'!D108</f>
        <v>GÜEMES - SALTA NORTE</v>
      </c>
      <c r="E108" s="529">
        <f>'[1]Tasa de Falla'!E108</f>
        <v>132</v>
      </c>
      <c r="F108" s="529">
        <f>'[1]Tasa de Falla'!F108</f>
        <v>38.97</v>
      </c>
      <c r="G108" s="530">
        <f>IF('[1]Tasa de Falla'!IB108=0,"",'[1]Tasa de Falla'!IB108)</f>
      </c>
      <c r="H108" s="530">
        <f>IF('[1]Tasa de Falla'!IC108=0,"",'[1]Tasa de Falla'!IC108)</f>
      </c>
      <c r="I108" s="530">
        <f>IF('[1]Tasa de Falla'!ID108=0,"",'[1]Tasa de Falla'!ID108)</f>
      </c>
      <c r="J108" s="530">
        <f>IF('[1]Tasa de Falla'!IE108=0,"",'[1]Tasa de Falla'!IE108)</f>
      </c>
      <c r="K108" s="530">
        <f>IF('[1]Tasa de Falla'!IF108=0,"",'[1]Tasa de Falla'!IF108)</f>
      </c>
      <c r="L108" s="530">
        <f>IF('[1]Tasa de Falla'!IG108=0,"",'[1]Tasa de Falla'!IG108)</f>
      </c>
      <c r="M108" s="530">
        <f>IF('[1]Tasa de Falla'!IH108=0,"",'[1]Tasa de Falla'!IH108)</f>
      </c>
      <c r="N108" s="530">
        <f>IF('[1]Tasa de Falla'!II108=0,"",'[1]Tasa de Falla'!II108)</f>
        <v>1</v>
      </c>
      <c r="O108" s="530">
        <f>IF('[1]Tasa de Falla'!IJ108=0,"",'[1]Tasa de Falla'!IJ108)</f>
      </c>
      <c r="P108" s="530">
        <f>IF('[1]Tasa de Falla'!IK108=0,"",'[1]Tasa de Falla'!IK108)</f>
      </c>
      <c r="Q108" s="530">
        <f>IF('[1]Tasa de Falla'!IL108=0,"",'[1]Tasa de Falla'!IL108)</f>
      </c>
      <c r="R108" s="530">
        <f>IF('[1]Tasa de Falla'!IM108=0,"",'[1]Tasa de Falla'!IM108)</f>
      </c>
      <c r="S108" s="531"/>
      <c r="T108" s="528"/>
    </row>
    <row r="109" spans="2:20" s="522" customFormat="1" ht="19.5" customHeight="1">
      <c r="B109" s="523"/>
      <c r="C109" s="529">
        <f>'[1]Tasa de Falla'!C109</f>
        <v>92</v>
      </c>
      <c r="D109" s="529" t="str">
        <f>'[1]Tasa de Falla'!D109</f>
        <v>BURRUYACU - R. DE LA FRONTERA</v>
      </c>
      <c r="E109" s="529">
        <f>'[1]Tasa de Falla'!E109</f>
        <v>132</v>
      </c>
      <c r="F109" s="529">
        <f>'[1]Tasa de Falla'!F109</f>
        <v>99.1</v>
      </c>
      <c r="G109" s="530">
        <f>IF('[1]Tasa de Falla'!IB109=0,"",'[1]Tasa de Falla'!IB109)</f>
      </c>
      <c r="H109" s="530">
        <f>IF('[1]Tasa de Falla'!IC109=0,"",'[1]Tasa de Falla'!IC109)</f>
      </c>
      <c r="I109" s="530">
        <f>IF('[1]Tasa de Falla'!ID109=0,"",'[1]Tasa de Falla'!ID109)</f>
        <v>1</v>
      </c>
      <c r="J109" s="530">
        <f>IF('[1]Tasa de Falla'!IE109=0,"",'[1]Tasa de Falla'!IE109)</f>
      </c>
      <c r="K109" s="530">
        <f>IF('[1]Tasa de Falla'!IF109=0,"",'[1]Tasa de Falla'!IF109)</f>
      </c>
      <c r="L109" s="530">
        <f>IF('[1]Tasa de Falla'!IG109=0,"",'[1]Tasa de Falla'!IG109)</f>
      </c>
      <c r="M109" s="530">
        <f>IF('[1]Tasa de Falla'!IH109=0,"",'[1]Tasa de Falla'!IH109)</f>
      </c>
      <c r="N109" s="530">
        <f>IF('[1]Tasa de Falla'!II109=0,"",'[1]Tasa de Falla'!II109)</f>
      </c>
      <c r="O109" s="530">
        <f>IF('[1]Tasa de Falla'!IJ109=0,"",'[1]Tasa de Falla'!IJ109)</f>
      </c>
      <c r="P109" s="530">
        <f>IF('[1]Tasa de Falla'!IK109=0,"",'[1]Tasa de Falla'!IK109)</f>
      </c>
      <c r="Q109" s="530">
        <f>IF('[1]Tasa de Falla'!IL109=0,"",'[1]Tasa de Falla'!IL109)</f>
      </c>
      <c r="R109" s="530">
        <f>IF('[1]Tasa de Falla'!IM109=0,"",'[1]Tasa de Falla'!IM109)</f>
      </c>
      <c r="S109" s="531"/>
      <c r="T109" s="528"/>
    </row>
    <row r="110" spans="2:20" s="522" customFormat="1" ht="19.5" customHeight="1">
      <c r="B110" s="523"/>
      <c r="C110" s="529">
        <f>'[1]Tasa de Falla'!C110</f>
        <v>93</v>
      </c>
      <c r="D110" s="529" t="str">
        <f>'[1]Tasa de Falla'!D110</f>
        <v>R. DE LA FRONTERA - COBOS</v>
      </c>
      <c r="E110" s="529">
        <f>'[1]Tasa de Falla'!E110</f>
        <v>132</v>
      </c>
      <c r="F110" s="529">
        <f>'[1]Tasa de Falla'!F110</f>
        <v>130.4</v>
      </c>
      <c r="G110" s="530">
        <f>IF('[1]Tasa de Falla'!IB110=0,"",'[1]Tasa de Falla'!IB110)</f>
      </c>
      <c r="H110" s="530">
        <f>IF('[1]Tasa de Falla'!IC110=0,"",'[1]Tasa de Falla'!IC110)</f>
        <v>1</v>
      </c>
      <c r="I110" s="530">
        <f>IF('[1]Tasa de Falla'!ID110=0,"",'[1]Tasa de Falla'!ID110)</f>
      </c>
      <c r="J110" s="530">
        <f>IF('[1]Tasa de Falla'!IE110=0,"",'[1]Tasa de Falla'!IE110)</f>
      </c>
      <c r="K110" s="530">
        <f>IF('[1]Tasa de Falla'!IF110=0,"",'[1]Tasa de Falla'!IF110)</f>
      </c>
      <c r="L110" s="530">
        <f>IF('[1]Tasa de Falla'!IG110=0,"",'[1]Tasa de Falla'!IG110)</f>
      </c>
      <c r="M110" s="530">
        <f>IF('[1]Tasa de Falla'!IH110=0,"",'[1]Tasa de Falla'!IH110)</f>
      </c>
      <c r="N110" s="530">
        <f>IF('[1]Tasa de Falla'!II110=0,"",'[1]Tasa de Falla'!II110)</f>
      </c>
      <c r="O110" s="530">
        <f>IF('[1]Tasa de Falla'!IJ110=0,"",'[1]Tasa de Falla'!IJ110)</f>
      </c>
      <c r="P110" s="530">
        <f>IF('[1]Tasa de Falla'!IK110=0,"",'[1]Tasa de Falla'!IK110)</f>
      </c>
      <c r="Q110" s="530">
        <f>IF('[1]Tasa de Falla'!IL110=0,"",'[1]Tasa de Falla'!IL110)</f>
      </c>
      <c r="R110" s="530">
        <f>IF('[1]Tasa de Falla'!IM110=0,"",'[1]Tasa de Falla'!IM110)</f>
      </c>
      <c r="S110" s="531"/>
      <c r="T110" s="528"/>
    </row>
    <row r="111" spans="2:20" s="522" customFormat="1" ht="19.5" customHeight="1">
      <c r="B111" s="523"/>
      <c r="C111" s="529">
        <f>'[1]Tasa de Falla'!C111</f>
        <v>94</v>
      </c>
      <c r="D111" s="529" t="str">
        <f>'[1]Tasa de Falla'!D111</f>
        <v>J.V. GONZALEZ - APOLINARIO SARAVIA</v>
      </c>
      <c r="E111" s="529">
        <f>'[1]Tasa de Falla'!E111</f>
        <v>132</v>
      </c>
      <c r="F111" s="529">
        <f>'[1]Tasa de Falla'!F111</f>
        <v>94</v>
      </c>
      <c r="G111" s="530">
        <f>IF('[1]Tasa de Falla'!IB111=0,"",'[1]Tasa de Falla'!IB111)</f>
      </c>
      <c r="H111" s="530">
        <f>IF('[1]Tasa de Falla'!IC111=0,"",'[1]Tasa de Falla'!IC111)</f>
      </c>
      <c r="I111" s="530">
        <f>IF('[1]Tasa de Falla'!ID111=0,"",'[1]Tasa de Falla'!ID111)</f>
      </c>
      <c r="J111" s="530">
        <f>IF('[1]Tasa de Falla'!IE111=0,"",'[1]Tasa de Falla'!IE111)</f>
      </c>
      <c r="K111" s="530">
        <f>IF('[1]Tasa de Falla'!IF111=0,"",'[1]Tasa de Falla'!IF111)</f>
      </c>
      <c r="L111" s="530">
        <f>IF('[1]Tasa de Falla'!IG111=0,"",'[1]Tasa de Falla'!IG111)</f>
      </c>
      <c r="M111" s="530">
        <f>IF('[1]Tasa de Falla'!IH111=0,"",'[1]Tasa de Falla'!IH111)</f>
      </c>
      <c r="N111" s="530">
        <f>IF('[1]Tasa de Falla'!II111=0,"",'[1]Tasa de Falla'!II111)</f>
      </c>
      <c r="O111" s="530">
        <f>IF('[1]Tasa de Falla'!IJ111=0,"",'[1]Tasa de Falla'!IJ111)</f>
      </c>
      <c r="P111" s="530">
        <f>IF('[1]Tasa de Falla'!IK111=0,"",'[1]Tasa de Falla'!IK111)</f>
      </c>
      <c r="Q111" s="530">
        <f>IF('[1]Tasa de Falla'!IL111=0,"",'[1]Tasa de Falla'!IL111)</f>
      </c>
      <c r="R111" s="530">
        <f>IF('[1]Tasa de Falla'!IM111=0,"",'[1]Tasa de Falla'!IM111)</f>
      </c>
      <c r="S111" s="531"/>
      <c r="T111" s="528"/>
    </row>
    <row r="112" spans="2:20" s="522" customFormat="1" ht="19.5" customHeight="1">
      <c r="B112" s="523"/>
      <c r="C112" s="529">
        <f>'[1]Tasa de Falla'!C112</f>
        <v>95</v>
      </c>
      <c r="D112" s="529" t="str">
        <f>'[1]Tasa de Falla'!D112</f>
        <v>ANDALGALA - SAULIL</v>
      </c>
      <c r="E112" s="529">
        <f>'[1]Tasa de Falla'!E112</f>
        <v>132</v>
      </c>
      <c r="F112" s="529">
        <f>'[1]Tasa de Falla'!F112</f>
        <v>76</v>
      </c>
      <c r="G112" s="530">
        <f>IF('[1]Tasa de Falla'!IB112=0,"",'[1]Tasa de Falla'!IB112)</f>
      </c>
      <c r="H112" s="530">
        <f>IF('[1]Tasa de Falla'!IC112=0,"",'[1]Tasa de Falla'!IC112)</f>
      </c>
      <c r="I112" s="530">
        <f>IF('[1]Tasa de Falla'!ID112=0,"",'[1]Tasa de Falla'!ID112)</f>
      </c>
      <c r="J112" s="530">
        <f>IF('[1]Tasa de Falla'!IE112=0,"",'[1]Tasa de Falla'!IE112)</f>
      </c>
      <c r="K112" s="530">
        <f>IF('[1]Tasa de Falla'!IF112=0,"",'[1]Tasa de Falla'!IF112)</f>
      </c>
      <c r="L112" s="530">
        <f>IF('[1]Tasa de Falla'!IG112=0,"",'[1]Tasa de Falla'!IG112)</f>
      </c>
      <c r="M112" s="530">
        <f>IF('[1]Tasa de Falla'!IH112=0,"",'[1]Tasa de Falla'!IH112)</f>
        <v>1</v>
      </c>
      <c r="N112" s="530">
        <f>IF('[1]Tasa de Falla'!II112=0,"",'[1]Tasa de Falla'!II112)</f>
        <v>1</v>
      </c>
      <c r="O112" s="530">
        <f>IF('[1]Tasa de Falla'!IJ112=0,"",'[1]Tasa de Falla'!IJ112)</f>
      </c>
      <c r="P112" s="530">
        <f>IF('[1]Tasa de Falla'!IK112=0,"",'[1]Tasa de Falla'!IK112)</f>
      </c>
      <c r="Q112" s="530">
        <f>IF('[1]Tasa de Falla'!IL112=0,"",'[1]Tasa de Falla'!IL112)</f>
      </c>
      <c r="R112" s="530">
        <f>IF('[1]Tasa de Falla'!IM112=0,"",'[1]Tasa de Falla'!IM112)</f>
      </c>
      <c r="S112" s="531"/>
      <c r="T112" s="528"/>
    </row>
    <row r="113" spans="2:20" s="522" customFormat="1" ht="19.5" customHeight="1">
      <c r="B113" s="523"/>
      <c r="C113" s="529">
        <f>'[1]Tasa de Falla'!C113</f>
        <v>96</v>
      </c>
      <c r="D113" s="529" t="str">
        <f>'[1]Tasa de Falla'!D113</f>
        <v>SANTIAGO OESTE - SANT. SUR  - SANT. CENTRO</v>
      </c>
      <c r="E113" s="529">
        <f>'[1]Tasa de Falla'!E113</f>
        <v>132</v>
      </c>
      <c r="F113" s="529">
        <f>'[1]Tasa de Falla'!F113</f>
        <v>14.6</v>
      </c>
      <c r="G113" s="530" t="str">
        <f>IF('[1]Tasa de Falla'!IB113=0,"",'[1]Tasa de Falla'!IB113)</f>
        <v>XXXX</v>
      </c>
      <c r="H113" s="530" t="str">
        <f>IF('[1]Tasa de Falla'!IC113=0,"",'[1]Tasa de Falla'!IC113)</f>
        <v>XXXX</v>
      </c>
      <c r="I113" s="530" t="str">
        <f>IF('[1]Tasa de Falla'!ID113=0,"",'[1]Tasa de Falla'!ID113)</f>
        <v>XXXX</v>
      </c>
      <c r="J113" s="530" t="str">
        <f>IF('[1]Tasa de Falla'!IE113=0,"",'[1]Tasa de Falla'!IE113)</f>
        <v>XXXX</v>
      </c>
      <c r="K113" s="530" t="str">
        <f>IF('[1]Tasa de Falla'!IF113=0,"",'[1]Tasa de Falla'!IF113)</f>
        <v>XXXX</v>
      </c>
      <c r="L113" s="530" t="str">
        <f>IF('[1]Tasa de Falla'!IG113=0,"",'[1]Tasa de Falla'!IG113)</f>
        <v>XXXX</v>
      </c>
      <c r="M113" s="530" t="str">
        <f>IF('[1]Tasa de Falla'!IH113=0,"",'[1]Tasa de Falla'!IH113)</f>
        <v>XXXX</v>
      </c>
      <c r="N113" s="530" t="str">
        <f>IF('[1]Tasa de Falla'!II113=0,"",'[1]Tasa de Falla'!II113)</f>
        <v>XXXX</v>
      </c>
      <c r="O113" s="530" t="str">
        <f>IF('[1]Tasa de Falla'!IJ113=0,"",'[1]Tasa de Falla'!IJ113)</f>
        <v>XXXX</v>
      </c>
      <c r="P113" s="530" t="str">
        <f>IF('[1]Tasa de Falla'!IK113=0,"",'[1]Tasa de Falla'!IK113)</f>
        <v>XXXX</v>
      </c>
      <c r="Q113" s="530" t="str">
        <f>IF('[1]Tasa de Falla'!IL113=0,"",'[1]Tasa de Falla'!IL113)</f>
        <v>XXXX</v>
      </c>
      <c r="R113" s="530" t="str">
        <f>IF('[1]Tasa de Falla'!IM113=0,"",'[1]Tasa de Falla'!IM113)</f>
        <v>XXXX</v>
      </c>
      <c r="S113" s="531"/>
      <c r="T113" s="528"/>
    </row>
    <row r="114" spans="2:20" s="522" customFormat="1" ht="19.5" customHeight="1">
      <c r="B114" s="523"/>
      <c r="C114" s="529">
        <f>'[1]Tasa de Falla'!C114</f>
        <v>97</v>
      </c>
      <c r="D114" s="529" t="str">
        <f>'[1]Tasa de Falla'!D114</f>
        <v>LA RIOJA SUR - PI LA RIOJA  </v>
      </c>
      <c r="E114" s="529">
        <f>'[1]Tasa de Falla'!E114</f>
        <v>132</v>
      </c>
      <c r="F114" s="529">
        <f>'[1]Tasa de Falla'!F114</f>
        <v>40</v>
      </c>
      <c r="G114" s="530">
        <f>IF('[1]Tasa de Falla'!IB114=0,"",'[1]Tasa de Falla'!IB114)</f>
      </c>
      <c r="H114" s="530">
        <f>IF('[1]Tasa de Falla'!IC114=0,"",'[1]Tasa de Falla'!IC114)</f>
      </c>
      <c r="I114" s="530">
        <f>IF('[1]Tasa de Falla'!ID114=0,"",'[1]Tasa de Falla'!ID114)</f>
      </c>
      <c r="J114" s="530">
        <f>IF('[1]Tasa de Falla'!IE114=0,"",'[1]Tasa de Falla'!IE114)</f>
      </c>
      <c r="K114" s="530">
        <f>IF('[1]Tasa de Falla'!IF114=0,"",'[1]Tasa de Falla'!IF114)</f>
      </c>
      <c r="L114" s="530">
        <f>IF('[1]Tasa de Falla'!IG114=0,"",'[1]Tasa de Falla'!IG114)</f>
      </c>
      <c r="M114" s="530">
        <f>IF('[1]Tasa de Falla'!IH114=0,"",'[1]Tasa de Falla'!IH114)</f>
      </c>
      <c r="N114" s="530">
        <f>IF('[1]Tasa de Falla'!II114=0,"",'[1]Tasa de Falla'!II114)</f>
      </c>
      <c r="O114" s="530">
        <f>IF('[1]Tasa de Falla'!IJ114=0,"",'[1]Tasa de Falla'!IJ114)</f>
      </c>
      <c r="P114" s="530">
        <f>IF('[1]Tasa de Falla'!IK114=0,"",'[1]Tasa de Falla'!IK114)</f>
      </c>
      <c r="Q114" s="530">
        <f>IF('[1]Tasa de Falla'!IL114=0,"",'[1]Tasa de Falla'!IL114)</f>
      </c>
      <c r="R114" s="530">
        <f>IF('[1]Tasa de Falla'!IM114=0,"",'[1]Tasa de Falla'!IM114)</f>
      </c>
      <c r="S114" s="531"/>
      <c r="T114" s="528"/>
    </row>
    <row r="115" spans="2:20" s="522" customFormat="1" ht="19.5" customHeight="1">
      <c r="B115" s="523"/>
      <c r="C115" s="529">
        <f>'[1]Tasa de Falla'!C115</f>
        <v>98</v>
      </c>
      <c r="D115" s="529" t="str">
        <f>'[1]Tasa de Falla'!D115</f>
        <v>LA RIOJA SUR - PI. PATQUIA</v>
      </c>
      <c r="E115" s="529">
        <f>'[1]Tasa de Falla'!E115</f>
        <v>132</v>
      </c>
      <c r="F115" s="529">
        <f>'[1]Tasa de Falla'!F115</f>
        <v>40</v>
      </c>
      <c r="G115" s="530">
        <f>IF('[1]Tasa de Falla'!IB115=0,"",'[1]Tasa de Falla'!IB115)</f>
      </c>
      <c r="H115" s="530">
        <f>IF('[1]Tasa de Falla'!IC115=0,"",'[1]Tasa de Falla'!IC115)</f>
      </c>
      <c r="I115" s="530">
        <f>IF('[1]Tasa de Falla'!ID115=0,"",'[1]Tasa de Falla'!ID115)</f>
      </c>
      <c r="J115" s="530">
        <f>IF('[1]Tasa de Falla'!IE115=0,"",'[1]Tasa de Falla'!IE115)</f>
      </c>
      <c r="K115" s="530">
        <f>IF('[1]Tasa de Falla'!IF115=0,"",'[1]Tasa de Falla'!IF115)</f>
      </c>
      <c r="L115" s="530">
        <f>IF('[1]Tasa de Falla'!IG115=0,"",'[1]Tasa de Falla'!IG115)</f>
      </c>
      <c r="M115" s="530">
        <f>IF('[1]Tasa de Falla'!IH115=0,"",'[1]Tasa de Falla'!IH115)</f>
      </c>
      <c r="N115" s="530">
        <f>IF('[1]Tasa de Falla'!II115=0,"",'[1]Tasa de Falla'!II115)</f>
      </c>
      <c r="O115" s="530">
        <f>IF('[1]Tasa de Falla'!IJ115=0,"",'[1]Tasa de Falla'!IJ115)</f>
      </c>
      <c r="P115" s="530">
        <f>IF('[1]Tasa de Falla'!IK115=0,"",'[1]Tasa de Falla'!IK115)</f>
      </c>
      <c r="Q115" s="530">
        <f>IF('[1]Tasa de Falla'!IL115=0,"",'[1]Tasa de Falla'!IL115)</f>
      </c>
      <c r="R115" s="530">
        <f>IF('[1]Tasa de Falla'!IM115=0,"",'[1]Tasa de Falla'!IM115)</f>
      </c>
      <c r="S115" s="531"/>
      <c r="T115" s="528"/>
    </row>
    <row r="116" spans="2:20" s="522" customFormat="1" ht="19.5" customHeight="1">
      <c r="B116" s="523"/>
      <c r="C116" s="529">
        <f>'[1]Tasa de Falla'!C116</f>
        <v>99</v>
      </c>
      <c r="D116" s="529" t="str">
        <f>'[1]Tasa de Falla'!D116</f>
        <v>SUNCHO CORRAL - QUIMILI</v>
      </c>
      <c r="E116" s="529">
        <f>'[1]Tasa de Falla'!E116</f>
        <v>132</v>
      </c>
      <c r="F116" s="529">
        <f>'[1]Tasa de Falla'!F116</f>
        <v>108</v>
      </c>
      <c r="G116" s="530">
        <f>IF('[1]Tasa de Falla'!IB116=0,"",'[1]Tasa de Falla'!IB116)</f>
      </c>
      <c r="H116" s="530">
        <f>IF('[1]Tasa de Falla'!IC116=0,"",'[1]Tasa de Falla'!IC116)</f>
      </c>
      <c r="I116" s="530">
        <f>IF('[1]Tasa de Falla'!ID116=0,"",'[1]Tasa de Falla'!ID116)</f>
      </c>
      <c r="J116" s="530">
        <f>IF('[1]Tasa de Falla'!IE116=0,"",'[1]Tasa de Falla'!IE116)</f>
      </c>
      <c r="K116" s="530">
        <f>IF('[1]Tasa de Falla'!IF116=0,"",'[1]Tasa de Falla'!IF116)</f>
      </c>
      <c r="L116" s="530">
        <f>IF('[1]Tasa de Falla'!IG116=0,"",'[1]Tasa de Falla'!IG116)</f>
        <v>1</v>
      </c>
      <c r="M116" s="530">
        <f>IF('[1]Tasa de Falla'!IH116=0,"",'[1]Tasa de Falla'!IH116)</f>
      </c>
      <c r="N116" s="530">
        <f>IF('[1]Tasa de Falla'!II116=0,"",'[1]Tasa de Falla'!II116)</f>
      </c>
      <c r="O116" s="530">
        <f>IF('[1]Tasa de Falla'!IJ116=0,"",'[1]Tasa de Falla'!IJ116)</f>
      </c>
      <c r="P116" s="530">
        <f>IF('[1]Tasa de Falla'!IK116=0,"",'[1]Tasa de Falla'!IK116)</f>
      </c>
      <c r="Q116" s="530">
        <f>IF('[1]Tasa de Falla'!IL116=0,"",'[1]Tasa de Falla'!IL116)</f>
      </c>
      <c r="R116" s="530">
        <f>IF('[1]Tasa de Falla'!IM116=0,"",'[1]Tasa de Falla'!IM116)</f>
      </c>
      <c r="S116" s="531"/>
      <c r="T116" s="528"/>
    </row>
    <row r="117" spans="2:20" s="522" customFormat="1" ht="19.5" customHeight="1">
      <c r="B117" s="523"/>
      <c r="C117" s="529">
        <f>'[1]Tasa de Falla'!C117</f>
        <v>100</v>
      </c>
      <c r="D117" s="529" t="str">
        <f>'[1]Tasa de Falla'!D117</f>
        <v>EL BRACHO - LA BANDA ESTE</v>
      </c>
      <c r="E117" s="529">
        <f>'[1]Tasa de Falla'!E117</f>
        <v>132</v>
      </c>
      <c r="F117" s="529">
        <f>'[1]Tasa de Falla'!F117</f>
        <v>140.9</v>
      </c>
      <c r="G117" s="530">
        <f>IF('[1]Tasa de Falla'!IB117=0,"",'[1]Tasa de Falla'!IB117)</f>
      </c>
      <c r="H117" s="530">
        <f>IF('[1]Tasa de Falla'!IC117=0,"",'[1]Tasa de Falla'!IC117)</f>
        <v>1</v>
      </c>
      <c r="I117" s="530">
        <f>IF('[1]Tasa de Falla'!ID117=0,"",'[1]Tasa de Falla'!ID117)</f>
        <v>3</v>
      </c>
      <c r="J117" s="530">
        <f>IF('[1]Tasa de Falla'!IE117=0,"",'[1]Tasa de Falla'!IE117)</f>
        <v>2</v>
      </c>
      <c r="K117" s="530">
        <f>IF('[1]Tasa de Falla'!IF117=0,"",'[1]Tasa de Falla'!IF117)</f>
        <v>1</v>
      </c>
      <c r="L117" s="530">
        <f>IF('[1]Tasa de Falla'!IG117=0,"",'[1]Tasa de Falla'!IG117)</f>
        <v>1</v>
      </c>
      <c r="M117" s="530">
        <f>IF('[1]Tasa de Falla'!IH117=0,"",'[1]Tasa de Falla'!IH117)</f>
      </c>
      <c r="N117" s="530">
        <f>IF('[1]Tasa de Falla'!II117=0,"",'[1]Tasa de Falla'!II117)</f>
      </c>
      <c r="O117" s="530">
        <f>IF('[1]Tasa de Falla'!IJ117=0,"",'[1]Tasa de Falla'!IJ117)</f>
      </c>
      <c r="P117" s="530">
        <f>IF('[1]Tasa de Falla'!IK117=0,"",'[1]Tasa de Falla'!IK117)</f>
      </c>
      <c r="Q117" s="530">
        <f>IF('[1]Tasa de Falla'!IL117=0,"",'[1]Tasa de Falla'!IL117)</f>
      </c>
      <c r="R117" s="530">
        <f>IF('[1]Tasa de Falla'!IM117=0,"",'[1]Tasa de Falla'!IM117)</f>
      </c>
      <c r="S117" s="531"/>
      <c r="T117" s="528"/>
    </row>
    <row r="118" spans="2:20" s="522" customFormat="1" ht="19.5" customHeight="1">
      <c r="B118" s="523"/>
      <c r="C118" s="529">
        <f>'[1]Tasa de Falla'!C118</f>
        <v>101</v>
      </c>
      <c r="D118" s="529" t="str">
        <f>'[1]Tasa de Falla'!D118</f>
        <v>LA BANDA ESTE - LA BANDA</v>
      </c>
      <c r="E118" s="529">
        <f>'[1]Tasa de Falla'!E118</f>
        <v>132</v>
      </c>
      <c r="F118" s="529">
        <f>'[1]Tasa de Falla'!F118</f>
        <v>16.2</v>
      </c>
      <c r="G118" s="530">
        <f>IF('[1]Tasa de Falla'!IB118=0,"",'[1]Tasa de Falla'!IB118)</f>
      </c>
      <c r="H118" s="530">
        <f>IF('[1]Tasa de Falla'!IC118=0,"",'[1]Tasa de Falla'!IC118)</f>
      </c>
      <c r="I118" s="530">
        <f>IF('[1]Tasa de Falla'!ID118=0,"",'[1]Tasa de Falla'!ID118)</f>
        <v>1</v>
      </c>
      <c r="J118" s="530">
        <f>IF('[1]Tasa de Falla'!IE118=0,"",'[1]Tasa de Falla'!IE118)</f>
      </c>
      <c r="K118" s="530">
        <f>IF('[1]Tasa de Falla'!IF118=0,"",'[1]Tasa de Falla'!IF118)</f>
      </c>
      <c r="L118" s="530">
        <f>IF('[1]Tasa de Falla'!IG118=0,"",'[1]Tasa de Falla'!IG118)</f>
      </c>
      <c r="M118" s="530">
        <f>IF('[1]Tasa de Falla'!IH118=0,"",'[1]Tasa de Falla'!IH118)</f>
      </c>
      <c r="N118" s="530">
        <f>IF('[1]Tasa de Falla'!II118=0,"",'[1]Tasa de Falla'!II118)</f>
      </c>
      <c r="O118" s="530">
        <f>IF('[1]Tasa de Falla'!IJ118=0,"",'[1]Tasa de Falla'!IJ118)</f>
      </c>
      <c r="P118" s="530">
        <f>IF('[1]Tasa de Falla'!IK118=0,"",'[1]Tasa de Falla'!IK118)</f>
      </c>
      <c r="Q118" s="530">
        <f>IF('[1]Tasa de Falla'!IL118=0,"",'[1]Tasa de Falla'!IL118)</f>
      </c>
      <c r="R118" s="530">
        <f>IF('[1]Tasa de Falla'!IM118=0,"",'[1]Tasa de Falla'!IM118)</f>
      </c>
      <c r="S118" s="531"/>
      <c r="T118" s="528"/>
    </row>
    <row r="119" spans="2:20" s="522" customFormat="1" ht="19.5" customHeight="1">
      <c r="B119" s="523"/>
      <c r="C119" s="529">
        <f>'[1]Tasa de Falla'!C119</f>
        <v>102</v>
      </c>
      <c r="D119" s="529" t="str">
        <f>'[1]Tasa de Falla'!D119</f>
        <v>TABACAL - PICHANAL</v>
      </c>
      <c r="E119" s="529">
        <f>'[1]Tasa de Falla'!E119</f>
        <v>132</v>
      </c>
      <c r="F119" s="529">
        <f>'[1]Tasa de Falla'!F119</f>
        <v>7</v>
      </c>
      <c r="G119" s="530">
        <f>IF('[1]Tasa de Falla'!IB119=0,"",'[1]Tasa de Falla'!IB119)</f>
      </c>
      <c r="H119" s="530">
        <f>IF('[1]Tasa de Falla'!IC119=0,"",'[1]Tasa de Falla'!IC119)</f>
      </c>
      <c r="I119" s="530">
        <f>IF('[1]Tasa de Falla'!ID119=0,"",'[1]Tasa de Falla'!ID119)</f>
      </c>
      <c r="J119" s="530">
        <f>IF('[1]Tasa de Falla'!IE119=0,"",'[1]Tasa de Falla'!IE119)</f>
      </c>
      <c r="K119" s="530">
        <f>IF('[1]Tasa de Falla'!IF119=0,"",'[1]Tasa de Falla'!IF119)</f>
      </c>
      <c r="L119" s="530">
        <f>IF('[1]Tasa de Falla'!IG119=0,"",'[1]Tasa de Falla'!IG119)</f>
      </c>
      <c r="M119" s="530">
        <f>IF('[1]Tasa de Falla'!IH119=0,"",'[1]Tasa de Falla'!IH119)</f>
      </c>
      <c r="N119" s="530">
        <f>IF('[1]Tasa de Falla'!II119=0,"",'[1]Tasa de Falla'!II119)</f>
      </c>
      <c r="O119" s="530">
        <f>IF('[1]Tasa de Falla'!IJ119=0,"",'[1]Tasa de Falla'!IJ119)</f>
      </c>
      <c r="P119" s="530">
        <f>IF('[1]Tasa de Falla'!IK119=0,"",'[1]Tasa de Falla'!IK119)</f>
      </c>
      <c r="Q119" s="530">
        <f>IF('[1]Tasa de Falla'!IL119=0,"",'[1]Tasa de Falla'!IL119)</f>
      </c>
      <c r="R119" s="530">
        <f>IF('[1]Tasa de Falla'!IM119=0,"",'[1]Tasa de Falla'!IM119)</f>
      </c>
      <c r="S119" s="531"/>
      <c r="T119" s="528"/>
    </row>
    <row r="120" spans="2:20" s="522" customFormat="1" ht="19.5" customHeight="1">
      <c r="B120" s="523"/>
      <c r="C120" s="529">
        <f>'[1]Tasa de Falla'!C120</f>
        <v>103</v>
      </c>
      <c r="D120" s="529" t="str">
        <f>'[1]Tasa de Falla'!D120</f>
        <v>ORAN - TABACAL</v>
      </c>
      <c r="E120" s="529">
        <f>'[1]Tasa de Falla'!E120</f>
        <v>132</v>
      </c>
      <c r="F120" s="529">
        <f>'[1]Tasa de Falla'!F120</f>
        <v>10</v>
      </c>
      <c r="G120" s="530">
        <f>IF('[1]Tasa de Falla'!IB120=0,"",'[1]Tasa de Falla'!IB120)</f>
      </c>
      <c r="H120" s="530">
        <f>IF('[1]Tasa de Falla'!IC120=0,"",'[1]Tasa de Falla'!IC120)</f>
      </c>
      <c r="I120" s="530">
        <f>IF('[1]Tasa de Falla'!ID120=0,"",'[1]Tasa de Falla'!ID120)</f>
      </c>
      <c r="J120" s="530">
        <f>IF('[1]Tasa de Falla'!IE120=0,"",'[1]Tasa de Falla'!IE120)</f>
      </c>
      <c r="K120" s="530">
        <f>IF('[1]Tasa de Falla'!IF120=0,"",'[1]Tasa de Falla'!IF120)</f>
      </c>
      <c r="L120" s="530">
        <f>IF('[1]Tasa de Falla'!IG120=0,"",'[1]Tasa de Falla'!IG120)</f>
      </c>
      <c r="M120" s="530">
        <f>IF('[1]Tasa de Falla'!IH120=0,"",'[1]Tasa de Falla'!IH120)</f>
      </c>
      <c r="N120" s="530">
        <f>IF('[1]Tasa de Falla'!II120=0,"",'[1]Tasa de Falla'!II120)</f>
      </c>
      <c r="O120" s="530">
        <f>IF('[1]Tasa de Falla'!IJ120=0,"",'[1]Tasa de Falla'!IJ120)</f>
      </c>
      <c r="P120" s="530">
        <f>IF('[1]Tasa de Falla'!IK120=0,"",'[1]Tasa de Falla'!IK120)</f>
      </c>
      <c r="Q120" s="530">
        <f>IF('[1]Tasa de Falla'!IL120=0,"",'[1]Tasa de Falla'!IL120)</f>
      </c>
      <c r="R120" s="530">
        <f>IF('[1]Tasa de Falla'!IM120=0,"",'[1]Tasa de Falla'!IM120)</f>
      </c>
      <c r="S120" s="531"/>
      <c r="T120" s="528"/>
    </row>
    <row r="121" spans="2:20" s="522" customFormat="1" ht="19.5" customHeight="1">
      <c r="B121" s="523"/>
      <c r="C121" s="529">
        <f>'[1]Tasa de Falla'!C121</f>
        <v>104</v>
      </c>
      <c r="D121" s="529" t="str">
        <f>'[1]Tasa de Falla'!D121</f>
        <v>MONTE QUEMADO -COPO - QUIMILI</v>
      </c>
      <c r="E121" s="529">
        <f>'[1]Tasa de Falla'!E121</f>
        <v>132</v>
      </c>
      <c r="F121" s="529">
        <f>'[1]Tasa de Falla'!F121</f>
        <v>218</v>
      </c>
      <c r="G121" s="530">
        <f>IF('[1]Tasa de Falla'!IB121=0,"",'[1]Tasa de Falla'!IB121)</f>
      </c>
      <c r="H121" s="530">
        <f>IF('[1]Tasa de Falla'!IC121=0,"",'[1]Tasa de Falla'!IC121)</f>
      </c>
      <c r="I121" s="530">
        <f>IF('[1]Tasa de Falla'!ID121=0,"",'[1]Tasa de Falla'!ID121)</f>
      </c>
      <c r="J121" s="530">
        <f>IF('[1]Tasa de Falla'!IE121=0,"",'[1]Tasa de Falla'!IE121)</f>
      </c>
      <c r="K121" s="530">
        <f>IF('[1]Tasa de Falla'!IF121=0,"",'[1]Tasa de Falla'!IF121)</f>
      </c>
      <c r="L121" s="530">
        <f>IF('[1]Tasa de Falla'!IG121=0,"",'[1]Tasa de Falla'!IG121)</f>
      </c>
      <c r="M121" s="530">
        <f>IF('[1]Tasa de Falla'!IH121=0,"",'[1]Tasa de Falla'!IH121)</f>
      </c>
      <c r="N121" s="530">
        <f>IF('[1]Tasa de Falla'!II121=0,"",'[1]Tasa de Falla'!II121)</f>
      </c>
      <c r="O121" s="530">
        <f>IF('[1]Tasa de Falla'!IJ121=0,"",'[1]Tasa de Falla'!IJ121)</f>
      </c>
      <c r="P121" s="530">
        <f>IF('[1]Tasa de Falla'!IK121=0,"",'[1]Tasa de Falla'!IK121)</f>
      </c>
      <c r="Q121" s="530">
        <f>IF('[1]Tasa de Falla'!IL121=0,"",'[1]Tasa de Falla'!IL121)</f>
      </c>
      <c r="R121" s="530">
        <f>IF('[1]Tasa de Falla'!IM121=0,"",'[1]Tasa de Falla'!IM121)</f>
      </c>
      <c r="S121" s="531"/>
      <c r="T121" s="528"/>
    </row>
    <row r="122" spans="2:20" s="522" customFormat="1" ht="19.5" customHeight="1">
      <c r="B122" s="523"/>
      <c r="C122" s="529"/>
      <c r="D122" s="529"/>
      <c r="E122" s="529"/>
      <c r="F122" s="529"/>
      <c r="G122" s="530"/>
      <c r="H122" s="527"/>
      <c r="I122" s="527"/>
      <c r="J122" s="527"/>
      <c r="K122" s="527"/>
      <c r="L122" s="527"/>
      <c r="M122" s="527"/>
      <c r="N122" s="527"/>
      <c r="O122" s="527"/>
      <c r="P122" s="527"/>
      <c r="Q122" s="527"/>
      <c r="R122" s="527"/>
      <c r="S122" s="531"/>
      <c r="T122" s="528"/>
    </row>
    <row r="123" spans="2:20" s="522" customFormat="1" ht="19.5" customHeight="1">
      <c r="B123" s="523"/>
      <c r="C123" s="529"/>
      <c r="D123" s="529"/>
      <c r="E123" s="529"/>
      <c r="F123" s="532"/>
      <c r="G123" s="527"/>
      <c r="H123" s="527"/>
      <c r="I123" s="527"/>
      <c r="J123" s="527"/>
      <c r="K123" s="527"/>
      <c r="L123" s="527"/>
      <c r="M123" s="527"/>
      <c r="N123" s="527"/>
      <c r="O123" s="527"/>
      <c r="P123" s="527"/>
      <c r="Q123" s="527"/>
      <c r="R123" s="527"/>
      <c r="S123" s="531"/>
      <c r="T123" s="528"/>
    </row>
    <row r="124" spans="2:20" s="522" customFormat="1" ht="19.5" customHeight="1" thickBot="1">
      <c r="B124" s="523"/>
      <c r="C124" s="533"/>
      <c r="D124" s="534"/>
      <c r="E124" s="535"/>
      <c r="F124" s="536"/>
      <c r="G124" s="527"/>
      <c r="H124" s="527"/>
      <c r="I124" s="527"/>
      <c r="J124" s="527"/>
      <c r="K124" s="527"/>
      <c r="L124" s="527"/>
      <c r="M124" s="527"/>
      <c r="N124" s="527"/>
      <c r="O124" s="527"/>
      <c r="P124" s="527"/>
      <c r="Q124" s="527"/>
      <c r="R124" s="527"/>
      <c r="S124" s="531"/>
      <c r="T124" s="528"/>
    </row>
    <row r="125" spans="2:20" ht="15" customHeight="1" thickBot="1" thickTop="1">
      <c r="B125" s="510"/>
      <c r="C125" s="83"/>
      <c r="D125" s="537"/>
      <c r="E125" s="538" t="s">
        <v>238</v>
      </c>
      <c r="F125" s="539">
        <f>SUM(F16:F124)-F19-F21-F22-F26-F27-F37-F39-F40-F43-F44-F47-F48-F49-F53-F60-F65-F80-F84-F98-F103-F113</f>
        <v>4455.890000000002</v>
      </c>
      <c r="G125" s="540"/>
      <c r="H125" s="540"/>
      <c r="I125" s="540"/>
      <c r="J125" s="540"/>
      <c r="K125" s="540"/>
      <c r="L125" s="540"/>
      <c r="M125" s="540"/>
      <c r="N125" s="540"/>
      <c r="O125" s="540"/>
      <c r="P125" s="540"/>
      <c r="Q125" s="540"/>
      <c r="R125" s="540"/>
      <c r="S125" s="541"/>
      <c r="T125" s="504"/>
    </row>
    <row r="126" spans="2:20" ht="15" customHeight="1" thickBot="1" thickTop="1">
      <c r="B126" s="510"/>
      <c r="C126" s="6"/>
      <c r="D126" s="542"/>
      <c r="F126" s="543" t="s">
        <v>239</v>
      </c>
      <c r="G126" s="544">
        <f aca="true" t="shared" si="0" ref="G126:R126">SUM(G17:G124)</f>
        <v>2</v>
      </c>
      <c r="H126" s="544">
        <f t="shared" si="0"/>
        <v>23</v>
      </c>
      <c r="I126" s="544">
        <f t="shared" si="0"/>
        <v>23</v>
      </c>
      <c r="J126" s="544">
        <f t="shared" si="0"/>
        <v>14</v>
      </c>
      <c r="K126" s="544">
        <f t="shared" si="0"/>
        <v>12</v>
      </c>
      <c r="L126" s="544">
        <f t="shared" si="0"/>
        <v>22</v>
      </c>
      <c r="M126" s="544">
        <f t="shared" si="0"/>
        <v>35</v>
      </c>
      <c r="N126" s="544">
        <f t="shared" si="0"/>
        <v>26</v>
      </c>
      <c r="O126" s="544">
        <f t="shared" si="0"/>
        <v>11</v>
      </c>
      <c r="P126" s="544">
        <f t="shared" si="0"/>
        <v>1</v>
      </c>
      <c r="Q126" s="544">
        <f t="shared" si="0"/>
        <v>1</v>
      </c>
      <c r="R126" s="544">
        <f t="shared" si="0"/>
        <v>17</v>
      </c>
      <c r="S126" s="545"/>
      <c r="T126" s="504"/>
    </row>
    <row r="127" spans="2:20" ht="19.5" thickBot="1" thickTop="1">
      <c r="B127" s="510"/>
      <c r="C127" s="6"/>
      <c r="D127" s="6"/>
      <c r="E127" s="6"/>
      <c r="F127" s="546" t="s">
        <v>240</v>
      </c>
      <c r="G127" s="547">
        <f>+'[1]Tasa de Falla'!IB129</f>
        <v>2.45</v>
      </c>
      <c r="H127" s="547">
        <f>+'[1]Tasa de Falla'!IC129</f>
        <v>2.24</v>
      </c>
      <c r="I127" s="547">
        <f>+'[1]Tasa de Falla'!ID129</f>
        <v>2.63</v>
      </c>
      <c r="J127" s="547">
        <f>+'[1]Tasa de Falla'!IE129</f>
        <v>2.76</v>
      </c>
      <c r="K127" s="547">
        <f>+'[1]Tasa de Falla'!IF129</f>
        <v>2.94</v>
      </c>
      <c r="L127" s="547">
        <f>+'[1]Tasa de Falla'!IG129</f>
        <v>3.03</v>
      </c>
      <c r="M127" s="547">
        <f>+'[1]Tasa de Falla'!IH129</f>
        <v>3.21</v>
      </c>
      <c r="N127" s="547">
        <f>+'[1]Tasa de Falla'!II129</f>
        <v>3.79</v>
      </c>
      <c r="O127" s="547">
        <f>+'[1]Tasa de Falla'!IJ129</f>
        <v>4.08</v>
      </c>
      <c r="P127" s="547">
        <f>+'[1]Tasa de Falla'!IK129</f>
        <v>4.08</v>
      </c>
      <c r="Q127" s="547">
        <f>+'[1]Tasa de Falla'!IL129</f>
        <v>3.95</v>
      </c>
      <c r="R127" s="547">
        <f>+'[1]Tasa de Falla'!IM129</f>
        <v>3.93</v>
      </c>
      <c r="S127" s="547">
        <f>+'[1]Tasa de Falla'!IN129</f>
        <v>4.2</v>
      </c>
      <c r="T127" s="504"/>
    </row>
    <row r="128" spans="2:21" ht="18.75" customHeight="1" thickBot="1" thickTop="1">
      <c r="B128" s="510"/>
      <c r="C128" s="46"/>
      <c r="D128" s="46"/>
      <c r="E128" s="548"/>
      <c r="F128" s="549"/>
      <c r="G128" s="550"/>
      <c r="H128" s="550"/>
      <c r="I128" s="550"/>
      <c r="J128" s="550"/>
      <c r="K128" s="550"/>
      <c r="L128" s="550"/>
      <c r="M128" s="550"/>
      <c r="N128" s="550"/>
      <c r="O128" s="550"/>
      <c r="P128" s="550"/>
      <c r="Q128" s="550"/>
      <c r="R128" s="550"/>
      <c r="S128" s="550"/>
      <c r="T128" s="551"/>
      <c r="U128" s="552"/>
    </row>
    <row r="129" spans="2:20" ht="19.5" thickBot="1" thickTop="1">
      <c r="B129" s="553"/>
      <c r="C129" s="554" t="s">
        <v>241</v>
      </c>
      <c r="D129" s="46" t="s">
        <v>242</v>
      </c>
      <c r="J129" s="555" t="s">
        <v>243</v>
      </c>
      <c r="K129" s="556"/>
      <c r="L129" s="556"/>
      <c r="M129" s="557">
        <f>S127</f>
        <v>4.2</v>
      </c>
      <c r="N129" s="558" t="s">
        <v>244</v>
      </c>
      <c r="O129" s="558"/>
      <c r="P129" s="558"/>
      <c r="Q129" s="559"/>
      <c r="R129" s="1"/>
      <c r="S129" s="1"/>
      <c r="T129" s="504"/>
    </row>
    <row r="130" spans="2:20" ht="18.75" customHeight="1" thickBot="1">
      <c r="B130" s="560"/>
      <c r="C130" s="561"/>
      <c r="D130" s="92"/>
      <c r="E130" s="92"/>
      <c r="F130" s="562"/>
      <c r="G130" s="563"/>
      <c r="H130" s="563"/>
      <c r="I130" s="563"/>
      <c r="J130" s="563"/>
      <c r="K130" s="563"/>
      <c r="L130" s="563"/>
      <c r="M130" s="563"/>
      <c r="N130" s="563"/>
      <c r="O130" s="563"/>
      <c r="P130" s="563"/>
      <c r="Q130" s="563"/>
      <c r="R130" s="563"/>
      <c r="S130" s="563"/>
      <c r="T130" s="564"/>
    </row>
    <row r="131" spans="2:21" ht="15" customHeight="1" thickTop="1">
      <c r="B131" s="565"/>
      <c r="C131" s="1"/>
      <c r="D131" s="1"/>
      <c r="E131" s="1"/>
      <c r="F131" s="566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12.75">
      <c r="B132" s="567"/>
      <c r="C132" s="568"/>
      <c r="D132" s="568"/>
      <c r="E132" s="568"/>
      <c r="F132" s="568"/>
      <c r="G132" s="568"/>
      <c r="H132" s="568"/>
      <c r="I132" s="568"/>
      <c r="J132" s="568"/>
      <c r="K132" s="568"/>
      <c r="L132" s="568"/>
      <c r="M132" s="568"/>
      <c r="N132" s="568"/>
      <c r="O132" s="568"/>
      <c r="P132" s="568"/>
      <c r="Q132" s="568"/>
      <c r="R132" s="568"/>
      <c r="S132" s="568"/>
      <c r="T132" s="568"/>
      <c r="U132" s="568"/>
    </row>
    <row r="133" ht="12.75">
      <c r="B133" s="569"/>
    </row>
    <row r="134" spans="2:21" ht="22.5" customHeight="1">
      <c r="B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22.5" customHeight="1">
      <c r="B135" s="1"/>
      <c r="C135" s="1"/>
      <c r="D135" s="570"/>
      <c r="E135" s="570"/>
      <c r="F135" s="512"/>
      <c r="G135" s="571"/>
      <c r="H135" s="571"/>
      <c r="I135" s="571"/>
      <c r="J135" s="571"/>
      <c r="K135" s="571"/>
      <c r="L135" s="571"/>
      <c r="M135" s="571"/>
      <c r="N135" s="571"/>
      <c r="O135" s="571"/>
      <c r="P135" s="571"/>
      <c r="Q135" s="571"/>
      <c r="R135" s="571"/>
      <c r="S135" s="571"/>
      <c r="T135" s="571"/>
      <c r="U135" s="571"/>
    </row>
    <row r="136" spans="2:21" ht="22.5" customHeight="1">
      <c r="B136" s="1"/>
      <c r="C136" s="1"/>
      <c r="D136" s="570"/>
      <c r="E136" s="570"/>
      <c r="F136" s="57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22.5" customHeight="1">
      <c r="B137" s="1"/>
      <c r="C137" s="1"/>
      <c r="D137" s="513"/>
      <c r="E137" s="513"/>
      <c r="F137" s="51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22.5" customHeight="1">
      <c r="B138" s="1"/>
      <c r="C138" s="1"/>
      <c r="D138" s="570"/>
      <c r="E138" s="570"/>
      <c r="F138" s="51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</sheetData>
  <sheetProtection/>
  <mergeCells count="2">
    <mergeCell ref="A3:C3"/>
    <mergeCell ref="A4:C4"/>
  </mergeCells>
  <printOptions/>
  <pageMargins left="1.07" right="1.18" top="0.75" bottom="0.75" header="0.3" footer="0.3"/>
  <pageSetup fitToHeight="1" fitToWidth="1" orientation="portrait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AAguirre</cp:lastModifiedBy>
  <cp:lastPrinted>2014-10-14T14:39:13Z</cp:lastPrinted>
  <dcterms:created xsi:type="dcterms:W3CDTF">1998-04-21T14:04:37Z</dcterms:created>
  <dcterms:modified xsi:type="dcterms:W3CDTF">2015-07-01T19:43:52Z</dcterms:modified>
  <cp:category/>
  <cp:version/>
  <cp:contentType/>
  <cp:contentStatus/>
</cp:coreProperties>
</file>