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10" activeTab="0"/>
  </bookViews>
  <sheets>
    <sheet name="TOT-1015" sheetId="1" r:id="rId1"/>
    <sheet name="LI-10 (1)" sheetId="2" r:id="rId2"/>
    <sheet name="T-10 (1)" sheetId="3" r:id="rId3"/>
    <sheet name="SA-10 (1)" sheetId="4" r:id="rId4"/>
  </sheets>
  <definedNames/>
  <calcPr fullCalcOnLoad="1"/>
</workbook>
</file>

<file path=xl/sharedStrings.xml><?xml version="1.0" encoding="utf-8"?>
<sst xmlns="http://schemas.openxmlformats.org/spreadsheetml/2006/main" count="271" uniqueCount="114">
  <si>
    <t>SISTEMA DE TRANSPORTE DE ENERGÍA ELÉCTRICA POR DISTRIBUCIÓN TRONCAL</t>
  </si>
  <si>
    <t>TRANSNEA S.A.</t>
  </si>
  <si>
    <t xml:space="preserve">ENTE NACIONAL REGULADOR </t>
  </si>
  <si>
    <t>DE LA ELECTRICIDAD</t>
  </si>
  <si>
    <t>Sanciones duplicadas por tasa de falla &gt; 4 Sal. x año/100km.</t>
  </si>
  <si>
    <t>1.-</t>
  </si>
  <si>
    <t>LÍNEAS</t>
  </si>
  <si>
    <t>1.1.-</t>
  </si>
  <si>
    <t>Equipamiento propio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</si>
  <si>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</si>
  <si>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</si>
  <si>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</si>
  <si>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</si>
  <si>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</si>
  <si>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</si>
  <si>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</si>
  <si>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TRANSNEA S.A.</t>
  </si>
  <si>
    <t>1.- LÍNEAS</t>
  </si>
  <si>
    <t>1.1.- Líneas propias</t>
  </si>
  <si>
    <t xml:space="preserve">$/100 km-h : LÍNEAS 220 kV </t>
  </si>
  <si>
    <t xml:space="preserve">$/100 km-h : LÍNEAS 132 kV </t>
  </si>
  <si>
    <t>FACTOR DE PENALIZACIÓN K =</t>
  </si>
  <si>
    <t>N°</t>
  </si>
  <si>
    <t>U
[kV]</t>
  </si>
  <si>
    <t>Long.
[km]</t>
  </si>
  <si>
    <t>$/h</t>
  </si>
  <si>
    <t>Salida</t>
  </si>
  <si>
    <t>Entrada</t>
  </si>
  <si>
    <t xml:space="preserve">Hs.
Indisp. 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</si>
  <si>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</si>
  <si>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</si>
  <si>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</si>
  <si>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PENALIZAC.
PROGRAM.</t>
  </si>
  <si>
    <t>REDUCC.
PROGRAM.</t>
  </si>
  <si>
    <t>PENALIZACIÓN FORZADA
Por Salida    1ras. 3 hs.  hs. Restantes</t>
  </si>
  <si>
    <t>REDUCC. FORZADA
Por Salida    1ras. 3 hs.  hs. Restantes</t>
  </si>
  <si>
    <t>RESTANTE
FORZADA</t>
  </si>
  <si>
    <t>REDUCC.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</si>
  <si>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</si>
  <si>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</si>
  <si>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</si>
  <si>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</si>
  <si>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</si>
  <si>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</si>
  <si>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</si>
  <si>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</si>
  <si>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</si>
  <si>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Hs.
Indisp.</t>
  </si>
  <si>
    <t>Mtos.
Indisp.</t>
  </si>
  <si>
    <r>
      <t>Tipo 
Sal.(</t>
    </r>
    <r>
      <rPr>
        <sz val="11"/>
        <rFont val="Wingdings"/>
        <family val="0"/>
      </rPr>
      <t>²</t>
    </r>
    <r>
      <rPr>
        <sz val="11"/>
        <rFont val="MS Sans Serif"/>
        <family val="2"/>
      </rPr>
      <t>)</t>
    </r>
  </si>
  <si>
    <t>AUT.</t>
  </si>
  <si>
    <t>E.N.S.</t>
  </si>
  <si>
    <t>K (P;ENS)</t>
  </si>
  <si>
    <t>PENALIZ.
PROGRAM.</t>
  </si>
  <si>
    <t>PENALIZACIÓN FORZADA
Por Salida    hs. Restantes</t>
  </si>
  <si>
    <t>REDUCC. FORZADA
Por Salida    hs. Restantes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</si>
  <si>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</si>
  <si>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</si>
  <si>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</si>
  <si>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</si>
  <si>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</si>
  <si>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</t>
  </si>
  <si>
    <t>Por Transformador  [$ / h - MVA]  =</t>
  </si>
  <si>
    <t>2.1.1.-</t>
  </si>
  <si>
    <t>2.2.1.-</t>
  </si>
  <si>
    <t>132/33/13,2</t>
  </si>
  <si>
    <t>INDISP</t>
  </si>
  <si>
    <t>ID EQUIPO</t>
  </si>
  <si>
    <t xml:space="preserve"> ENTE NACIONAL REGULADOR </t>
  </si>
  <si>
    <t xml:space="preserve">       DE LA ELECTRICIDAD</t>
  </si>
  <si>
    <t>Desde el 01 al 31 de octubre de 2015</t>
  </si>
  <si>
    <t>STA. CATALINA - RESISTENCIA</t>
  </si>
  <si>
    <t>P</t>
  </si>
  <si>
    <t>SI</t>
  </si>
  <si>
    <t>BARRANQUERAS - CORRIENTES 1</t>
  </si>
  <si>
    <t>F</t>
  </si>
  <si>
    <t>PASO DE LOS LIBRES - URUGUAYANA</t>
  </si>
  <si>
    <t>EL COLORADO - PIRANE</t>
  </si>
  <si>
    <t>CLORINDA - GUARAMBARE</t>
  </si>
  <si>
    <t>BARRANQUERAS</t>
  </si>
  <si>
    <t>TRAFO 7</t>
  </si>
  <si>
    <t>RP</t>
  </si>
  <si>
    <t>BELLA VISTA</t>
  </si>
  <si>
    <t>TRAFO 3</t>
  </si>
  <si>
    <t>132/33/13.2</t>
  </si>
  <si>
    <t>R</t>
  </si>
  <si>
    <t>TRAFO 4</t>
  </si>
  <si>
    <t>0,000</t>
  </si>
  <si>
    <t>TRAFO 1</t>
  </si>
  <si>
    <t>33/13,2</t>
  </si>
  <si>
    <t>TRAFO 2</t>
  </si>
  <si>
    <t>CORRIENTES</t>
  </si>
  <si>
    <t>IBARRETA</t>
  </si>
  <si>
    <t>FORMOSA</t>
  </si>
  <si>
    <t>132/13,2</t>
  </si>
  <si>
    <t>CORRIENTES CENTRO</t>
  </si>
  <si>
    <t>DISTRIBUIDOR 74</t>
  </si>
  <si>
    <t>LINEA CENTRO DISTRIBUCIÓN 6</t>
  </si>
  <si>
    <t>RF</t>
  </si>
  <si>
    <t>S. CATALINA - C. BRUGNE</t>
  </si>
  <si>
    <t>IBARRETA - LAS LOMITAS</t>
  </si>
  <si>
    <t>FORMOSA I - MANSILLA</t>
  </si>
  <si>
    <t>RINCON - VIRASORO  1</t>
  </si>
  <si>
    <t>CLORINDA - LAGUNA BLANCA</t>
  </si>
  <si>
    <t xml:space="preserve"> ENTE NACIONAL REGULADOR</t>
  </si>
  <si>
    <t>LOMITAS</t>
  </si>
  <si>
    <t>LAGUNA BLANCA</t>
  </si>
  <si>
    <t>F - FORZADA  ; RP - REDUCCIÓN PROGRAMADA  ; R - REDUCCIÓN FORZADA</t>
  </si>
  <si>
    <t>P - PROGRAMADA  ; F - FORZADA</t>
  </si>
  <si>
    <t xml:space="preserve">$/100 km-h : LÍNEAS 33 kV </t>
  </si>
  <si>
    <t>P - PROGRAMADA  ; F - FORZADA  ; RF - RESTANTE FORZADA</t>
  </si>
  <si>
    <t xml:space="preserve"> - </t>
  </si>
  <si>
    <t>TOTAL DE PENALIZACIONES A APLICAR</t>
  </si>
  <si>
    <t>ANEXO IV al Memorándum  D.T.E.E.  N° 657/ 2016                            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</si>
</sst>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"/>
    <numFmt numFmtId="182" formatCode="0.0\ \k\V"/>
    <numFmt numFmtId="183" formatCode="0.00\ &quot;km&quot;"/>
    <numFmt numFmtId="184" formatCode="0.00\ &quot;MVA&quot;"/>
    <numFmt numFmtId="185" formatCode="d/m/yy\ h:mm"/>
    <numFmt numFmtId="186" formatCode="&quot;$&quot;\ #,##0.00"/>
    <numFmt numFmtId="187" formatCode="&quot;$&quot;\ #,##0.000"/>
    <numFmt numFmtId="188" formatCode="mmm\-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_)"/>
    <numFmt numFmtId="201" formatCode="dd/mm/yy"/>
    <numFmt numFmtId="202" formatCode="#,##0;[Red]#,##0"/>
    <numFmt numFmtId="203" formatCode="#,##0.000000"/>
    <numFmt numFmtId="204" formatCode="#&quot;.&quot;#&quot;.-&quot;"/>
    <numFmt numFmtId="205" formatCode="#&quot;.&quot;#&quot;.&quot;#&quot;.-&quot;"/>
    <numFmt numFmtId="206" formatCode="&quot;$&quot;#,##0.00;&quot;$&quot;\-#,##0.00"/>
    <numFmt numFmtId="207" formatCode="&quot;$&quot;#,##0.00"/>
    <numFmt numFmtId="208" formatCode="#,##0.00;[Red]#,##0.00"/>
    <numFmt numFmtId="209" formatCode="&quot;$&quot;\ #,##0.0;&quot;$&quot;\ \-#,##0.0"/>
    <numFmt numFmtId="210" formatCode="&quot;$&quot;\ #,##0.0000;&quot;$&quot;\ \-#,##0.0000"/>
    <numFmt numFmtId="211" formatCode="&quot;$&quot;\ #,##0.00000;&quot;$&quot;\ \-#,##0.00000"/>
    <numFmt numFmtId="212" formatCode="&quot;$&quot;\ #,##0.000000;&quot;$&quot;\ \-#,##0.000000"/>
    <numFmt numFmtId="213" formatCode="&quot;$&quot;#,##0.0;&quot;$&quot;\-#,##0.0"/>
    <numFmt numFmtId="214" formatCode="&quot;$&quot;#,##0;&quot;$&quot;\-#,##0"/>
    <numFmt numFmtId="215" formatCode="&quot;$&quot;\ #,##0.0000000;&quot;$&quot;\ \-#,##0.0000000"/>
    <numFmt numFmtId="216" formatCode="d\-m"/>
    <numFmt numFmtId="217" formatCode="dd/mm/\a\a\a\a\ hh:\n\n"/>
    <numFmt numFmtId="218" formatCode="d\-m\-yy\ h:mm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0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1"/>
      <color indexed="12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sz val="11"/>
      <color indexed="47"/>
      <name val="MS Sans Serif"/>
      <family val="2"/>
    </font>
    <font>
      <b/>
      <sz val="10"/>
      <color indexed="47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1"/>
    </font>
    <font>
      <sz val="11"/>
      <color indexed="34"/>
      <name val="MS Sans Serif"/>
      <family val="2"/>
    </font>
    <font>
      <b/>
      <sz val="10"/>
      <color indexed="34"/>
      <name val="Times New Roman"/>
      <family val="1"/>
    </font>
    <font>
      <sz val="11"/>
      <color indexed="60"/>
      <name val="MS Sans Serif"/>
      <family val="2"/>
    </font>
    <font>
      <b/>
      <sz val="10"/>
      <color indexed="60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name val="Wingdings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8" fillId="21" borderId="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94" fillId="0" borderId="8" applyNumberFormat="0" applyFill="0" applyAlignment="0" applyProtection="0"/>
    <xf numFmtId="0" fontId="103" fillId="0" borderId="9" applyNumberFormat="0" applyFill="0" applyAlignment="0" applyProtection="0"/>
  </cellStyleXfs>
  <cellXfs count="4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 quotePrefix="1">
      <alignment horizontal="center"/>
      <protection locked="0"/>
    </xf>
    <xf numFmtId="4" fontId="11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4" fontId="10" fillId="0" borderId="0" xfId="0" applyNumberFormat="1" applyFont="1" applyBorder="1" applyAlignment="1">
      <alignment horizontal="center"/>
    </xf>
    <xf numFmtId="0" fontId="7" fillId="0" borderId="23" xfId="0" applyFont="1" applyFill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 quotePrefix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76" fontId="7" fillId="0" borderId="11" xfId="0" applyNumberFormat="1" applyFont="1" applyFill="1" applyBorder="1" applyAlignment="1" applyProtection="1">
      <alignment horizontal="center"/>
      <protection locked="0"/>
    </xf>
    <xf numFmtId="173" fontId="7" fillId="0" borderId="22" xfId="0" applyNumberFormat="1" applyFont="1" applyBorder="1" applyAlignment="1" applyProtection="1" quotePrefix="1">
      <alignment horizontal="center"/>
      <protection locked="0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7" fontId="8" fillId="0" borderId="2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2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2" fillId="0" borderId="0" xfId="0" applyFont="1" applyFill="1" applyBorder="1" applyAlignment="1" applyProtection="1">
      <alignment horizontal="centerContinuous"/>
      <protection/>
    </xf>
    <xf numFmtId="0" fontId="23" fillId="0" borderId="0" xfId="0" applyNumberFormat="1" applyFont="1" applyAlignment="1">
      <alignment horizontal="left"/>
    </xf>
    <xf numFmtId="0" fontId="29" fillId="0" borderId="0" xfId="0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6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17" fillId="0" borderId="18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 quotePrefix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7" fontId="11" fillId="0" borderId="28" xfId="0" applyNumberFormat="1" applyFont="1" applyBorder="1" applyAlignment="1">
      <alignment horizontal="right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16" fontId="32" fillId="0" borderId="29" xfId="0" applyNumberFormat="1" applyFont="1" applyBorder="1" applyAlignment="1" quotePrefix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 quotePrefix="1">
      <alignment horizontal="centerContinuous"/>
    </xf>
    <xf numFmtId="0" fontId="16" fillId="0" borderId="18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31" xfId="0" applyFont="1" applyFill="1" applyBorder="1" applyAlignment="1" applyProtection="1">
      <alignment horizontal="center"/>
      <protection/>
    </xf>
    <xf numFmtId="172" fontId="0" fillId="0" borderId="29" xfId="0" applyNumberFormat="1" applyFont="1" applyFill="1" applyBorder="1" applyAlignment="1" applyProtection="1">
      <alignment horizontal="center"/>
      <protection/>
    </xf>
    <xf numFmtId="0" fontId="32" fillId="0" borderId="29" xfId="0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 applyProtection="1">
      <alignment horizontal="center" vertical="center"/>
      <protection/>
    </xf>
    <xf numFmtId="0" fontId="32" fillId="0" borderId="29" xfId="0" applyFont="1" applyFill="1" applyBorder="1" applyAlignment="1" applyProtection="1" quotePrefix="1">
      <alignment horizontal="center" vertical="center" wrapText="1"/>
      <protection/>
    </xf>
    <xf numFmtId="0" fontId="32" fillId="0" borderId="2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16" fontId="32" fillId="0" borderId="29" xfId="0" applyNumberFormat="1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>
      <alignment/>
    </xf>
    <xf numFmtId="7" fontId="11" fillId="0" borderId="28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16" fillId="0" borderId="10" xfId="0" applyFont="1" applyBorder="1" applyAlignment="1">
      <alignment horizontal="centerContinuous"/>
    </xf>
    <xf numFmtId="0" fontId="0" fillId="0" borderId="25" xfId="0" applyFont="1" applyBorder="1" applyAlignment="1" applyProtection="1">
      <alignment horizontal="left"/>
      <protection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/>
    </xf>
    <xf numFmtId="179" fontId="31" fillId="0" borderId="3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3" fillId="0" borderId="18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0" fillId="0" borderId="18" xfId="0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7" fontId="14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7" fontId="8" fillId="0" borderId="0" xfId="0" applyNumberFormat="1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 quotePrefix="1">
      <alignment horizontal="center"/>
      <protection/>
    </xf>
    <xf numFmtId="2" fontId="41" fillId="0" borderId="0" xfId="0" applyNumberFormat="1" applyFont="1" applyBorder="1" applyAlignment="1">
      <alignment horizontal="center"/>
    </xf>
    <xf numFmtId="176" fontId="42" fillId="0" borderId="0" xfId="0" applyNumberFormat="1" applyFont="1" applyBorder="1" applyAlignment="1" applyProtection="1" quotePrefix="1">
      <alignment horizontal="center"/>
      <protection/>
    </xf>
    <xf numFmtId="4" fontId="42" fillId="0" borderId="0" xfId="0" applyNumberFormat="1" applyFont="1" applyBorder="1" applyAlignment="1">
      <alignment horizontal="center"/>
    </xf>
    <xf numFmtId="7" fontId="43" fillId="0" borderId="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5" fillId="0" borderId="24" xfId="0" applyFont="1" applyBorder="1" applyAlignment="1" applyProtection="1">
      <alignment horizontal="centerContinuous"/>
      <protection/>
    </xf>
    <xf numFmtId="175" fontId="7" fillId="0" borderId="24" xfId="0" applyNumberFormat="1" applyFont="1" applyBorder="1" applyAlignment="1">
      <alignment horizontal="centerContinuous"/>
    </xf>
    <xf numFmtId="0" fontId="38" fillId="0" borderId="0" xfId="0" applyFont="1" applyFill="1" applyAlignment="1">
      <alignment/>
    </xf>
    <xf numFmtId="0" fontId="38" fillId="0" borderId="1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3" fillId="0" borderId="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Continuous"/>
    </xf>
    <xf numFmtId="0" fontId="44" fillId="33" borderId="29" xfId="0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46" fillId="33" borderId="25" xfId="0" applyFont="1" applyFill="1" applyBorder="1" applyAlignment="1" applyProtection="1">
      <alignment horizontal="centerContinuous" vertical="center" wrapText="1"/>
      <protection/>
    </xf>
    <xf numFmtId="0" fontId="47" fillId="33" borderId="31" xfId="0" applyFont="1" applyFill="1" applyBorder="1" applyAlignment="1">
      <alignment horizontal="centerContinuous"/>
    </xf>
    <xf numFmtId="0" fontId="46" fillId="33" borderId="24" xfId="0" applyFont="1" applyFill="1" applyBorder="1" applyAlignment="1">
      <alignment horizontal="centerContinuous" vertical="center"/>
    </xf>
    <xf numFmtId="7" fontId="14" fillId="0" borderId="29" xfId="0" applyNumberFormat="1" applyFont="1" applyBorder="1" applyAlignment="1">
      <alignment horizontal="right"/>
    </xf>
    <xf numFmtId="7" fontId="14" fillId="0" borderId="29" xfId="0" applyNumberFormat="1" applyFont="1" applyFill="1" applyBorder="1" applyAlignment="1">
      <alignment horizontal="right"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176" fontId="51" fillId="33" borderId="11" xfId="0" applyNumberFormat="1" applyFont="1" applyFill="1" applyBorder="1" applyAlignment="1" applyProtection="1">
      <alignment horizontal="center"/>
      <protection/>
    </xf>
    <xf numFmtId="176" fontId="51" fillId="33" borderId="12" xfId="0" applyNumberFormat="1" applyFont="1" applyFill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52" fillId="34" borderId="29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/>
    </xf>
    <xf numFmtId="2" fontId="53" fillId="34" borderId="29" xfId="0" applyNumberFormat="1" applyFont="1" applyFill="1" applyBorder="1" applyAlignment="1">
      <alignment horizontal="center"/>
    </xf>
    <xf numFmtId="176" fontId="53" fillId="34" borderId="29" xfId="0" applyNumberFormat="1" applyFont="1" applyFill="1" applyBorder="1" applyAlignment="1" applyProtection="1" quotePrefix="1">
      <alignment horizontal="center"/>
      <protection/>
    </xf>
    <xf numFmtId="0" fontId="54" fillId="35" borderId="29" xfId="0" applyFont="1" applyFill="1" applyBorder="1" applyAlignment="1">
      <alignment horizontal="center" vertical="center" wrapText="1"/>
    </xf>
    <xf numFmtId="2" fontId="55" fillId="35" borderId="29" xfId="0" applyNumberFormat="1" applyFont="1" applyFill="1" applyBorder="1" applyAlignment="1">
      <alignment horizontal="center"/>
    </xf>
    <xf numFmtId="176" fontId="55" fillId="35" borderId="29" xfId="0" applyNumberFormat="1" applyFont="1" applyFill="1" applyBorder="1" applyAlignment="1" applyProtection="1" quotePrefix="1">
      <alignment horizontal="center"/>
      <protection/>
    </xf>
    <xf numFmtId="0" fontId="55" fillId="35" borderId="22" xfId="0" applyFont="1" applyFill="1" applyBorder="1" applyAlignment="1">
      <alignment/>
    </xf>
    <xf numFmtId="2" fontId="55" fillId="35" borderId="22" xfId="0" applyNumberFormat="1" applyFont="1" applyFill="1" applyBorder="1" applyAlignment="1">
      <alignment horizontal="center"/>
    </xf>
    <xf numFmtId="0" fontId="55" fillId="35" borderId="13" xfId="0" applyFont="1" applyFill="1" applyBorder="1" applyAlignment="1">
      <alignment/>
    </xf>
    <xf numFmtId="176" fontId="55" fillId="35" borderId="33" xfId="0" applyNumberFormat="1" applyFont="1" applyFill="1" applyBorder="1" applyAlignment="1" applyProtection="1" quotePrefix="1">
      <alignment horizontal="center"/>
      <protection/>
    </xf>
    <xf numFmtId="0" fontId="49" fillId="33" borderId="34" xfId="0" applyFont="1" applyFill="1" applyBorder="1" applyAlignment="1">
      <alignment horizontal="center"/>
    </xf>
    <xf numFmtId="0" fontId="49" fillId="33" borderId="35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33" borderId="36" xfId="0" applyFont="1" applyFill="1" applyBorder="1" applyAlignment="1">
      <alignment horizontal="center"/>
    </xf>
    <xf numFmtId="0" fontId="49" fillId="33" borderId="37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176" fontId="49" fillId="33" borderId="36" xfId="0" applyNumberFormat="1" applyFont="1" applyFill="1" applyBorder="1" applyAlignment="1" applyProtection="1" quotePrefix="1">
      <alignment horizontal="center"/>
      <protection/>
    </xf>
    <xf numFmtId="176" fontId="49" fillId="33" borderId="37" xfId="0" applyNumberFormat="1" applyFont="1" applyFill="1" applyBorder="1" applyAlignment="1" applyProtection="1" quotePrefix="1">
      <alignment horizontal="center"/>
      <protection/>
    </xf>
    <xf numFmtId="4" fontId="49" fillId="33" borderId="27" xfId="0" applyNumberFormat="1" applyFont="1" applyFill="1" applyBorder="1" applyAlignment="1">
      <alignment horizontal="center"/>
    </xf>
    <xf numFmtId="176" fontId="49" fillId="33" borderId="38" xfId="0" applyNumberFormat="1" applyFont="1" applyFill="1" applyBorder="1" applyAlignment="1" applyProtection="1" quotePrefix="1">
      <alignment horizontal="center"/>
      <protection/>
    </xf>
    <xf numFmtId="4" fontId="49" fillId="33" borderId="39" xfId="0" applyNumberFormat="1" applyFont="1" applyFill="1" applyBorder="1" applyAlignment="1">
      <alignment horizontal="center"/>
    </xf>
    <xf numFmtId="4" fontId="49" fillId="33" borderId="40" xfId="0" applyNumberFormat="1" applyFont="1" applyFill="1" applyBorder="1" applyAlignment="1">
      <alignment horizontal="center"/>
    </xf>
    <xf numFmtId="176" fontId="49" fillId="33" borderId="29" xfId="0" applyNumberFormat="1" applyFont="1" applyFill="1" applyBorder="1" applyAlignment="1" applyProtection="1" quotePrefix="1">
      <alignment horizontal="center"/>
      <protection/>
    </xf>
    <xf numFmtId="0" fontId="56" fillId="36" borderId="25" xfId="0" applyFont="1" applyFill="1" applyBorder="1" applyAlignment="1" applyProtection="1">
      <alignment horizontal="centerContinuous" vertical="center" wrapText="1"/>
      <protection/>
    </xf>
    <xf numFmtId="0" fontId="56" fillId="36" borderId="31" xfId="0" applyFont="1" applyFill="1" applyBorder="1" applyAlignment="1">
      <alignment horizontal="centerContinuous" vertical="center"/>
    </xf>
    <xf numFmtId="0" fontId="56" fillId="36" borderId="24" xfId="0" applyFont="1" applyFill="1" applyBorder="1" applyAlignment="1">
      <alignment horizontal="centerContinuous" vertical="center"/>
    </xf>
    <xf numFmtId="0" fontId="57" fillId="36" borderId="34" xfId="0" applyFont="1" applyFill="1" applyBorder="1" applyAlignment="1">
      <alignment/>
    </xf>
    <xf numFmtId="0" fontId="57" fillId="36" borderId="41" xfId="0" applyFont="1" applyFill="1" applyBorder="1" applyAlignment="1">
      <alignment/>
    </xf>
    <xf numFmtId="0" fontId="57" fillId="36" borderId="42" xfId="0" applyFont="1" applyFill="1" applyBorder="1" applyAlignment="1">
      <alignment/>
    </xf>
    <xf numFmtId="0" fontId="57" fillId="36" borderId="36" xfId="0" applyFont="1" applyFill="1" applyBorder="1" applyAlignment="1">
      <alignment/>
    </xf>
    <xf numFmtId="0" fontId="57" fillId="36" borderId="43" xfId="0" applyFont="1" applyFill="1" applyBorder="1" applyAlignment="1">
      <alignment/>
    </xf>
    <xf numFmtId="0" fontId="57" fillId="36" borderId="44" xfId="0" applyFont="1" applyFill="1" applyBorder="1" applyAlignment="1">
      <alignment/>
    </xf>
    <xf numFmtId="176" fontId="57" fillId="36" borderId="36" xfId="0" applyNumberFormat="1" applyFont="1" applyFill="1" applyBorder="1" applyAlignment="1" applyProtection="1" quotePrefix="1">
      <alignment horizontal="center"/>
      <protection/>
    </xf>
    <xf numFmtId="176" fontId="57" fillId="36" borderId="37" xfId="0" applyNumberFormat="1" applyFont="1" applyFill="1" applyBorder="1" applyAlignment="1" applyProtection="1" quotePrefix="1">
      <alignment horizontal="center"/>
      <protection/>
    </xf>
    <xf numFmtId="4" fontId="57" fillId="36" borderId="27" xfId="0" applyNumberFormat="1" applyFont="1" applyFill="1" applyBorder="1" applyAlignment="1">
      <alignment horizontal="center"/>
    </xf>
    <xf numFmtId="4" fontId="57" fillId="36" borderId="38" xfId="0" applyNumberFormat="1" applyFont="1" applyFill="1" applyBorder="1" applyAlignment="1">
      <alignment horizontal="center"/>
    </xf>
    <xf numFmtId="4" fontId="57" fillId="36" borderId="45" xfId="0" applyNumberFormat="1" applyFont="1" applyFill="1" applyBorder="1" applyAlignment="1">
      <alignment horizontal="center"/>
    </xf>
    <xf numFmtId="4" fontId="57" fillId="36" borderId="46" xfId="0" applyNumberFormat="1" applyFont="1" applyFill="1" applyBorder="1" applyAlignment="1">
      <alignment horizontal="center"/>
    </xf>
    <xf numFmtId="176" fontId="57" fillId="36" borderId="29" xfId="0" applyNumberFormat="1" applyFont="1" applyFill="1" applyBorder="1" applyAlignment="1" applyProtection="1" quotePrefix="1">
      <alignment horizontal="center"/>
      <protection/>
    </xf>
    <xf numFmtId="0" fontId="58" fillId="37" borderId="29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/>
    </xf>
    <xf numFmtId="0" fontId="59" fillId="37" borderId="11" xfId="0" applyFont="1" applyFill="1" applyBorder="1" applyAlignment="1">
      <alignment/>
    </xf>
    <xf numFmtId="4" fontId="59" fillId="37" borderId="11" xfId="0" applyNumberFormat="1" applyFont="1" applyFill="1" applyBorder="1" applyAlignment="1">
      <alignment horizontal="center"/>
    </xf>
    <xf numFmtId="4" fontId="59" fillId="37" borderId="12" xfId="0" applyNumberFormat="1" applyFont="1" applyFill="1" applyBorder="1" applyAlignment="1">
      <alignment horizontal="center"/>
    </xf>
    <xf numFmtId="176" fontId="59" fillId="37" borderId="29" xfId="0" applyNumberFormat="1" applyFont="1" applyFill="1" applyBorder="1" applyAlignment="1" applyProtection="1" quotePrefix="1">
      <alignment horizontal="center"/>
      <protection/>
    </xf>
    <xf numFmtId="0" fontId="56" fillId="38" borderId="29" xfId="0" applyFont="1" applyFill="1" applyBorder="1" applyAlignment="1">
      <alignment horizontal="center" vertical="center" wrapText="1"/>
    </xf>
    <xf numFmtId="0" fontId="57" fillId="38" borderId="13" xfId="0" applyFont="1" applyFill="1" applyBorder="1" applyAlignment="1">
      <alignment/>
    </xf>
    <xf numFmtId="0" fontId="57" fillId="38" borderId="11" xfId="0" applyFont="1" applyFill="1" applyBorder="1" applyAlignment="1">
      <alignment/>
    </xf>
    <xf numFmtId="4" fontId="57" fillId="38" borderId="11" xfId="0" applyNumberFormat="1" applyFont="1" applyFill="1" applyBorder="1" applyAlignment="1">
      <alignment horizontal="center"/>
    </xf>
    <xf numFmtId="4" fontId="57" fillId="38" borderId="12" xfId="0" applyNumberFormat="1" applyFont="1" applyFill="1" applyBorder="1" applyAlignment="1">
      <alignment horizontal="center"/>
    </xf>
    <xf numFmtId="176" fontId="57" fillId="38" borderId="29" xfId="0" applyNumberFormat="1" applyFont="1" applyFill="1" applyBorder="1" applyAlignment="1" applyProtection="1" quotePrefix="1">
      <alignment horizontal="center"/>
      <protection/>
    </xf>
    <xf numFmtId="0" fontId="51" fillId="33" borderId="12" xfId="0" applyFont="1" applyFill="1" applyBorder="1" applyAlignment="1">
      <alignment/>
    </xf>
    <xf numFmtId="176" fontId="7" fillId="0" borderId="11" xfId="0" applyNumberFormat="1" applyFont="1" applyFill="1" applyBorder="1" applyAlignment="1" applyProtection="1" quotePrefix="1">
      <alignment horizontal="center"/>
      <protection locked="0"/>
    </xf>
    <xf numFmtId="0" fontId="45" fillId="36" borderId="29" xfId="0" applyFont="1" applyFill="1" applyBorder="1" applyAlignment="1" applyProtection="1">
      <alignment horizontal="center" vertical="center"/>
      <protection/>
    </xf>
    <xf numFmtId="0" fontId="48" fillId="36" borderId="13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4" fontId="48" fillId="36" borderId="11" xfId="0" applyNumberFormat="1" applyFont="1" applyFill="1" applyBorder="1" applyAlignment="1" applyProtection="1">
      <alignment horizontal="center"/>
      <protection/>
    </xf>
    <xf numFmtId="0" fontId="48" fillId="36" borderId="12" xfId="0" applyFont="1" applyFill="1" applyBorder="1" applyAlignment="1">
      <alignment/>
    </xf>
    <xf numFmtId="0" fontId="54" fillId="39" borderId="29" xfId="0" applyFont="1" applyFill="1" applyBorder="1" applyAlignment="1">
      <alignment horizontal="center" vertical="center" wrapText="1"/>
    </xf>
    <xf numFmtId="0" fontId="55" fillId="39" borderId="13" xfId="0" applyFont="1" applyFill="1" applyBorder="1" applyAlignment="1">
      <alignment/>
    </xf>
    <xf numFmtId="0" fontId="55" fillId="39" borderId="11" xfId="0" applyFont="1" applyFill="1" applyBorder="1" applyAlignment="1">
      <alignment/>
    </xf>
    <xf numFmtId="2" fontId="55" fillId="39" borderId="11" xfId="0" applyNumberFormat="1" applyFont="1" applyFill="1" applyBorder="1" applyAlignment="1">
      <alignment horizontal="center"/>
    </xf>
    <xf numFmtId="0" fontId="55" fillId="39" borderId="12" xfId="0" applyFont="1" applyFill="1" applyBorder="1" applyAlignment="1">
      <alignment/>
    </xf>
    <xf numFmtId="7" fontId="55" fillId="39" borderId="29" xfId="0" applyNumberFormat="1" applyFont="1" applyFill="1" applyBorder="1" applyAlignment="1">
      <alignment horizontal="center"/>
    </xf>
    <xf numFmtId="0" fontId="60" fillId="40" borderId="29" xfId="0" applyFont="1" applyFill="1" applyBorder="1" applyAlignment="1">
      <alignment horizontal="center" vertical="center" wrapText="1"/>
    </xf>
    <xf numFmtId="0" fontId="61" fillId="40" borderId="13" xfId="0" applyFont="1" applyFill="1" applyBorder="1" applyAlignment="1">
      <alignment/>
    </xf>
    <xf numFmtId="0" fontId="61" fillId="40" borderId="11" xfId="0" applyFont="1" applyFill="1" applyBorder="1" applyAlignment="1">
      <alignment/>
    </xf>
    <xf numFmtId="2" fontId="61" fillId="40" borderId="11" xfId="0" applyNumberFormat="1" applyFont="1" applyFill="1" applyBorder="1" applyAlignment="1">
      <alignment horizontal="center"/>
    </xf>
    <xf numFmtId="0" fontId="61" fillId="40" borderId="47" xfId="0" applyFont="1" applyFill="1" applyBorder="1" applyAlignment="1">
      <alignment/>
    </xf>
    <xf numFmtId="7" fontId="61" fillId="40" borderId="29" xfId="0" applyNumberFormat="1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62" fillId="41" borderId="25" xfId="0" applyFont="1" applyFill="1" applyBorder="1" applyAlignment="1" applyProtection="1">
      <alignment horizontal="centerContinuous" vertical="center" wrapText="1"/>
      <protection/>
    </xf>
    <xf numFmtId="0" fontId="62" fillId="41" borderId="24" xfId="0" applyFont="1" applyFill="1" applyBorder="1" applyAlignment="1">
      <alignment horizontal="centerContinuous" vertical="center"/>
    </xf>
    <xf numFmtId="0" fontId="63" fillId="41" borderId="34" xfId="0" applyFont="1" applyFill="1" applyBorder="1" applyAlignment="1">
      <alignment horizontal="center"/>
    </xf>
    <xf numFmtId="0" fontId="63" fillId="41" borderId="26" xfId="0" applyFont="1" applyFill="1" applyBorder="1" applyAlignment="1">
      <alignment/>
    </xf>
    <xf numFmtId="0" fontId="63" fillId="41" borderId="36" xfId="0" applyFont="1" applyFill="1" applyBorder="1" applyAlignment="1">
      <alignment horizontal="center"/>
    </xf>
    <xf numFmtId="0" fontId="63" fillId="41" borderId="27" xfId="0" applyFont="1" applyFill="1" applyBorder="1" applyAlignment="1">
      <alignment/>
    </xf>
    <xf numFmtId="176" fontId="63" fillId="41" borderId="36" xfId="0" applyNumberFormat="1" applyFont="1" applyFill="1" applyBorder="1" applyAlignment="1" applyProtection="1" quotePrefix="1">
      <alignment horizontal="center"/>
      <protection/>
    </xf>
    <xf numFmtId="176" fontId="63" fillId="41" borderId="44" xfId="0" applyNumberFormat="1" applyFont="1" applyFill="1" applyBorder="1" applyAlignment="1" applyProtection="1" quotePrefix="1">
      <alignment horizontal="center"/>
      <protection/>
    </xf>
    <xf numFmtId="7" fontId="63" fillId="41" borderId="29" xfId="0" applyNumberFormat="1" applyFont="1" applyFill="1" applyBorder="1" applyAlignment="1">
      <alignment horizontal="center"/>
    </xf>
    <xf numFmtId="0" fontId="54" fillId="42" borderId="25" xfId="0" applyFont="1" applyFill="1" applyBorder="1" applyAlignment="1" applyProtection="1">
      <alignment horizontal="centerContinuous" vertical="center" wrapText="1"/>
      <protection/>
    </xf>
    <xf numFmtId="0" fontId="55" fillId="42" borderId="34" xfId="0" applyFont="1" applyFill="1" applyBorder="1" applyAlignment="1">
      <alignment/>
    </xf>
    <xf numFmtId="0" fontId="55" fillId="42" borderId="42" xfId="0" applyFont="1" applyFill="1" applyBorder="1" applyAlignment="1">
      <alignment/>
    </xf>
    <xf numFmtId="0" fontId="55" fillId="42" borderId="48" xfId="0" applyFont="1" applyFill="1" applyBorder="1" applyAlignment="1">
      <alignment/>
    </xf>
    <xf numFmtId="0" fontId="55" fillId="42" borderId="49" xfId="0" applyFont="1" applyFill="1" applyBorder="1" applyAlignment="1">
      <alignment/>
    </xf>
    <xf numFmtId="176" fontId="55" fillId="42" borderId="48" xfId="0" applyNumberFormat="1" applyFont="1" applyFill="1" applyBorder="1" applyAlignment="1" applyProtection="1" quotePrefix="1">
      <alignment horizontal="center"/>
      <protection/>
    </xf>
    <xf numFmtId="176" fontId="55" fillId="42" borderId="49" xfId="0" applyNumberFormat="1" applyFont="1" applyFill="1" applyBorder="1" applyAlignment="1" applyProtection="1" quotePrefix="1">
      <alignment horizontal="center"/>
      <protection/>
    </xf>
    <xf numFmtId="176" fontId="55" fillId="42" borderId="50" xfId="0" applyNumberFormat="1" applyFont="1" applyFill="1" applyBorder="1" applyAlignment="1" applyProtection="1" quotePrefix="1">
      <alignment horizontal="center"/>
      <protection/>
    </xf>
    <xf numFmtId="176" fontId="55" fillId="42" borderId="51" xfId="0" applyNumberFormat="1" applyFont="1" applyFill="1" applyBorder="1" applyAlignment="1" applyProtection="1" quotePrefix="1">
      <alignment horizontal="center"/>
      <protection/>
    </xf>
    <xf numFmtId="7" fontId="55" fillId="42" borderId="29" xfId="0" applyNumberFormat="1" applyFont="1" applyFill="1" applyBorder="1" applyAlignment="1">
      <alignment horizontal="center"/>
    </xf>
    <xf numFmtId="0" fontId="56" fillId="43" borderId="29" xfId="0" applyFont="1" applyFill="1" applyBorder="1" applyAlignment="1">
      <alignment horizontal="center"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61" fillId="35" borderId="26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176" fontId="61" fillId="35" borderId="49" xfId="0" applyNumberFormat="1" applyFont="1" applyFill="1" applyBorder="1" applyAlignment="1" applyProtection="1" quotePrefix="1">
      <alignment horizontal="center"/>
      <protection/>
    </xf>
    <xf numFmtId="176" fontId="61" fillId="35" borderId="40" xfId="0" applyNumberFormat="1" applyFont="1" applyFill="1" applyBorder="1" applyAlignment="1" applyProtection="1" quotePrefix="1">
      <alignment horizontal="center"/>
      <protection/>
    </xf>
    <xf numFmtId="0" fontId="57" fillId="43" borderId="13" xfId="0" applyFont="1" applyFill="1" applyBorder="1" applyAlignment="1">
      <alignment/>
    </xf>
    <xf numFmtId="0" fontId="57" fillId="43" borderId="11" xfId="0" applyFont="1" applyFill="1" applyBorder="1" applyAlignment="1">
      <alignment/>
    </xf>
    <xf numFmtId="176" fontId="57" fillId="43" borderId="11" xfId="0" applyNumberFormat="1" applyFont="1" applyFill="1" applyBorder="1" applyAlignment="1" applyProtection="1" quotePrefix="1">
      <alignment horizontal="center"/>
      <protection/>
    </xf>
    <xf numFmtId="176" fontId="57" fillId="43" borderId="12" xfId="0" applyNumberFormat="1" applyFont="1" applyFill="1" applyBorder="1" applyAlignment="1" applyProtection="1" quotePrefix="1">
      <alignment horizontal="center"/>
      <protection/>
    </xf>
    <xf numFmtId="0" fontId="54" fillId="42" borderId="24" xfId="0" applyFont="1" applyFill="1" applyBorder="1" applyAlignment="1">
      <alignment horizontal="centerContinuous" vertical="center"/>
    </xf>
    <xf numFmtId="7" fontId="57" fillId="43" borderId="29" xfId="0" applyNumberFormat="1" applyFont="1" applyFill="1" applyBorder="1" applyAlignment="1">
      <alignment horizontal="center"/>
    </xf>
    <xf numFmtId="7" fontId="61" fillId="35" borderId="29" xfId="0" applyNumberFormat="1" applyFont="1" applyFill="1" applyBorder="1" applyAlignment="1">
      <alignment horizontal="center"/>
    </xf>
    <xf numFmtId="176" fontId="63" fillId="41" borderId="46" xfId="0" applyNumberFormat="1" applyFont="1" applyFill="1" applyBorder="1" applyAlignment="1" applyProtection="1" quotePrefix="1">
      <alignment horizontal="center"/>
      <protection/>
    </xf>
    <xf numFmtId="176" fontId="63" fillId="41" borderId="38" xfId="0" applyNumberFormat="1" applyFont="1" applyFill="1" applyBorder="1" applyAlignment="1" applyProtection="1" quotePrefix="1">
      <alignment horizontal="center"/>
      <protection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centerContinuous"/>
    </xf>
    <xf numFmtId="0" fontId="7" fillId="0" borderId="22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180" fontId="10" fillId="0" borderId="22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/>
    </xf>
    <xf numFmtId="172" fontId="7" fillId="0" borderId="22" xfId="0" applyNumberFormat="1" applyFont="1" applyFill="1" applyBorder="1" applyAlignment="1" applyProtection="1" quotePrefix="1">
      <alignment horizontal="center"/>
      <protection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 quotePrefix="1">
      <alignment horizontal="center"/>
      <protection locked="0"/>
    </xf>
    <xf numFmtId="4" fontId="11" fillId="0" borderId="22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172" fontId="48" fillId="33" borderId="22" xfId="0" applyNumberFormat="1" applyFont="1" applyFill="1" applyBorder="1" applyAlignment="1" applyProtection="1">
      <alignment horizontal="center"/>
      <protection/>
    </xf>
    <xf numFmtId="0" fontId="48" fillId="33" borderId="33" xfId="0" applyFont="1" applyFill="1" applyBorder="1" applyAlignment="1">
      <alignment/>
    </xf>
    <xf numFmtId="0" fontId="56" fillId="42" borderId="29" xfId="0" applyFont="1" applyFill="1" applyBorder="1" applyAlignment="1">
      <alignment horizontal="center" vertical="center" wrapText="1"/>
    </xf>
    <xf numFmtId="0" fontId="57" fillId="42" borderId="13" xfId="0" applyFont="1" applyFill="1" applyBorder="1" applyAlignment="1">
      <alignment horizontal="center"/>
    </xf>
    <xf numFmtId="0" fontId="57" fillId="42" borderId="22" xfId="0" applyFont="1" applyFill="1" applyBorder="1" applyAlignment="1">
      <alignment horizontal="center"/>
    </xf>
    <xf numFmtId="2" fontId="57" fillId="42" borderId="22" xfId="0" applyNumberFormat="1" applyFont="1" applyFill="1" applyBorder="1" applyAlignment="1">
      <alignment horizontal="center"/>
    </xf>
    <xf numFmtId="0" fontId="57" fillId="42" borderId="33" xfId="0" applyFont="1" applyFill="1" applyBorder="1" applyAlignment="1">
      <alignment/>
    </xf>
    <xf numFmtId="2" fontId="57" fillId="42" borderId="29" xfId="0" applyNumberFormat="1" applyFont="1" applyFill="1" applyBorder="1" applyAlignment="1">
      <alignment horizontal="center"/>
    </xf>
    <xf numFmtId="0" fontId="54" fillId="35" borderId="25" xfId="0" applyFont="1" applyFill="1" applyBorder="1" applyAlignment="1" applyProtection="1">
      <alignment horizontal="centerContinuous" vertical="center" wrapText="1"/>
      <protection/>
    </xf>
    <xf numFmtId="0" fontId="31" fillId="35" borderId="24" xfId="0" applyFont="1" applyFill="1" applyBorder="1" applyAlignment="1">
      <alignment horizontal="centerContinuous"/>
    </xf>
    <xf numFmtId="176" fontId="55" fillId="35" borderId="34" xfId="0" applyNumberFormat="1" applyFont="1" applyFill="1" applyBorder="1" applyAlignment="1" applyProtection="1" quotePrefix="1">
      <alignment horizontal="center"/>
      <protection/>
    </xf>
    <xf numFmtId="176" fontId="55" fillId="35" borderId="42" xfId="0" applyNumberFormat="1" applyFont="1" applyFill="1" applyBorder="1" applyAlignment="1" applyProtection="1" quotePrefix="1">
      <alignment horizontal="center"/>
      <protection/>
    </xf>
    <xf numFmtId="176" fontId="55" fillId="35" borderId="48" xfId="0" applyNumberFormat="1" applyFont="1" applyFill="1" applyBorder="1" applyAlignment="1" applyProtection="1" quotePrefix="1">
      <alignment horizontal="center"/>
      <protection/>
    </xf>
    <xf numFmtId="176" fontId="55" fillId="35" borderId="49" xfId="0" applyNumberFormat="1" applyFont="1" applyFill="1" applyBorder="1" applyAlignment="1" applyProtection="1" quotePrefix="1">
      <alignment horizontal="center"/>
      <protection/>
    </xf>
    <xf numFmtId="176" fontId="55" fillId="35" borderId="50" xfId="0" applyNumberFormat="1" applyFont="1" applyFill="1" applyBorder="1" applyAlignment="1" applyProtection="1" quotePrefix="1">
      <alignment horizontal="center"/>
      <protection/>
    </xf>
    <xf numFmtId="176" fontId="55" fillId="35" borderId="51" xfId="0" applyNumberFormat="1" applyFont="1" applyFill="1" applyBorder="1" applyAlignment="1" applyProtection="1" quotePrefix="1">
      <alignment horizontal="center"/>
      <protection/>
    </xf>
    <xf numFmtId="176" fontId="55" fillId="39" borderId="13" xfId="0" applyNumberFormat="1" applyFont="1" applyFill="1" applyBorder="1" applyAlignment="1" applyProtection="1" quotePrefix="1">
      <alignment horizontal="center"/>
      <protection/>
    </xf>
    <xf numFmtId="176" fontId="55" fillId="39" borderId="22" xfId="0" applyNumberFormat="1" applyFont="1" applyFill="1" applyBorder="1" applyAlignment="1" applyProtection="1" quotePrefix="1">
      <alignment horizontal="center"/>
      <protection/>
    </xf>
    <xf numFmtId="176" fontId="55" fillId="39" borderId="33" xfId="0" applyNumberFormat="1" applyFont="1" applyFill="1" applyBorder="1" applyAlignment="1" applyProtection="1" quotePrefix="1">
      <alignment horizontal="center"/>
      <protection/>
    </xf>
    <xf numFmtId="2" fontId="55" fillId="39" borderId="29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179" fontId="51" fillId="33" borderId="22" xfId="0" applyNumberFormat="1" applyFont="1" applyFill="1" applyBorder="1" applyAlignment="1" applyProtection="1">
      <alignment horizontal="center"/>
      <protection/>
    </xf>
    <xf numFmtId="0" fontId="51" fillId="33" borderId="33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50" fillId="0" borderId="16" xfId="0" applyFont="1" applyBorder="1" applyAlignment="1">
      <alignment/>
    </xf>
    <xf numFmtId="7" fontId="19" fillId="0" borderId="13" xfId="0" applyNumberFormat="1" applyFont="1" applyFill="1" applyBorder="1" applyAlignment="1">
      <alignment/>
    </xf>
    <xf numFmtId="7" fontId="11" fillId="0" borderId="13" xfId="0" applyNumberFormat="1" applyFont="1" applyFill="1" applyBorder="1" applyAlignment="1">
      <alignment/>
    </xf>
    <xf numFmtId="7" fontId="11" fillId="0" borderId="13" xfId="0" applyNumberFormat="1" applyFont="1" applyBorder="1" applyAlignment="1">
      <alignment/>
    </xf>
    <xf numFmtId="0" fontId="11" fillId="0" borderId="52" xfId="0" applyFont="1" applyFill="1" applyBorder="1" applyAlignment="1">
      <alignment horizontal="right"/>
    </xf>
    <xf numFmtId="0" fontId="65" fillId="0" borderId="0" xfId="0" applyFont="1" applyAlignment="1">
      <alignment horizontal="right" vertical="top"/>
    </xf>
    <xf numFmtId="0" fontId="65" fillId="0" borderId="0" xfId="0" applyFont="1" applyFill="1" applyAlignment="1">
      <alignment horizontal="right" vertical="top"/>
    </xf>
    <xf numFmtId="181" fontId="0" fillId="0" borderId="29" xfId="0" applyNumberFormat="1" applyFont="1" applyFill="1" applyBorder="1" applyAlignment="1">
      <alignment horizontal="center"/>
    </xf>
    <xf numFmtId="0" fontId="16" fillId="0" borderId="18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 locked="0"/>
    </xf>
    <xf numFmtId="2" fontId="7" fillId="0" borderId="33" xfId="0" applyNumberFormat="1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Continuous"/>
      <protection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172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73" fontId="7" fillId="0" borderId="22" xfId="0" applyNumberFormat="1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/>
      <protection/>
    </xf>
    <xf numFmtId="179" fontId="0" fillId="0" borderId="32" xfId="0" applyNumberFormat="1" applyFont="1" applyBorder="1" applyAlignment="1" applyProtection="1">
      <alignment horizontal="center"/>
      <protection/>
    </xf>
    <xf numFmtId="181" fontId="0" fillId="0" borderId="25" xfId="0" applyNumberFormat="1" applyFont="1" applyBorder="1" applyAlignment="1" applyProtection="1">
      <alignment horizontal="centerContinuous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257175</xdr:colOff>
      <xdr:row>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810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3</xdr:col>
      <xdr:colOff>180975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209550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5"/>
  <sheetViews>
    <sheetView tabSelected="1"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2.421875" style="8" customWidth="1"/>
    <col min="4" max="4" width="10.7109375" style="8" customWidth="1"/>
    <col min="5" max="5" width="13.57421875" style="8" customWidth="1"/>
    <col min="6" max="7" width="20.7109375" style="8" customWidth="1"/>
    <col min="8" max="8" width="12.00390625" style="8" customWidth="1"/>
    <col min="9" max="9" width="24.140625" style="8" customWidth="1"/>
    <col min="10" max="10" width="8.1406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61" customFormat="1" ht="26.25">
      <c r="B1" s="74"/>
      <c r="K1" s="406"/>
    </row>
    <row r="2" spans="2:10" s="61" customFormat="1" ht="26.25">
      <c r="B2" s="74" t="s">
        <v>113</v>
      </c>
      <c r="C2" s="75"/>
      <c r="D2" s="62"/>
      <c r="E2" s="62"/>
      <c r="F2" s="62"/>
      <c r="G2" s="62"/>
      <c r="H2" s="62"/>
      <c r="I2" s="62"/>
      <c r="J2" s="62"/>
    </row>
    <row r="3" spans="3:19" ht="12.75">
      <c r="C3"/>
      <c r="D3" s="28"/>
      <c r="E3" s="28"/>
      <c r="F3" s="28"/>
      <c r="G3" s="28"/>
      <c r="H3" s="28"/>
      <c r="I3" s="28"/>
      <c r="J3" s="28"/>
      <c r="P3" s="6"/>
      <c r="Q3" s="6"/>
      <c r="R3" s="6"/>
      <c r="S3" s="6"/>
    </row>
    <row r="4" spans="1:19" s="59" customFormat="1" ht="11.25">
      <c r="A4" s="76" t="s">
        <v>2</v>
      </c>
      <c r="B4" s="7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s="59" customFormat="1" ht="11.25">
      <c r="A5" s="76" t="s">
        <v>3</v>
      </c>
      <c r="B5" s="7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2:19" s="61" customFormat="1" ht="8.25" customHeight="1">
      <c r="B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2:19" s="63" customFormat="1" ht="20.25">
      <c r="B7" s="122" t="s">
        <v>0</v>
      </c>
      <c r="C7" s="80"/>
      <c r="D7" s="64"/>
      <c r="E7" s="64"/>
      <c r="F7" s="65"/>
      <c r="G7" s="65"/>
      <c r="H7" s="65"/>
      <c r="I7" s="65"/>
      <c r="J7" s="65"/>
      <c r="K7" s="58"/>
      <c r="L7" s="58"/>
      <c r="M7" s="58"/>
      <c r="N7" s="58"/>
      <c r="O7" s="58"/>
      <c r="P7" s="58"/>
      <c r="Q7" s="58"/>
      <c r="R7" s="58"/>
      <c r="S7" s="58"/>
    </row>
    <row r="8" spans="9:19" ht="12.75"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s="63" customFormat="1" ht="20.25">
      <c r="B9" s="122" t="s">
        <v>1</v>
      </c>
      <c r="C9" s="80"/>
      <c r="D9" s="64"/>
      <c r="E9" s="64"/>
      <c r="F9" s="64"/>
      <c r="G9" s="64"/>
      <c r="H9" s="64"/>
      <c r="I9" s="65"/>
      <c r="J9" s="65"/>
      <c r="K9" s="58"/>
      <c r="L9" s="58"/>
      <c r="M9" s="58"/>
      <c r="N9" s="58"/>
      <c r="O9" s="58"/>
      <c r="P9" s="58"/>
      <c r="Q9" s="58"/>
      <c r="R9" s="58"/>
      <c r="S9" s="58"/>
    </row>
    <row r="10" spans="4:19" ht="12.75">
      <c r="D10" s="69"/>
      <c r="E10" s="6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s="63" customFormat="1" ht="20.25">
      <c r="B11" s="122" t="s">
        <v>112</v>
      </c>
      <c r="C11" s="81"/>
      <c r="D11" s="29"/>
      <c r="E11" s="29"/>
      <c r="F11" s="64"/>
      <c r="G11" s="64"/>
      <c r="H11" s="64"/>
      <c r="I11" s="65"/>
      <c r="J11" s="65"/>
      <c r="K11" s="58"/>
      <c r="L11" s="58"/>
      <c r="M11" s="58"/>
      <c r="N11" s="58"/>
      <c r="O11" s="58"/>
      <c r="P11" s="58"/>
      <c r="Q11" s="58"/>
      <c r="R11" s="58"/>
      <c r="S11" s="58"/>
    </row>
    <row r="12" spans="4:19" s="82" customFormat="1" ht="16.5" thickBot="1">
      <c r="D12" s="5"/>
      <c r="E12" s="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2:19" s="82" customFormat="1" ht="16.5" thickTop="1">
      <c r="B13" s="243">
        <v>2</v>
      </c>
      <c r="C13" s="401"/>
      <c r="D13" s="84"/>
      <c r="E13" s="84"/>
      <c r="F13" s="84"/>
      <c r="G13" s="84"/>
      <c r="H13" s="84"/>
      <c r="I13" s="84"/>
      <c r="J13" s="85"/>
      <c r="K13" s="83"/>
      <c r="L13" s="83"/>
      <c r="M13" s="83"/>
      <c r="N13" s="83"/>
      <c r="O13" s="83"/>
      <c r="P13" s="83"/>
      <c r="Q13" s="83"/>
      <c r="R13" s="83"/>
      <c r="S13" s="83"/>
    </row>
    <row r="14" spans="2:19" s="67" customFormat="1" ht="19.5">
      <c r="B14" s="86" t="s">
        <v>70</v>
      </c>
      <c r="C14" s="87"/>
      <c r="D14" s="88"/>
      <c r="E14" s="89"/>
      <c r="F14" s="89"/>
      <c r="G14" s="89"/>
      <c r="H14" s="89"/>
      <c r="I14" s="90"/>
      <c r="J14" s="91"/>
      <c r="K14" s="34"/>
      <c r="L14" s="34"/>
      <c r="M14" s="34"/>
      <c r="N14" s="34"/>
      <c r="O14" s="34"/>
      <c r="P14" s="34"/>
      <c r="Q14" s="34"/>
      <c r="R14" s="34"/>
      <c r="S14" s="34"/>
    </row>
    <row r="15" spans="2:19" s="67" customFormat="1" ht="19.5" hidden="1">
      <c r="B15" s="92"/>
      <c r="C15" s="93"/>
      <c r="D15" s="93"/>
      <c r="E15" s="34"/>
      <c r="F15" s="94"/>
      <c r="G15" s="94"/>
      <c r="H15" s="94"/>
      <c r="I15" s="34"/>
      <c r="J15" s="68"/>
      <c r="K15" s="34"/>
      <c r="L15" s="34"/>
      <c r="M15" s="34"/>
      <c r="N15" s="34"/>
      <c r="O15" s="34"/>
      <c r="P15" s="34"/>
      <c r="Q15" s="34"/>
      <c r="R15" s="34"/>
      <c r="S15" s="34"/>
    </row>
    <row r="16" spans="2:18" s="67" customFormat="1" ht="19.5" hidden="1">
      <c r="B16" s="86" t="s">
        <v>4</v>
      </c>
      <c r="C16" s="234"/>
      <c r="D16" s="234"/>
      <c r="E16" s="90"/>
      <c r="F16" s="89"/>
      <c r="G16" s="89"/>
      <c r="H16" s="90"/>
      <c r="I16" s="81"/>
      <c r="J16" s="91"/>
      <c r="K16" s="34"/>
      <c r="L16" s="34"/>
      <c r="M16" s="34"/>
      <c r="N16" s="34"/>
      <c r="O16" s="34"/>
      <c r="P16" s="34"/>
      <c r="Q16" s="34"/>
      <c r="R16" s="34"/>
    </row>
    <row r="17" spans="2:18" s="67" customFormat="1" ht="19.5">
      <c r="B17" s="92"/>
      <c r="C17" s="93"/>
      <c r="D17" s="93"/>
      <c r="E17" s="34"/>
      <c r="F17" s="94"/>
      <c r="G17" s="94"/>
      <c r="H17" s="34"/>
      <c r="I17"/>
      <c r="J17" s="68"/>
      <c r="K17" s="34"/>
      <c r="L17" s="34"/>
      <c r="M17" s="34"/>
      <c r="N17" s="34"/>
      <c r="O17" s="34"/>
      <c r="P17" s="34"/>
      <c r="Q17" s="34"/>
      <c r="R17" s="34"/>
    </row>
    <row r="18" spans="2:19" s="67" customFormat="1" ht="19.5">
      <c r="B18" s="92"/>
      <c r="C18" s="95" t="s">
        <v>5</v>
      </c>
      <c r="D18" s="96" t="s">
        <v>6</v>
      </c>
      <c r="E18" s="34"/>
      <c r="F18" s="94"/>
      <c r="G18" s="94"/>
      <c r="H18" s="94"/>
      <c r="I18" s="35"/>
      <c r="J18" s="68"/>
      <c r="K18" s="34"/>
      <c r="L18" s="34"/>
      <c r="M18" s="34"/>
      <c r="N18" s="34"/>
      <c r="O18" s="34"/>
      <c r="P18" s="34"/>
      <c r="Q18" s="34"/>
      <c r="R18" s="34"/>
      <c r="S18" s="34"/>
    </row>
    <row r="19" spans="2:19" s="59" customFormat="1" ht="11.25">
      <c r="B19" s="197"/>
      <c r="C19" s="198"/>
      <c r="D19" s="198"/>
      <c r="E19" s="60"/>
      <c r="F19" s="199"/>
      <c r="G19" s="199"/>
      <c r="H19" s="199"/>
      <c r="I19" s="200"/>
      <c r="J19" s="201"/>
      <c r="K19" s="60"/>
      <c r="L19" s="60"/>
      <c r="M19" s="60"/>
      <c r="N19" s="60"/>
      <c r="O19" s="60"/>
      <c r="P19" s="60"/>
      <c r="Q19" s="60"/>
      <c r="R19" s="60"/>
      <c r="S19" s="60"/>
    </row>
    <row r="20" spans="2:19" s="67" customFormat="1" ht="19.5">
      <c r="B20" s="92"/>
      <c r="C20" s="95"/>
      <c r="D20" s="95" t="s">
        <v>7</v>
      </c>
      <c r="E20" s="7" t="s">
        <v>8</v>
      </c>
      <c r="F20" s="94"/>
      <c r="G20" s="94"/>
      <c r="H20" s="94"/>
      <c r="I20" s="35">
        <f>'LI-10 (1)'!AA47</f>
        <v>1045749.77</v>
      </c>
      <c r="J20" s="68"/>
      <c r="K20" s="34"/>
      <c r="L20" s="34"/>
      <c r="M20" s="34"/>
      <c r="N20" s="34"/>
      <c r="O20" s="34"/>
      <c r="P20" s="34"/>
      <c r="Q20" s="34"/>
      <c r="R20" s="34"/>
      <c r="S20" s="34"/>
    </row>
    <row r="21" spans="2:19" s="82" customFormat="1" ht="15.75">
      <c r="B21" s="202"/>
      <c r="C21" s="203"/>
      <c r="D21" s="204"/>
      <c r="E21" s="83"/>
      <c r="F21" s="205"/>
      <c r="G21" s="205"/>
      <c r="H21" s="205"/>
      <c r="I21" s="206"/>
      <c r="J21" s="207"/>
      <c r="K21" s="83"/>
      <c r="L21" s="83"/>
      <c r="M21" s="83"/>
      <c r="N21" s="83"/>
      <c r="O21" s="83"/>
      <c r="P21" s="83"/>
      <c r="Q21" s="83"/>
      <c r="R21" s="83"/>
      <c r="S21" s="83"/>
    </row>
    <row r="22" spans="2:19" s="67" customFormat="1" ht="19.5">
      <c r="B22" s="92"/>
      <c r="C22" s="95" t="s">
        <v>9</v>
      </c>
      <c r="D22" s="96" t="s">
        <v>10</v>
      </c>
      <c r="E22" s="34"/>
      <c r="F22" s="94"/>
      <c r="G22" s="94"/>
      <c r="H22" s="94"/>
      <c r="I22" s="35"/>
      <c r="J22" s="68"/>
      <c r="K22" s="34"/>
      <c r="L22" s="34"/>
      <c r="M22" s="34"/>
      <c r="N22" s="34"/>
      <c r="O22" s="34"/>
      <c r="P22" s="34"/>
      <c r="Q22" s="34"/>
      <c r="R22" s="34"/>
      <c r="S22" s="34"/>
    </row>
    <row r="23" spans="2:19" s="59" customFormat="1" ht="5.25" customHeight="1">
      <c r="B23" s="197"/>
      <c r="C23" s="198"/>
      <c r="D23" s="198"/>
      <c r="E23" s="60"/>
      <c r="F23" s="199"/>
      <c r="G23" s="199"/>
      <c r="H23" s="199"/>
      <c r="I23" s="200"/>
      <c r="J23" s="201"/>
      <c r="K23" s="60"/>
      <c r="L23" s="60"/>
      <c r="M23" s="60"/>
      <c r="N23" s="60"/>
      <c r="O23" s="60"/>
      <c r="P23" s="60"/>
      <c r="Q23" s="60"/>
      <c r="R23" s="60"/>
      <c r="S23" s="60"/>
    </row>
    <row r="24" spans="2:19" s="67" customFormat="1" ht="19.5">
      <c r="B24" s="92"/>
      <c r="C24" s="95"/>
      <c r="D24" s="95" t="s">
        <v>11</v>
      </c>
      <c r="E24" s="7" t="s">
        <v>12</v>
      </c>
      <c r="F24" s="94"/>
      <c r="G24" s="94"/>
      <c r="H24" s="94"/>
      <c r="I24" s="35"/>
      <c r="J24" s="68"/>
      <c r="K24" s="34"/>
      <c r="L24" s="34"/>
      <c r="M24" s="34"/>
      <c r="N24" s="34"/>
      <c r="O24" s="34"/>
      <c r="P24" s="34"/>
      <c r="Q24" s="34"/>
      <c r="R24" s="34"/>
      <c r="S24" s="34"/>
    </row>
    <row r="25" spans="2:19" s="67" customFormat="1" ht="19.5">
      <c r="B25" s="92"/>
      <c r="C25" s="95"/>
      <c r="E25" s="95" t="s">
        <v>63</v>
      </c>
      <c r="F25" s="7" t="s">
        <v>8</v>
      </c>
      <c r="G25" s="94"/>
      <c r="H25" s="94"/>
      <c r="I25" s="35">
        <f>'T-10 (1)'!AC43</f>
        <v>67546.52</v>
      </c>
      <c r="J25" s="68"/>
      <c r="K25" s="34"/>
      <c r="L25" s="34"/>
      <c r="M25" s="34"/>
      <c r="N25" s="34"/>
      <c r="O25" s="34"/>
      <c r="P25" s="34"/>
      <c r="Q25" s="34"/>
      <c r="R25" s="34"/>
      <c r="S25" s="34"/>
    </row>
    <row r="26" spans="2:19" s="59" customFormat="1" ht="7.5" customHeight="1">
      <c r="B26" s="197"/>
      <c r="C26" s="198"/>
      <c r="D26" s="198"/>
      <c r="E26" s="60"/>
      <c r="F26" s="199"/>
      <c r="G26" s="199"/>
      <c r="H26" s="199"/>
      <c r="I26" s="35"/>
      <c r="J26" s="201"/>
      <c r="K26" s="60"/>
      <c r="L26" s="60"/>
      <c r="M26" s="60"/>
      <c r="N26" s="60"/>
      <c r="O26" s="60"/>
      <c r="P26" s="60"/>
      <c r="Q26" s="60"/>
      <c r="R26" s="60"/>
      <c r="S26" s="60"/>
    </row>
    <row r="27" spans="2:19" s="67" customFormat="1" ht="19.5">
      <c r="B27" s="92"/>
      <c r="C27" s="95"/>
      <c r="D27" s="95" t="s">
        <v>13</v>
      </c>
      <c r="E27" s="7" t="s">
        <v>14</v>
      </c>
      <c r="F27" s="94"/>
      <c r="G27" s="94"/>
      <c r="H27" s="94"/>
      <c r="I27" s="35"/>
      <c r="J27" s="68"/>
      <c r="K27" s="34"/>
      <c r="L27" s="34"/>
      <c r="M27" s="34"/>
      <c r="N27" s="34"/>
      <c r="O27" s="34"/>
      <c r="P27" s="34"/>
      <c r="Q27" s="34"/>
      <c r="R27" s="34"/>
      <c r="S27" s="34"/>
    </row>
    <row r="28" spans="2:19" s="67" customFormat="1" ht="19.5">
      <c r="B28" s="92"/>
      <c r="C28" s="95"/>
      <c r="E28" s="95" t="s">
        <v>64</v>
      </c>
      <c r="F28" s="7" t="s">
        <v>8</v>
      </c>
      <c r="G28" s="94"/>
      <c r="H28" s="94"/>
      <c r="I28" s="35">
        <f>'SA-10 (1)'!V43</f>
        <v>136213.45</v>
      </c>
      <c r="J28" s="68"/>
      <c r="K28" s="34"/>
      <c r="L28" s="34"/>
      <c r="M28" s="34"/>
      <c r="N28" s="34"/>
      <c r="O28" s="34"/>
      <c r="P28" s="34"/>
      <c r="Q28" s="34"/>
      <c r="R28" s="34"/>
      <c r="S28" s="34"/>
    </row>
    <row r="29" spans="2:19" s="67" customFormat="1" ht="19.5">
      <c r="B29" s="92"/>
      <c r="C29" s="95"/>
      <c r="D29" s="95"/>
      <c r="E29" s="7"/>
      <c r="F29" s="94"/>
      <c r="G29" s="94"/>
      <c r="H29" s="94"/>
      <c r="I29" s="35"/>
      <c r="J29" s="68"/>
      <c r="K29" s="34"/>
      <c r="L29" s="34"/>
      <c r="M29" s="34"/>
      <c r="N29" s="34"/>
      <c r="O29" s="34"/>
      <c r="P29" s="34"/>
      <c r="Q29" s="34"/>
      <c r="R29" s="34"/>
      <c r="S29" s="34"/>
    </row>
    <row r="30" spans="2:19" s="67" customFormat="1" ht="20.25" thickBot="1">
      <c r="B30" s="92"/>
      <c r="C30" s="93"/>
      <c r="D30" s="93"/>
      <c r="E30" s="34"/>
      <c r="F30" s="94"/>
      <c r="G30" s="94"/>
      <c r="H30" s="94"/>
      <c r="I30" s="34"/>
      <c r="J30" s="68"/>
      <c r="K30" s="34"/>
      <c r="L30" s="34"/>
      <c r="M30" s="34"/>
      <c r="N30" s="34"/>
      <c r="O30" s="34"/>
      <c r="P30" s="34"/>
      <c r="Q30" s="34"/>
      <c r="R30" s="34"/>
      <c r="S30" s="34"/>
    </row>
    <row r="31" spans="2:19" s="67" customFormat="1" ht="20.25" thickBot="1" thickTop="1">
      <c r="B31" s="92"/>
      <c r="C31" s="95"/>
      <c r="D31" s="95"/>
      <c r="F31" s="97" t="s">
        <v>15</v>
      </c>
      <c r="G31" s="57">
        <f>SUM(I18:I29)</f>
        <v>1249509.74</v>
      </c>
      <c r="H31" s="208"/>
      <c r="J31" s="68"/>
      <c r="K31" s="34"/>
      <c r="L31" s="34"/>
      <c r="M31" s="34"/>
      <c r="N31" s="34"/>
      <c r="O31" s="34"/>
      <c r="P31" s="34"/>
      <c r="Q31" s="34"/>
      <c r="R31" s="34"/>
      <c r="S31" s="34"/>
    </row>
    <row r="32" spans="2:19" s="67" customFormat="1" ht="19.5" thickTop="1">
      <c r="B32" s="92"/>
      <c r="C32" s="95"/>
      <c r="D32" s="95"/>
      <c r="F32" s="427"/>
      <c r="G32" s="208"/>
      <c r="H32" s="208"/>
      <c r="J32" s="68"/>
      <c r="K32" s="34"/>
      <c r="L32" s="34"/>
      <c r="M32" s="34"/>
      <c r="N32" s="34"/>
      <c r="O32" s="34"/>
      <c r="P32" s="34"/>
      <c r="Q32" s="34"/>
      <c r="R32" s="34"/>
      <c r="S32" s="34"/>
    </row>
    <row r="33" spans="2:19" s="67" customFormat="1" ht="18.75">
      <c r="B33" s="92"/>
      <c r="C33" s="428"/>
      <c r="D33" s="95"/>
      <c r="F33" s="427"/>
      <c r="G33" s="208"/>
      <c r="H33" s="208"/>
      <c r="J33" s="68"/>
      <c r="K33" s="34"/>
      <c r="L33" s="34"/>
      <c r="M33" s="34"/>
      <c r="N33" s="34"/>
      <c r="O33" s="34"/>
      <c r="P33" s="34"/>
      <c r="Q33" s="34"/>
      <c r="R33" s="34"/>
      <c r="S33" s="34"/>
    </row>
    <row r="34" spans="2:19" s="82" customFormat="1" ht="16.5" thickBot="1">
      <c r="B34" s="98"/>
      <c r="C34" s="99"/>
      <c r="D34" s="99"/>
      <c r="E34" s="100"/>
      <c r="F34" s="100"/>
      <c r="G34" s="100"/>
      <c r="H34" s="100"/>
      <c r="I34" s="100"/>
      <c r="J34" s="101"/>
      <c r="K34" s="83"/>
      <c r="L34" s="83"/>
      <c r="M34" s="102"/>
      <c r="N34" s="103"/>
      <c r="O34" s="103"/>
      <c r="P34" s="104"/>
      <c r="Q34" s="105"/>
      <c r="R34" s="83"/>
      <c r="S34" s="83"/>
    </row>
    <row r="35" spans="4:19" ht="13.5" thickTop="1">
      <c r="D35" s="6"/>
      <c r="F35" s="6"/>
      <c r="G35" s="6"/>
      <c r="H35" s="6"/>
      <c r="I35" s="6"/>
      <c r="J35" s="6"/>
      <c r="K35" s="6"/>
      <c r="L35" s="6"/>
      <c r="M35" s="24"/>
      <c r="N35" s="106"/>
      <c r="O35" s="106"/>
      <c r="P35" s="6"/>
      <c r="Q35" s="27"/>
      <c r="R35" s="6"/>
      <c r="S35" s="6"/>
    </row>
    <row r="36" spans="4:19" ht="12.75">
      <c r="D36" s="6"/>
      <c r="F36" s="6"/>
      <c r="G36" s="6"/>
      <c r="H36" s="6"/>
      <c r="I36" s="6"/>
      <c r="J36" s="6"/>
      <c r="K36" s="6"/>
      <c r="L36" s="6"/>
      <c r="M36" s="6"/>
      <c r="N36" s="72"/>
      <c r="O36" s="72"/>
      <c r="P36" s="73"/>
      <c r="Q36" s="27"/>
      <c r="R36" s="6"/>
      <c r="S36" s="6"/>
    </row>
    <row r="37" spans="4:19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72"/>
      <c r="O37" s="72"/>
      <c r="P37" s="73"/>
      <c r="Q37" s="27"/>
      <c r="R37" s="6"/>
      <c r="S37" s="6"/>
    </row>
    <row r="38" spans="4:19" ht="12.75">
      <c r="D38" s="6"/>
      <c r="E38" s="6"/>
      <c r="L38" s="6"/>
      <c r="M38" s="6"/>
      <c r="N38" s="6"/>
      <c r="O38" s="6"/>
      <c r="P38" s="6"/>
      <c r="Q38" s="6"/>
      <c r="R38" s="6"/>
      <c r="S38" s="6"/>
    </row>
    <row r="39" spans="4:19" ht="12.75">
      <c r="D39" s="6"/>
      <c r="E39" s="6"/>
      <c r="P39" s="6"/>
      <c r="Q39" s="6"/>
      <c r="R39" s="6"/>
      <c r="S39" s="6"/>
    </row>
    <row r="40" spans="4:19" ht="12.75">
      <c r="D40" s="6"/>
      <c r="E40" s="6"/>
      <c r="P40" s="6"/>
      <c r="Q40" s="6"/>
      <c r="R40" s="6"/>
      <c r="S40" s="6"/>
    </row>
    <row r="41" spans="4:19" ht="12.75">
      <c r="D41" s="6"/>
      <c r="E41" s="6"/>
      <c r="P41" s="6"/>
      <c r="Q41" s="6"/>
      <c r="R41" s="6"/>
      <c r="S41" s="6"/>
    </row>
    <row r="42" spans="4:19" ht="12.75">
      <c r="D42" s="6"/>
      <c r="E42" s="6"/>
      <c r="P42" s="6"/>
      <c r="Q42" s="6"/>
      <c r="R42" s="6"/>
      <c r="S42" s="6"/>
    </row>
    <row r="43" spans="4:19" ht="12.75">
      <c r="D43" s="6"/>
      <c r="E43" s="6"/>
      <c r="P43" s="6"/>
      <c r="Q43" s="6"/>
      <c r="R43" s="6"/>
      <c r="S43" s="6"/>
    </row>
    <row r="44" spans="16:19" ht="12.75">
      <c r="P44" s="6"/>
      <c r="Q44" s="6"/>
      <c r="R44" s="6"/>
      <c r="S44" s="6"/>
    </row>
    <row r="45" spans="16:19" ht="12.75">
      <c r="P45" s="6"/>
      <c r="Q45" s="6"/>
      <c r="R45" s="6"/>
      <c r="S45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91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5"/>
  <sheetViews>
    <sheetView zoomScale="85" zoomScaleNormal="85" zoomScalePageLayoutView="0" workbookViewId="0" topLeftCell="A1">
      <selection activeCell="G16" sqref="G16:H18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48.421875" style="0" customWidth="1"/>
    <col min="7" max="7" width="8.7109375" style="0" customWidth="1"/>
    <col min="8" max="8" width="9.7109375" style="0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7" width="15.140625" style="0" hidden="1" customWidth="1"/>
    <col min="18" max="18" width="12.57421875" style="0" hidden="1" customWidth="1"/>
    <col min="19" max="19" width="9.421875" style="0" hidden="1" customWidth="1"/>
    <col min="20" max="20" width="10.421875" style="0" hidden="1" customWidth="1"/>
    <col min="21" max="23" width="5.28125" style="0" hidden="1" customWidth="1"/>
    <col min="24" max="25" width="11.574218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61" customFormat="1" ht="29.25" customHeight="1">
      <c r="AB1" s="406"/>
    </row>
    <row r="2" spans="2:28" s="61" customFormat="1" ht="26.25">
      <c r="B2" s="415" t="str">
        <f>+'TOT-1015'!B2</f>
        <v>ANEXO IV al Memorándum  D.T.E.E.  N° 657/ 2016                            .-</v>
      </c>
      <c r="C2" s="62"/>
      <c r="D2" s="62"/>
      <c r="E2" s="62"/>
      <c r="F2" s="62"/>
      <c r="G2" s="7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="8" customFormat="1" ht="12.75"/>
    <row r="4" spans="1:3" s="59" customFormat="1" ht="11.25">
      <c r="A4" s="429" t="s">
        <v>68</v>
      </c>
      <c r="B4" s="126"/>
      <c r="C4" s="429"/>
    </row>
    <row r="5" spans="1:3" s="59" customFormat="1" ht="11.25">
      <c r="A5" s="429" t="s">
        <v>69</v>
      </c>
      <c r="B5" s="126"/>
      <c r="C5" s="126"/>
    </row>
    <row r="6" s="8" customFormat="1" ht="13.5" thickBot="1"/>
    <row r="7" spans="1:28" s="8" customFormat="1" ht="13.5" thickTop="1">
      <c r="A7" s="6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1:28" s="63" customFormat="1" ht="20.25">
      <c r="A8" s="58"/>
      <c r="B8" s="120"/>
      <c r="F8" s="17" t="s">
        <v>16</v>
      </c>
      <c r="G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6"/>
    </row>
    <row r="9" spans="1:28" s="8" customFormat="1" ht="12.75">
      <c r="A9" s="6"/>
      <c r="B9" s="33"/>
      <c r="C9" s="70"/>
      <c r="D9" s="70"/>
      <c r="E9" s="70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63" customFormat="1" ht="20.25">
      <c r="A10" s="58"/>
      <c r="B10" s="120"/>
      <c r="F10" s="17" t="s">
        <v>17</v>
      </c>
      <c r="G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66"/>
    </row>
    <row r="11" spans="1:28" s="8" customFormat="1" ht="12.75">
      <c r="A11" s="6"/>
      <c r="B11" s="33"/>
      <c r="C11" s="70"/>
      <c r="D11" s="70"/>
      <c r="E11" s="70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63" customFormat="1" ht="20.25">
      <c r="A12" s="58"/>
      <c r="B12" s="120"/>
      <c r="F12" s="17" t="s">
        <v>18</v>
      </c>
      <c r="G12" s="17"/>
      <c r="H12" s="58"/>
      <c r="I12" s="121"/>
      <c r="J12" s="121"/>
      <c r="K12" s="121"/>
      <c r="L12" s="121"/>
      <c r="M12" s="121"/>
      <c r="N12" s="121"/>
      <c r="O12" s="121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66"/>
    </row>
    <row r="13" spans="1:28" s="8" customFormat="1" ht="12.75">
      <c r="A13" s="6"/>
      <c r="B13" s="33"/>
      <c r="C13" s="6"/>
      <c r="D13" s="6"/>
      <c r="E13" s="6"/>
      <c r="F13" s="118"/>
      <c r="G13" s="117"/>
      <c r="H13" s="6"/>
      <c r="I13" s="108"/>
      <c r="J13" s="108"/>
      <c r="K13" s="108"/>
      <c r="L13" s="108"/>
      <c r="M13" s="108"/>
      <c r="N13" s="108"/>
      <c r="O13" s="10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s="67" customFormat="1" ht="19.5">
      <c r="A14" s="34"/>
      <c r="B14" s="409" t="str">
        <f>+'TOT-1015'!B14</f>
        <v>Desde el 01 al 31 de octubre de 2015</v>
      </c>
      <c r="C14" s="90"/>
      <c r="D14" s="90"/>
      <c r="E14" s="90"/>
      <c r="F14" s="90"/>
      <c r="G14" s="122"/>
      <c r="H14" s="123"/>
      <c r="I14" s="124"/>
      <c r="J14" s="125"/>
      <c r="K14" s="124"/>
      <c r="L14" s="124"/>
      <c r="M14" s="124"/>
      <c r="N14" s="124"/>
      <c r="O14" s="124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s="8" customFormat="1" ht="13.5" thickBot="1">
      <c r="A15" s="6"/>
      <c r="B15" s="33"/>
      <c r="C15" s="6"/>
      <c r="D15" s="6"/>
      <c r="E15" s="6"/>
      <c r="F15" s="6"/>
      <c r="G15" s="117"/>
      <c r="H15" s="119"/>
      <c r="I15" s="108"/>
      <c r="J15" s="108"/>
      <c r="K15" s="108"/>
      <c r="L15" s="108"/>
      <c r="M15" s="108"/>
      <c r="N15" s="108"/>
      <c r="O15" s="10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1:28" s="8" customFormat="1" ht="14.25" thickBot="1" thickTop="1">
      <c r="A16" s="6"/>
      <c r="B16" s="33"/>
      <c r="C16" s="6"/>
      <c r="D16" s="6"/>
      <c r="E16" s="6"/>
      <c r="F16" s="127" t="s">
        <v>19</v>
      </c>
      <c r="G16" s="436">
        <v>360.925</v>
      </c>
      <c r="H16" s="225"/>
      <c r="I16" s="108"/>
      <c r="J16" s="108"/>
      <c r="K16" s="108"/>
      <c r="L16" s="108"/>
      <c r="M16" s="108"/>
      <c r="N16" s="108"/>
      <c r="O16" s="10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1:28" s="8" customFormat="1" ht="14.25" thickBot="1" thickTop="1">
      <c r="A17" s="6"/>
      <c r="B17" s="33"/>
      <c r="C17" s="6"/>
      <c r="D17" s="6"/>
      <c r="E17" s="6"/>
      <c r="F17" s="127" t="s">
        <v>20</v>
      </c>
      <c r="G17" s="436">
        <v>345.493</v>
      </c>
      <c r="H17" s="226"/>
      <c r="I17" s="6"/>
      <c r="J17" s="107"/>
      <c r="K17" s="128" t="s">
        <v>21</v>
      </c>
      <c r="L17" s="129">
        <f>30*'TOT-1015'!B13</f>
        <v>60</v>
      </c>
      <c r="M17" s="196" t="str">
        <f>IF(L17=30," ",IF(L17=60,"Coeficiente duplicado por tasa de falla &gt;4 Sal. x año/100 km.","REVISAR COEFICIENTE"))</f>
        <v>Coeficiente duplicado por tasa de falla &gt;4 Sal. x año/100 km.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</row>
    <row r="18" spans="1:28" s="8" customFormat="1" ht="14.25" thickBot="1" thickTop="1">
      <c r="A18" s="6"/>
      <c r="B18" s="33"/>
      <c r="C18" s="6"/>
      <c r="D18" s="6"/>
      <c r="E18" s="6"/>
      <c r="F18" s="434" t="s">
        <v>109</v>
      </c>
      <c r="G18" s="436">
        <v>345.493</v>
      </c>
      <c r="H18" s="226"/>
      <c r="I18" s="6"/>
      <c r="J18" s="6"/>
      <c r="K18" s="6"/>
      <c r="L18" s="71"/>
      <c r="M18" s="10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9"/>
    </row>
    <row r="19" spans="1:28" s="8" customFormat="1" ht="14.25" thickBot="1" thickTop="1">
      <c r="A19" s="6"/>
      <c r="B19" s="33"/>
      <c r="C19" s="431">
        <v>3</v>
      </c>
      <c r="D19" s="431">
        <v>4</v>
      </c>
      <c r="E19" s="431">
        <v>5</v>
      </c>
      <c r="F19" s="431">
        <v>6</v>
      </c>
      <c r="G19" s="431">
        <v>7</v>
      </c>
      <c r="H19" s="431">
        <v>8</v>
      </c>
      <c r="I19" s="431">
        <v>9</v>
      </c>
      <c r="J19" s="431">
        <v>10</v>
      </c>
      <c r="K19" s="431">
        <v>11</v>
      </c>
      <c r="L19" s="431">
        <v>12</v>
      </c>
      <c r="M19" s="431">
        <v>13</v>
      </c>
      <c r="N19" s="431">
        <v>14</v>
      </c>
      <c r="O19" s="431">
        <v>15</v>
      </c>
      <c r="P19" s="431">
        <v>16</v>
      </c>
      <c r="Q19" s="431">
        <v>17</v>
      </c>
      <c r="R19" s="431">
        <v>18</v>
      </c>
      <c r="S19" s="431">
        <v>19</v>
      </c>
      <c r="T19" s="431">
        <v>20</v>
      </c>
      <c r="U19" s="431">
        <v>21</v>
      </c>
      <c r="V19" s="431">
        <v>22</v>
      </c>
      <c r="W19" s="431">
        <v>23</v>
      </c>
      <c r="X19" s="431">
        <v>24</v>
      </c>
      <c r="Y19" s="431">
        <v>25</v>
      </c>
      <c r="Z19" s="431">
        <v>26</v>
      </c>
      <c r="AA19" s="431">
        <v>27</v>
      </c>
      <c r="AB19" s="9"/>
    </row>
    <row r="20" spans="1:28" s="8" customFormat="1" ht="33.75" customHeight="1" thickBot="1" thickTop="1">
      <c r="A20" s="6"/>
      <c r="B20" s="33"/>
      <c r="C20" s="133" t="s">
        <v>22</v>
      </c>
      <c r="D20" s="133" t="s">
        <v>66</v>
      </c>
      <c r="E20" s="133" t="s">
        <v>67</v>
      </c>
      <c r="F20" s="134" t="s">
        <v>6</v>
      </c>
      <c r="G20" s="135" t="s">
        <v>23</v>
      </c>
      <c r="H20" s="135" t="s">
        <v>24</v>
      </c>
      <c r="I20" s="235" t="s">
        <v>25</v>
      </c>
      <c r="J20" s="134" t="s">
        <v>26</v>
      </c>
      <c r="K20" s="134" t="s">
        <v>27</v>
      </c>
      <c r="L20" s="135" t="s">
        <v>28</v>
      </c>
      <c r="M20" s="135" t="s">
        <v>29</v>
      </c>
      <c r="N20" s="135" t="s">
        <v>30</v>
      </c>
      <c r="O20" s="135" t="s">
        <v>31</v>
      </c>
      <c r="P20" s="251" t="s">
        <v>32</v>
      </c>
      <c r="Q20" s="255" t="s">
        <v>33</v>
      </c>
      <c r="R20" s="237" t="s">
        <v>34</v>
      </c>
      <c r="S20" s="238"/>
      <c r="T20" s="239"/>
      <c r="U20" s="275" t="s">
        <v>35</v>
      </c>
      <c r="V20" s="276"/>
      <c r="W20" s="277"/>
      <c r="X20" s="291" t="s">
        <v>36</v>
      </c>
      <c r="Y20" s="297" t="s">
        <v>37</v>
      </c>
      <c r="Z20" s="233" t="s">
        <v>38</v>
      </c>
      <c r="AA20" s="137" t="s">
        <v>39</v>
      </c>
      <c r="AB20" s="9"/>
    </row>
    <row r="21" spans="1:28" s="8" customFormat="1" ht="16.5" thickBot="1" thickTop="1">
      <c r="A21" s="6"/>
      <c r="B21" s="33"/>
      <c r="C21" s="110"/>
      <c r="D21" s="110"/>
      <c r="E21" s="110"/>
      <c r="F21" s="112"/>
      <c r="G21" s="111"/>
      <c r="H21" s="111"/>
      <c r="I21" s="244"/>
      <c r="J21" s="111"/>
      <c r="K21" s="112"/>
      <c r="L21" s="112"/>
      <c r="M21" s="112"/>
      <c r="N21" s="111"/>
      <c r="O21" s="111"/>
      <c r="P21" s="252"/>
      <c r="Q21" s="260"/>
      <c r="R21" s="262"/>
      <c r="S21" s="263"/>
      <c r="T21" s="264"/>
      <c r="U21" s="278"/>
      <c r="V21" s="279"/>
      <c r="W21" s="280"/>
      <c r="X21" s="292"/>
      <c r="Y21" s="298"/>
      <c r="Z21" s="113"/>
      <c r="AA21" s="404"/>
      <c r="AB21" s="9"/>
    </row>
    <row r="22" spans="1:28" s="8" customFormat="1" ht="16.5" thickBot="1" thickTop="1">
      <c r="A22" s="6"/>
      <c r="B22" s="33"/>
      <c r="C22" s="110"/>
      <c r="D22" s="110"/>
      <c r="E22" s="110"/>
      <c r="F22" s="410"/>
      <c r="G22" s="410"/>
      <c r="H22" s="410"/>
      <c r="I22" s="245"/>
      <c r="J22" s="410"/>
      <c r="K22" s="39"/>
      <c r="L22" s="131"/>
      <c r="M22" s="131"/>
      <c r="N22" s="410"/>
      <c r="O22" s="410"/>
      <c r="P22" s="252"/>
      <c r="Q22" s="258"/>
      <c r="R22" s="265"/>
      <c r="S22" s="266"/>
      <c r="T22" s="267"/>
      <c r="U22" s="281"/>
      <c r="V22" s="282"/>
      <c r="W22" s="283"/>
      <c r="X22" s="293"/>
      <c r="Y22" s="299"/>
      <c r="Z22" s="130"/>
      <c r="AA22" s="250"/>
      <c r="AB22" s="9"/>
    </row>
    <row r="23" spans="1:28" s="8" customFormat="1" ht="16.5" thickBot="1" thickTop="1">
      <c r="A23" s="6"/>
      <c r="B23" s="33"/>
      <c r="C23" s="39">
        <v>1</v>
      </c>
      <c r="D23" s="39">
        <v>261606</v>
      </c>
      <c r="E23" s="39">
        <v>748</v>
      </c>
      <c r="F23" s="40" t="s">
        <v>71</v>
      </c>
      <c r="G23" s="40">
        <v>132</v>
      </c>
      <c r="H23" s="248">
        <v>42</v>
      </c>
      <c r="I23" s="246">
        <f>IF(H23&gt;25,H23,25)*IF(G23=220,$G$16,IF(G23=132,$G$17,$G$18))/100</f>
        <v>145.10706</v>
      </c>
      <c r="J23" s="41">
        <v>42278</v>
      </c>
      <c r="K23" s="41">
        <v>42308.99998842592</v>
      </c>
      <c r="L23" s="10">
        <f>IF(F23="","",(K23-J23)*24)</f>
        <v>743.9997222221573</v>
      </c>
      <c r="M23" s="11">
        <f>IF(F23="","",ROUND((K23-J23)*24*60,0))</f>
        <v>44640</v>
      </c>
      <c r="N23" s="42" t="s">
        <v>72</v>
      </c>
      <c r="O23" s="43" t="str">
        <f>IF(F23="","","--")</f>
        <v>--</v>
      </c>
      <c r="P23" s="253">
        <f>IF(N23="P",ROUND(M23/60,2)*I23*$L$17*0.01,"--")</f>
        <v>64775.79158399999</v>
      </c>
      <c r="Q23" s="259" t="str">
        <f>IF(N23="RP",ROUND(M23/60,2)*I23*$L$17*0.01*O23/100,"--")</f>
        <v>--</v>
      </c>
      <c r="R23" s="268" t="str">
        <f>IF(N23="F",I23*$L$17,"--")</f>
        <v>--</v>
      </c>
      <c r="S23" s="269" t="str">
        <f>IF(AND(M23&gt;10,N23="F"),I23*$L$17*IF(M23&gt;180,3,ROUND(M23/60,2)),"--")</f>
        <v>--</v>
      </c>
      <c r="T23" s="270" t="str">
        <f>IF(AND(N23="F",M23&gt;180),(ROUND(M23/60,2)-3)*I23*$L$17*0.1,"--")</f>
        <v>--</v>
      </c>
      <c r="U23" s="284" t="str">
        <f>IF(N23="R",I23*$L$17*O23/100,"--")</f>
        <v>--</v>
      </c>
      <c r="V23" s="285" t="str">
        <f>IF(AND(M23&gt;10,N23="R"),I23*$L$17*O23/100*IF(M23&gt;180,3,ROUND(M23/60,2)),"--")</f>
        <v>--</v>
      </c>
      <c r="W23" s="286" t="str">
        <f>IF(AND(N23="R",M23&gt;180),(ROUND(M23/60,2)-3)*I23*$L$17*0.1*O23/100,"--")</f>
        <v>--</v>
      </c>
      <c r="X23" s="294" t="str">
        <f>IF(N23="RF",ROUND(M23/60,2)*I23*$L$17*0.1,"--")</f>
        <v>--</v>
      </c>
      <c r="Y23" s="300" t="str">
        <f>IF(N23="RR",ROUND(M23/60,2)*I23*$L$17*0.1*O23/100,"--")</f>
        <v>--</v>
      </c>
      <c r="Z23" s="236" t="s">
        <v>73</v>
      </c>
      <c r="AA23" s="44">
        <f>IF(F23="","",SUM(P23:Y23)*IF(Z23="SI",1,2))</f>
        <v>64775.79158399999</v>
      </c>
      <c r="AB23" s="399"/>
    </row>
    <row r="24" spans="1:28" s="8" customFormat="1" ht="16.5" thickBot="1" thickTop="1">
      <c r="A24" s="6"/>
      <c r="B24" s="33"/>
      <c r="C24" s="39">
        <v>2</v>
      </c>
      <c r="D24" s="39">
        <v>289100</v>
      </c>
      <c r="E24" s="39">
        <v>1002</v>
      </c>
      <c r="F24" s="40" t="s">
        <v>74</v>
      </c>
      <c r="G24" s="40">
        <v>33</v>
      </c>
      <c r="H24" s="248">
        <v>11.800000190734863</v>
      </c>
      <c r="I24" s="246">
        <f aca="true" t="shared" si="0" ref="I24:I42">IF(H24&gt;25,H24,25)*IF(G24=220,$G$16,IF(G24=132,$G$17,$G$18))/100</f>
        <v>86.37325000000001</v>
      </c>
      <c r="J24" s="41">
        <v>42278</v>
      </c>
      <c r="K24" s="41">
        <v>42308.99998842592</v>
      </c>
      <c r="L24" s="10">
        <f aca="true" t="shared" si="1" ref="L24:L42">IF(F24="","",(K24-J24)*24)</f>
        <v>743.9997222221573</v>
      </c>
      <c r="M24" s="11">
        <f aca="true" t="shared" si="2" ref="M24:M42">IF(F24="","",ROUND((K24-J24)*24*60,0))</f>
        <v>44640</v>
      </c>
      <c r="N24" s="42" t="s">
        <v>98</v>
      </c>
      <c r="O24" s="43" t="str">
        <f aca="true" t="shared" si="3" ref="O24:O42">IF(F24="","","--")</f>
        <v>--</v>
      </c>
      <c r="P24" s="253" t="str">
        <f aca="true" t="shared" si="4" ref="P24:P42">IF(N24="P",ROUND(M24/60,2)*I24*$L$17*0.01,"--")</f>
        <v>--</v>
      </c>
      <c r="Q24" s="259" t="str">
        <f aca="true" t="shared" si="5" ref="Q24:Q42">IF(N24="RP",ROUND(M24/60,2)*I24*$L$17*0.01*O24/100,"--")</f>
        <v>--</v>
      </c>
      <c r="R24" s="268" t="str">
        <f aca="true" t="shared" si="6" ref="R24:R42">IF(N24="F",I24*$L$17,"--")</f>
        <v>--</v>
      </c>
      <c r="S24" s="269" t="str">
        <f aca="true" t="shared" si="7" ref="S24:S42">IF(AND(M24&gt;10,N24="F"),I24*$L$17*IF(M24&gt;180,3,ROUND(M24/60,2)),"--")</f>
        <v>--</v>
      </c>
      <c r="T24" s="270" t="str">
        <f aca="true" t="shared" si="8" ref="T24:T42">IF(AND(N24="F",M24&gt;180),(ROUND(M24/60,2)-3)*I24*$L$17*0.1,"--")</f>
        <v>--</v>
      </c>
      <c r="U24" s="284" t="str">
        <f aca="true" t="shared" si="9" ref="U24:U42">IF(N24="R",I24*$L$17*O24/100,"--")</f>
        <v>--</v>
      </c>
      <c r="V24" s="285" t="str">
        <f aca="true" t="shared" si="10" ref="V24:V42">IF(AND(M24&gt;10,N24="R"),I24*$L$17*O24/100*IF(M24&gt;180,3,ROUND(M24/60,2)),"--")</f>
        <v>--</v>
      </c>
      <c r="W24" s="286" t="str">
        <f aca="true" t="shared" si="11" ref="W24:W42">IF(AND(N24="R",M24&gt;180),(ROUND(M24/60,2)-3)*I24*$L$17*0.1*O24/100,"--")</f>
        <v>--</v>
      </c>
      <c r="X24" s="294">
        <f aca="true" t="shared" si="12" ref="X24:X42">IF(N24="RF",ROUND(M24/60,2)*I24*$L$17*0.1,"--")</f>
        <v>385570.1880000001</v>
      </c>
      <c r="Y24" s="300" t="str">
        <f aca="true" t="shared" si="13" ref="Y24:Y42">IF(N24="RR",ROUND(M24/60,2)*I24*$L$17*0.1*O24/100,"--")</f>
        <v>--</v>
      </c>
      <c r="Z24" s="236" t="s">
        <v>73</v>
      </c>
      <c r="AA24" s="44">
        <f aca="true" t="shared" si="14" ref="AA24:AA45">IF(F24="","",SUM(P24:Y24)*IF(Z24="SI",1,2))</f>
        <v>385570.1880000001</v>
      </c>
      <c r="AB24" s="399"/>
    </row>
    <row r="25" spans="1:28" s="8" customFormat="1" ht="16.5" thickBot="1" thickTop="1">
      <c r="A25" s="6"/>
      <c r="B25" s="33"/>
      <c r="C25" s="39">
        <v>3</v>
      </c>
      <c r="D25" s="39">
        <v>291181</v>
      </c>
      <c r="E25" s="39">
        <v>946</v>
      </c>
      <c r="F25" s="40" t="s">
        <v>76</v>
      </c>
      <c r="G25" s="40">
        <v>132</v>
      </c>
      <c r="H25" s="248">
        <v>3.9000000953674316</v>
      </c>
      <c r="I25" s="246">
        <f t="shared" si="0"/>
        <v>86.37325000000001</v>
      </c>
      <c r="J25" s="41">
        <v>42278</v>
      </c>
      <c r="K25" s="41">
        <v>42308.99998842592</v>
      </c>
      <c r="L25" s="10">
        <f t="shared" si="1"/>
        <v>743.9997222221573</v>
      </c>
      <c r="M25" s="11">
        <f t="shared" si="2"/>
        <v>44640</v>
      </c>
      <c r="N25" s="42" t="s">
        <v>98</v>
      </c>
      <c r="O25" s="43" t="str">
        <f t="shared" si="3"/>
        <v>--</v>
      </c>
      <c r="P25" s="253" t="str">
        <f t="shared" si="4"/>
        <v>--</v>
      </c>
      <c r="Q25" s="259" t="str">
        <f t="shared" si="5"/>
        <v>--</v>
      </c>
      <c r="R25" s="268" t="str">
        <f t="shared" si="6"/>
        <v>--</v>
      </c>
      <c r="S25" s="269" t="str">
        <f t="shared" si="7"/>
        <v>--</v>
      </c>
      <c r="T25" s="270" t="str">
        <f t="shared" si="8"/>
        <v>--</v>
      </c>
      <c r="U25" s="284" t="str">
        <f t="shared" si="9"/>
        <v>--</v>
      </c>
      <c r="V25" s="285" t="str">
        <f t="shared" si="10"/>
        <v>--</v>
      </c>
      <c r="W25" s="286" t="str">
        <f t="shared" si="11"/>
        <v>--</v>
      </c>
      <c r="X25" s="294">
        <f t="shared" si="12"/>
        <v>385570.1880000001</v>
      </c>
      <c r="Y25" s="300" t="str">
        <f t="shared" si="13"/>
        <v>--</v>
      </c>
      <c r="Z25" s="236" t="s">
        <v>73</v>
      </c>
      <c r="AA25" s="44">
        <f t="shared" si="14"/>
        <v>385570.1880000001</v>
      </c>
      <c r="AB25" s="399"/>
    </row>
    <row r="26" spans="1:28" s="8" customFormat="1" ht="16.5" thickBot="1" thickTop="1">
      <c r="A26" s="6"/>
      <c r="B26" s="33"/>
      <c r="C26" s="39">
        <v>4</v>
      </c>
      <c r="D26" s="39">
        <v>292926</v>
      </c>
      <c r="E26" s="39">
        <v>5392</v>
      </c>
      <c r="F26" s="40" t="s">
        <v>99</v>
      </c>
      <c r="G26" s="40">
        <v>132</v>
      </c>
      <c r="H26" s="248">
        <v>68</v>
      </c>
      <c r="I26" s="246">
        <f t="shared" si="0"/>
        <v>234.93524000000002</v>
      </c>
      <c r="J26" s="41">
        <v>42279.59583333333</v>
      </c>
      <c r="K26" s="41">
        <v>42279.842361111114</v>
      </c>
      <c r="L26" s="10">
        <f>IF(F26="","",(K26-J26)*24)</f>
        <v>5.916666666744277</v>
      </c>
      <c r="M26" s="11">
        <f>IF(F26="","",ROUND((K26-J26)*24*60,0))</f>
        <v>355</v>
      </c>
      <c r="N26" s="42" t="s">
        <v>75</v>
      </c>
      <c r="O26" s="43" t="str">
        <f>IF(F26="","","--")</f>
        <v>--</v>
      </c>
      <c r="P26" s="253" t="str">
        <f>IF(N26="P",ROUND(M26/60,2)*I26*$L$17*0.01,"--")</f>
        <v>--</v>
      </c>
      <c r="Q26" s="259" t="str">
        <f>IF(N26="RP",ROUND(M26/60,2)*I26*$L$17*0.01*O26/100,"--")</f>
        <v>--</v>
      </c>
      <c r="R26" s="268">
        <f>IF(N26="F",I26*$L$17,"--")</f>
        <v>14096.114400000002</v>
      </c>
      <c r="S26" s="269">
        <f>IF(AND(M26&gt;10,N26="F"),I26*$L$17*IF(M26&gt;180,3,ROUND(M26/60,2)),"--")</f>
        <v>42288.3432</v>
      </c>
      <c r="T26" s="270">
        <f>IF(AND(N26="F",M26&gt;180),(ROUND(M26/60,2)-3)*I26*$L$17*0.1,"--")</f>
        <v>4116.065404800001</v>
      </c>
      <c r="U26" s="284" t="str">
        <f>IF(N26="R",I26*$L$17*O26/100,"--")</f>
        <v>--</v>
      </c>
      <c r="V26" s="285" t="str">
        <f>IF(AND(M26&gt;10,N26="R"),I26*$L$17*O26/100*IF(M26&gt;180,3,ROUND(M26/60,2)),"--")</f>
        <v>--</v>
      </c>
      <c r="W26" s="286" t="str">
        <f>IF(AND(N26="R",M26&gt;180),(ROUND(M26/60,2)-3)*I26*$L$17*0.1*O26/100,"--")</f>
        <v>--</v>
      </c>
      <c r="X26" s="294" t="str">
        <f>IF(N26="RF",ROUND(M26/60,2)*I26*$L$17*0.1,"--")</f>
        <v>--</v>
      </c>
      <c r="Y26" s="300" t="str">
        <f>IF(N26="RR",ROUND(M26/60,2)*I26*$L$17*0.1*O26/100,"--")</f>
        <v>--</v>
      </c>
      <c r="Z26" s="236" t="s">
        <v>73</v>
      </c>
      <c r="AA26" s="44">
        <f>IF(F26="","",SUM(P26:Y26)*IF(Z26="SI",1,2))</f>
        <v>60500.52300480001</v>
      </c>
      <c r="AB26" s="399"/>
    </row>
    <row r="27" spans="1:28" s="8" customFormat="1" ht="16.5" thickBot="1" thickTop="1">
      <c r="A27" s="6"/>
      <c r="B27" s="33"/>
      <c r="C27" s="39">
        <v>5</v>
      </c>
      <c r="D27" s="39">
        <v>293101</v>
      </c>
      <c r="E27" s="39">
        <v>4584</v>
      </c>
      <c r="F27" s="40" t="s">
        <v>77</v>
      </c>
      <c r="G27" s="40">
        <v>132</v>
      </c>
      <c r="H27" s="248">
        <v>79.1500015258789</v>
      </c>
      <c r="I27" s="246">
        <f t="shared" si="0"/>
        <v>273.45771477180483</v>
      </c>
      <c r="J27" s="41">
        <v>42285.09930555556</v>
      </c>
      <c r="K27" s="41">
        <v>42285.11597222222</v>
      </c>
      <c r="L27" s="10">
        <f t="shared" si="1"/>
        <v>0.39999999990686774</v>
      </c>
      <c r="M27" s="11">
        <f t="shared" si="2"/>
        <v>24</v>
      </c>
      <c r="N27" s="42" t="s">
        <v>75</v>
      </c>
      <c r="O27" s="43" t="str">
        <f t="shared" si="3"/>
        <v>--</v>
      </c>
      <c r="P27" s="253" t="str">
        <f t="shared" si="4"/>
        <v>--</v>
      </c>
      <c r="Q27" s="259" t="str">
        <f t="shared" si="5"/>
        <v>--</v>
      </c>
      <c r="R27" s="268">
        <f t="shared" si="6"/>
        <v>16407.46288630829</v>
      </c>
      <c r="S27" s="269">
        <f t="shared" si="7"/>
        <v>6562.985154523317</v>
      </c>
      <c r="T27" s="270" t="str">
        <f t="shared" si="8"/>
        <v>--</v>
      </c>
      <c r="U27" s="284" t="str">
        <f t="shared" si="9"/>
        <v>--</v>
      </c>
      <c r="V27" s="285" t="str">
        <f t="shared" si="10"/>
        <v>--</v>
      </c>
      <c r="W27" s="286" t="str">
        <f t="shared" si="11"/>
        <v>--</v>
      </c>
      <c r="X27" s="294" t="str">
        <f t="shared" si="12"/>
        <v>--</v>
      </c>
      <c r="Y27" s="300" t="str">
        <f t="shared" si="13"/>
        <v>--</v>
      </c>
      <c r="Z27" s="236" t="s">
        <v>73</v>
      </c>
      <c r="AA27" s="44">
        <f t="shared" si="14"/>
        <v>22970.44804083161</v>
      </c>
      <c r="AB27" s="399"/>
    </row>
    <row r="28" spans="1:28" s="8" customFormat="1" ht="16.5" thickBot="1" thickTop="1">
      <c r="A28" s="6"/>
      <c r="B28" s="33"/>
      <c r="C28" s="39">
        <v>6</v>
      </c>
      <c r="D28" s="39">
        <v>293105</v>
      </c>
      <c r="E28" s="39">
        <v>5314</v>
      </c>
      <c r="F28" s="40" t="s">
        <v>100</v>
      </c>
      <c r="G28" s="40">
        <v>132</v>
      </c>
      <c r="H28" s="248">
        <v>89.1</v>
      </c>
      <c r="I28" s="246">
        <f t="shared" si="0"/>
        <v>307.83426299999996</v>
      </c>
      <c r="J28" s="41">
        <v>42285.100694444445</v>
      </c>
      <c r="K28" s="41">
        <v>42285.1375</v>
      </c>
      <c r="L28" s="10">
        <f t="shared" si="1"/>
        <v>0.8833333332440816</v>
      </c>
      <c r="M28" s="11">
        <f t="shared" si="2"/>
        <v>53</v>
      </c>
      <c r="N28" s="42" t="s">
        <v>75</v>
      </c>
      <c r="O28" s="43" t="str">
        <f t="shared" si="3"/>
        <v>--</v>
      </c>
      <c r="P28" s="253" t="str">
        <f t="shared" si="4"/>
        <v>--</v>
      </c>
      <c r="Q28" s="259" t="str">
        <f t="shared" si="5"/>
        <v>--</v>
      </c>
      <c r="R28" s="268">
        <f t="shared" si="6"/>
        <v>18470.05578</v>
      </c>
      <c r="S28" s="269">
        <f t="shared" si="7"/>
        <v>16253.649086399999</v>
      </c>
      <c r="T28" s="270" t="str">
        <f t="shared" si="8"/>
        <v>--</v>
      </c>
      <c r="U28" s="284" t="str">
        <f t="shared" si="9"/>
        <v>--</v>
      </c>
      <c r="V28" s="285" t="str">
        <f t="shared" si="10"/>
        <v>--</v>
      </c>
      <c r="W28" s="286" t="str">
        <f t="shared" si="11"/>
        <v>--</v>
      </c>
      <c r="X28" s="294" t="str">
        <f t="shared" si="12"/>
        <v>--</v>
      </c>
      <c r="Y28" s="300" t="str">
        <f t="shared" si="13"/>
        <v>--</v>
      </c>
      <c r="Z28" s="236" t="s">
        <v>73</v>
      </c>
      <c r="AA28" s="44">
        <f t="shared" si="14"/>
        <v>34723.704866399996</v>
      </c>
      <c r="AB28" s="399"/>
    </row>
    <row r="29" spans="1:28" s="8" customFormat="1" ht="16.5" thickBot="1" thickTop="1">
      <c r="A29" s="6"/>
      <c r="B29" s="33"/>
      <c r="C29" s="39">
        <v>7</v>
      </c>
      <c r="D29" s="39">
        <v>293117</v>
      </c>
      <c r="E29" s="39">
        <v>5392</v>
      </c>
      <c r="F29" s="40" t="s">
        <v>99</v>
      </c>
      <c r="G29" s="40">
        <v>132</v>
      </c>
      <c r="H29" s="248">
        <v>68</v>
      </c>
      <c r="I29" s="246">
        <f t="shared" si="0"/>
        <v>234.93524000000002</v>
      </c>
      <c r="J29" s="41">
        <v>42286.097916666666</v>
      </c>
      <c r="K29" s="41">
        <v>42286.11736111111</v>
      </c>
      <c r="L29" s="10">
        <f t="shared" si="1"/>
        <v>0.46666666661622</v>
      </c>
      <c r="M29" s="11">
        <f t="shared" si="2"/>
        <v>28</v>
      </c>
      <c r="N29" s="42" t="s">
        <v>75</v>
      </c>
      <c r="O29" s="43" t="str">
        <f t="shared" si="3"/>
        <v>--</v>
      </c>
      <c r="P29" s="253" t="str">
        <f t="shared" si="4"/>
        <v>--</v>
      </c>
      <c r="Q29" s="259" t="str">
        <f t="shared" si="5"/>
        <v>--</v>
      </c>
      <c r="R29" s="268">
        <f t="shared" si="6"/>
        <v>14096.114400000002</v>
      </c>
      <c r="S29" s="269">
        <f t="shared" si="7"/>
        <v>6625.173768000001</v>
      </c>
      <c r="T29" s="270" t="str">
        <f t="shared" si="8"/>
        <v>--</v>
      </c>
      <c r="U29" s="284" t="str">
        <f t="shared" si="9"/>
        <v>--</v>
      </c>
      <c r="V29" s="285" t="str">
        <f t="shared" si="10"/>
        <v>--</v>
      </c>
      <c r="W29" s="286" t="str">
        <f t="shared" si="11"/>
        <v>--</v>
      </c>
      <c r="X29" s="294" t="str">
        <f t="shared" si="12"/>
        <v>--</v>
      </c>
      <c r="Y29" s="300" t="str">
        <f t="shared" si="13"/>
        <v>--</v>
      </c>
      <c r="Z29" s="236" t="s">
        <v>73</v>
      </c>
      <c r="AA29" s="44">
        <f t="shared" si="14"/>
        <v>20721.288168000003</v>
      </c>
      <c r="AB29" s="399"/>
    </row>
    <row r="30" spans="1:28" s="8" customFormat="1" ht="16.5" thickBot="1" thickTop="1">
      <c r="A30" s="6"/>
      <c r="B30" s="33"/>
      <c r="C30" s="39">
        <v>8</v>
      </c>
      <c r="D30" s="39">
        <v>293326</v>
      </c>
      <c r="E30" s="39">
        <v>5556</v>
      </c>
      <c r="F30" s="40" t="s">
        <v>101</v>
      </c>
      <c r="G30" s="40">
        <v>132</v>
      </c>
      <c r="H30" s="248">
        <v>60.6</v>
      </c>
      <c r="I30" s="246">
        <f t="shared" si="0"/>
        <v>209.368758</v>
      </c>
      <c r="J30" s="41">
        <v>42290.54861111111</v>
      </c>
      <c r="K30" s="41">
        <v>42290.55625</v>
      </c>
      <c r="L30" s="10">
        <f t="shared" si="1"/>
        <v>0.18333333340706304</v>
      </c>
      <c r="M30" s="11">
        <f t="shared" si="2"/>
        <v>11</v>
      </c>
      <c r="N30" s="42" t="s">
        <v>75</v>
      </c>
      <c r="O30" s="43" t="str">
        <f t="shared" si="3"/>
        <v>--</v>
      </c>
      <c r="P30" s="253" t="str">
        <f t="shared" si="4"/>
        <v>--</v>
      </c>
      <c r="Q30" s="259" t="str">
        <f t="shared" si="5"/>
        <v>--</v>
      </c>
      <c r="R30" s="268">
        <f t="shared" si="6"/>
        <v>12562.12548</v>
      </c>
      <c r="S30" s="269">
        <f t="shared" si="7"/>
        <v>2261.1825864</v>
      </c>
      <c r="T30" s="270" t="str">
        <f t="shared" si="8"/>
        <v>--</v>
      </c>
      <c r="U30" s="284" t="str">
        <f t="shared" si="9"/>
        <v>--</v>
      </c>
      <c r="V30" s="285" t="str">
        <f t="shared" si="10"/>
        <v>--</v>
      </c>
      <c r="W30" s="286" t="str">
        <f t="shared" si="11"/>
        <v>--</v>
      </c>
      <c r="X30" s="294" t="str">
        <f t="shared" si="12"/>
        <v>--</v>
      </c>
      <c r="Y30" s="300" t="str">
        <f t="shared" si="13"/>
        <v>--</v>
      </c>
      <c r="Z30" s="236" t="s">
        <v>73</v>
      </c>
      <c r="AA30" s="44">
        <f t="shared" si="14"/>
        <v>14823.3080664</v>
      </c>
      <c r="AB30" s="399"/>
    </row>
    <row r="31" spans="1:28" s="8" customFormat="1" ht="16.5" thickBot="1" thickTop="1">
      <c r="A31" s="6"/>
      <c r="B31" s="33"/>
      <c r="C31" s="39">
        <v>9</v>
      </c>
      <c r="D31" s="39">
        <v>293482</v>
      </c>
      <c r="E31" s="39">
        <v>945</v>
      </c>
      <c r="F31" s="40" t="s">
        <v>78</v>
      </c>
      <c r="G31" s="40">
        <v>220</v>
      </c>
      <c r="H31" s="248">
        <v>29.799999237060547</v>
      </c>
      <c r="I31" s="246">
        <f t="shared" si="0"/>
        <v>107.55564724636079</v>
      </c>
      <c r="J31" s="41">
        <v>42297.311111111114</v>
      </c>
      <c r="K31" s="41">
        <v>42297.50069444445</v>
      </c>
      <c r="L31" s="10">
        <f t="shared" si="1"/>
        <v>4.5499999999883585</v>
      </c>
      <c r="M31" s="11">
        <f t="shared" si="2"/>
        <v>273</v>
      </c>
      <c r="N31" s="42" t="s">
        <v>72</v>
      </c>
      <c r="O31" s="43" t="str">
        <f t="shared" si="3"/>
        <v>--</v>
      </c>
      <c r="P31" s="253">
        <f t="shared" si="4"/>
        <v>293.626916982565</v>
      </c>
      <c r="Q31" s="259" t="str">
        <f t="shared" si="5"/>
        <v>--</v>
      </c>
      <c r="R31" s="268" t="str">
        <f t="shared" si="6"/>
        <v>--</v>
      </c>
      <c r="S31" s="269" t="str">
        <f t="shared" si="7"/>
        <v>--</v>
      </c>
      <c r="T31" s="270" t="str">
        <f t="shared" si="8"/>
        <v>--</v>
      </c>
      <c r="U31" s="284" t="str">
        <f t="shared" si="9"/>
        <v>--</v>
      </c>
      <c r="V31" s="285" t="str">
        <f t="shared" si="10"/>
        <v>--</v>
      </c>
      <c r="W31" s="286" t="str">
        <f t="shared" si="11"/>
        <v>--</v>
      </c>
      <c r="X31" s="294" t="str">
        <f t="shared" si="12"/>
        <v>--</v>
      </c>
      <c r="Y31" s="300" t="str">
        <f t="shared" si="13"/>
        <v>--</v>
      </c>
      <c r="Z31" s="236" t="s">
        <v>73</v>
      </c>
      <c r="AA31" s="44">
        <f t="shared" si="14"/>
        <v>293.626916982565</v>
      </c>
      <c r="AB31" s="399"/>
    </row>
    <row r="32" spans="1:28" s="8" customFormat="1" ht="16.5" thickBot="1" thickTop="1">
      <c r="A32" s="6"/>
      <c r="B32" s="33"/>
      <c r="C32" s="39">
        <v>10</v>
      </c>
      <c r="D32" s="39">
        <v>293483</v>
      </c>
      <c r="E32" s="39">
        <v>4049</v>
      </c>
      <c r="F32" s="40" t="s">
        <v>102</v>
      </c>
      <c r="G32" s="40">
        <v>132</v>
      </c>
      <c r="H32" s="248">
        <v>104.7</v>
      </c>
      <c r="I32" s="246">
        <f t="shared" si="0"/>
        <v>361.731171</v>
      </c>
      <c r="J32" s="41">
        <v>42302.15</v>
      </c>
      <c r="K32" s="41">
        <v>42302.186111111114</v>
      </c>
      <c r="L32" s="10">
        <f t="shared" si="1"/>
        <v>0.8666666666977108</v>
      </c>
      <c r="M32" s="11">
        <f t="shared" si="2"/>
        <v>52</v>
      </c>
      <c r="N32" s="42" t="s">
        <v>75</v>
      </c>
      <c r="O32" s="43" t="str">
        <f t="shared" si="3"/>
        <v>--</v>
      </c>
      <c r="P32" s="253" t="str">
        <f t="shared" si="4"/>
        <v>--</v>
      </c>
      <c r="Q32" s="259" t="str">
        <f t="shared" si="5"/>
        <v>--</v>
      </c>
      <c r="R32" s="268">
        <f t="shared" si="6"/>
        <v>21703.87026</v>
      </c>
      <c r="S32" s="269">
        <f t="shared" si="7"/>
        <v>18882.3671262</v>
      </c>
      <c r="T32" s="270" t="str">
        <f t="shared" si="8"/>
        <v>--</v>
      </c>
      <c r="U32" s="284" t="str">
        <f t="shared" si="9"/>
        <v>--</v>
      </c>
      <c r="V32" s="285" t="str">
        <f t="shared" si="10"/>
        <v>--</v>
      </c>
      <c r="W32" s="286" t="str">
        <f t="shared" si="11"/>
        <v>--</v>
      </c>
      <c r="X32" s="294" t="str">
        <f t="shared" si="12"/>
        <v>--</v>
      </c>
      <c r="Y32" s="300" t="str">
        <f t="shared" si="13"/>
        <v>--</v>
      </c>
      <c r="Z32" s="236" t="s">
        <v>73</v>
      </c>
      <c r="AA32" s="44">
        <f t="shared" si="14"/>
        <v>40586.237386199995</v>
      </c>
      <c r="AB32" s="399"/>
    </row>
    <row r="33" spans="1:28" s="8" customFormat="1" ht="16.5" thickBot="1" thickTop="1">
      <c r="A33" s="6"/>
      <c r="B33" s="33"/>
      <c r="C33" s="39">
        <v>11</v>
      </c>
      <c r="D33" s="39">
        <v>294067</v>
      </c>
      <c r="E33" s="39">
        <v>5426</v>
      </c>
      <c r="F33" s="40" t="s">
        <v>103</v>
      </c>
      <c r="G33" s="40">
        <v>132</v>
      </c>
      <c r="H33" s="248">
        <v>59</v>
      </c>
      <c r="I33" s="246">
        <f t="shared" si="0"/>
        <v>203.84087</v>
      </c>
      <c r="J33" s="41">
        <v>42304.509722222225</v>
      </c>
      <c r="K33" s="41">
        <v>42304.51944444444</v>
      </c>
      <c r="L33" s="10">
        <f t="shared" si="1"/>
        <v>0.23333333322079852</v>
      </c>
      <c r="M33" s="11">
        <f t="shared" si="2"/>
        <v>14</v>
      </c>
      <c r="N33" s="42" t="s">
        <v>75</v>
      </c>
      <c r="O33" s="43" t="str">
        <f t="shared" si="3"/>
        <v>--</v>
      </c>
      <c r="P33" s="253" t="str">
        <f t="shared" si="4"/>
        <v>--</v>
      </c>
      <c r="Q33" s="259" t="str">
        <f t="shared" si="5"/>
        <v>--</v>
      </c>
      <c r="R33" s="268">
        <f t="shared" si="6"/>
        <v>12230.4522</v>
      </c>
      <c r="S33" s="269">
        <f t="shared" si="7"/>
        <v>2813.004006</v>
      </c>
      <c r="T33" s="270" t="str">
        <f t="shared" si="8"/>
        <v>--</v>
      </c>
      <c r="U33" s="284" t="str">
        <f t="shared" si="9"/>
        <v>--</v>
      </c>
      <c r="V33" s="285" t="str">
        <f t="shared" si="10"/>
        <v>--</v>
      </c>
      <c r="W33" s="286" t="str">
        <f t="shared" si="11"/>
        <v>--</v>
      </c>
      <c r="X33" s="294" t="str">
        <f t="shared" si="12"/>
        <v>--</v>
      </c>
      <c r="Y33" s="300" t="str">
        <f t="shared" si="13"/>
        <v>--</v>
      </c>
      <c r="Z33" s="236" t="s">
        <v>73</v>
      </c>
      <c r="AA33" s="44">
        <f t="shared" si="14"/>
        <v>15043.456205999999</v>
      </c>
      <c r="AB33" s="399"/>
    </row>
    <row r="34" spans="1:28" s="8" customFormat="1" ht="16.5" thickBot="1" thickTop="1">
      <c r="A34" s="6"/>
      <c r="B34" s="33"/>
      <c r="C34" s="39">
        <v>12</v>
      </c>
      <c r="D34" s="39">
        <v>294078</v>
      </c>
      <c r="E34" s="39">
        <v>945</v>
      </c>
      <c r="F34" s="40" t="s">
        <v>78</v>
      </c>
      <c r="G34" s="40">
        <v>220</v>
      </c>
      <c r="H34" s="248">
        <v>29.799999237060547</v>
      </c>
      <c r="I34" s="246">
        <f t="shared" si="0"/>
        <v>107.55564724636079</v>
      </c>
      <c r="J34" s="41">
        <v>42307.354166666664</v>
      </c>
      <c r="K34" s="41">
        <v>42307.464583333334</v>
      </c>
      <c r="L34" s="10">
        <f t="shared" si="1"/>
        <v>2.6500000000814907</v>
      </c>
      <c r="M34" s="11">
        <f t="shared" si="2"/>
        <v>159</v>
      </c>
      <c r="N34" s="42" t="s">
        <v>72</v>
      </c>
      <c r="O34" s="43" t="str">
        <f t="shared" si="3"/>
        <v>--</v>
      </c>
      <c r="P34" s="253">
        <f t="shared" si="4"/>
        <v>171.01347912171366</v>
      </c>
      <c r="Q34" s="259" t="str">
        <f t="shared" si="5"/>
        <v>--</v>
      </c>
      <c r="R34" s="268" t="str">
        <f t="shared" si="6"/>
        <v>--</v>
      </c>
      <c r="S34" s="269" t="str">
        <f t="shared" si="7"/>
        <v>--</v>
      </c>
      <c r="T34" s="270" t="str">
        <f t="shared" si="8"/>
        <v>--</v>
      </c>
      <c r="U34" s="284" t="str">
        <f t="shared" si="9"/>
        <v>--</v>
      </c>
      <c r="V34" s="285" t="str">
        <f t="shared" si="10"/>
        <v>--</v>
      </c>
      <c r="W34" s="286" t="str">
        <f t="shared" si="11"/>
        <v>--</v>
      </c>
      <c r="X34" s="294" t="str">
        <f t="shared" si="12"/>
        <v>--</v>
      </c>
      <c r="Y34" s="300" t="str">
        <f t="shared" si="13"/>
        <v>--</v>
      </c>
      <c r="Z34" s="236" t="s">
        <v>73</v>
      </c>
      <c r="AA34" s="44">
        <f t="shared" si="14"/>
        <v>171.01347912171366</v>
      </c>
      <c r="AB34" s="399"/>
    </row>
    <row r="35" spans="1:28" s="8" customFormat="1" ht="16.5" thickBot="1" thickTop="1">
      <c r="A35" s="6"/>
      <c r="B35" s="33"/>
      <c r="C35" s="39"/>
      <c r="D35" s="39"/>
      <c r="E35" s="39"/>
      <c r="F35" s="40"/>
      <c r="G35" s="40"/>
      <c r="H35" s="248"/>
      <c r="I35" s="246">
        <f t="shared" si="0"/>
        <v>86.37325000000001</v>
      </c>
      <c r="J35" s="41"/>
      <c r="K35" s="41"/>
      <c r="L35" s="10">
        <f t="shared" si="1"/>
      </c>
      <c r="M35" s="11">
        <f t="shared" si="2"/>
      </c>
      <c r="N35" s="42"/>
      <c r="O35" s="43">
        <f t="shared" si="3"/>
      </c>
      <c r="P35" s="253" t="str">
        <f t="shared" si="4"/>
        <v>--</v>
      </c>
      <c r="Q35" s="259" t="str">
        <f t="shared" si="5"/>
        <v>--</v>
      </c>
      <c r="R35" s="268" t="str">
        <f t="shared" si="6"/>
        <v>--</v>
      </c>
      <c r="S35" s="269" t="str">
        <f t="shared" si="7"/>
        <v>--</v>
      </c>
      <c r="T35" s="270" t="str">
        <f t="shared" si="8"/>
        <v>--</v>
      </c>
      <c r="U35" s="284" t="str">
        <f t="shared" si="9"/>
        <v>--</v>
      </c>
      <c r="V35" s="285" t="str">
        <f t="shared" si="10"/>
        <v>--</v>
      </c>
      <c r="W35" s="286" t="str">
        <f t="shared" si="11"/>
        <v>--</v>
      </c>
      <c r="X35" s="294" t="str">
        <f t="shared" si="12"/>
        <v>--</v>
      </c>
      <c r="Y35" s="300" t="str">
        <f t="shared" si="13"/>
        <v>--</v>
      </c>
      <c r="Z35" s="236">
        <f aca="true" t="shared" si="15" ref="Z35:Z42">IF(F35="","","SI")</f>
      </c>
      <c r="AA35" s="44">
        <f t="shared" si="14"/>
      </c>
      <c r="AB35" s="399"/>
    </row>
    <row r="36" spans="1:28" s="8" customFormat="1" ht="16.5" thickBot="1" thickTop="1">
      <c r="A36" s="6"/>
      <c r="B36" s="33"/>
      <c r="C36" s="39"/>
      <c r="D36" s="39"/>
      <c r="E36" s="39"/>
      <c r="F36" s="40"/>
      <c r="G36" s="40"/>
      <c r="H36" s="248"/>
      <c r="I36" s="246">
        <f t="shared" si="0"/>
        <v>86.37325000000001</v>
      </c>
      <c r="J36" s="41"/>
      <c r="K36" s="41"/>
      <c r="L36" s="10">
        <f t="shared" si="1"/>
      </c>
      <c r="M36" s="11">
        <f t="shared" si="2"/>
      </c>
      <c r="N36" s="42"/>
      <c r="O36" s="43">
        <f t="shared" si="3"/>
      </c>
      <c r="P36" s="253" t="str">
        <f t="shared" si="4"/>
        <v>--</v>
      </c>
      <c r="Q36" s="259" t="str">
        <f t="shared" si="5"/>
        <v>--</v>
      </c>
      <c r="R36" s="268" t="str">
        <f t="shared" si="6"/>
        <v>--</v>
      </c>
      <c r="S36" s="269" t="str">
        <f t="shared" si="7"/>
        <v>--</v>
      </c>
      <c r="T36" s="270" t="str">
        <f t="shared" si="8"/>
        <v>--</v>
      </c>
      <c r="U36" s="284" t="str">
        <f t="shared" si="9"/>
        <v>--</v>
      </c>
      <c r="V36" s="285" t="str">
        <f t="shared" si="10"/>
        <v>--</v>
      </c>
      <c r="W36" s="286" t="str">
        <f t="shared" si="11"/>
        <v>--</v>
      </c>
      <c r="X36" s="294" t="str">
        <f t="shared" si="12"/>
        <v>--</v>
      </c>
      <c r="Y36" s="300" t="str">
        <f t="shared" si="13"/>
        <v>--</v>
      </c>
      <c r="Z36" s="236">
        <f t="shared" si="15"/>
      </c>
      <c r="AA36" s="44">
        <f t="shared" si="14"/>
      </c>
      <c r="AB36" s="399"/>
    </row>
    <row r="37" spans="1:28" s="8" customFormat="1" ht="16.5" thickBot="1" thickTop="1">
      <c r="A37" s="6"/>
      <c r="B37" s="33"/>
      <c r="C37" s="39"/>
      <c r="D37" s="39"/>
      <c r="E37" s="39"/>
      <c r="F37" s="40"/>
      <c r="G37" s="40"/>
      <c r="H37" s="248"/>
      <c r="I37" s="246">
        <f t="shared" si="0"/>
        <v>86.37325000000001</v>
      </c>
      <c r="J37" s="41"/>
      <c r="K37" s="41"/>
      <c r="L37" s="10">
        <f t="shared" si="1"/>
      </c>
      <c r="M37" s="11">
        <f t="shared" si="2"/>
      </c>
      <c r="N37" s="42"/>
      <c r="O37" s="43">
        <f t="shared" si="3"/>
      </c>
      <c r="P37" s="253" t="str">
        <f t="shared" si="4"/>
        <v>--</v>
      </c>
      <c r="Q37" s="259" t="str">
        <f t="shared" si="5"/>
        <v>--</v>
      </c>
      <c r="R37" s="268" t="str">
        <f t="shared" si="6"/>
        <v>--</v>
      </c>
      <c r="S37" s="269" t="str">
        <f t="shared" si="7"/>
        <v>--</v>
      </c>
      <c r="T37" s="270" t="str">
        <f t="shared" si="8"/>
        <v>--</v>
      </c>
      <c r="U37" s="284" t="str">
        <f t="shared" si="9"/>
        <v>--</v>
      </c>
      <c r="V37" s="285" t="str">
        <f t="shared" si="10"/>
        <v>--</v>
      </c>
      <c r="W37" s="286" t="str">
        <f t="shared" si="11"/>
        <v>--</v>
      </c>
      <c r="X37" s="294" t="str">
        <f t="shared" si="12"/>
        <v>--</v>
      </c>
      <c r="Y37" s="300" t="str">
        <f t="shared" si="13"/>
        <v>--</v>
      </c>
      <c r="Z37" s="236">
        <f t="shared" si="15"/>
      </c>
      <c r="AA37" s="44">
        <f t="shared" si="14"/>
      </c>
      <c r="AB37" s="399"/>
    </row>
    <row r="38" spans="1:28" s="8" customFormat="1" ht="16.5" thickBot="1" thickTop="1">
      <c r="A38" s="6"/>
      <c r="B38" s="33"/>
      <c r="C38" s="39"/>
      <c r="D38" s="39"/>
      <c r="E38" s="39"/>
      <c r="F38" s="40"/>
      <c r="G38" s="40"/>
      <c r="H38" s="248"/>
      <c r="I38" s="246">
        <f t="shared" si="0"/>
        <v>86.37325000000001</v>
      </c>
      <c r="J38" s="41"/>
      <c r="K38" s="41"/>
      <c r="L38" s="10">
        <f t="shared" si="1"/>
      </c>
      <c r="M38" s="11">
        <f t="shared" si="2"/>
      </c>
      <c r="N38" s="42"/>
      <c r="O38" s="43">
        <f t="shared" si="3"/>
      </c>
      <c r="P38" s="253" t="str">
        <f t="shared" si="4"/>
        <v>--</v>
      </c>
      <c r="Q38" s="259" t="str">
        <f t="shared" si="5"/>
        <v>--</v>
      </c>
      <c r="R38" s="268" t="str">
        <f t="shared" si="6"/>
        <v>--</v>
      </c>
      <c r="S38" s="269" t="str">
        <f t="shared" si="7"/>
        <v>--</v>
      </c>
      <c r="T38" s="270" t="str">
        <f t="shared" si="8"/>
        <v>--</v>
      </c>
      <c r="U38" s="284" t="str">
        <f t="shared" si="9"/>
        <v>--</v>
      </c>
      <c r="V38" s="285" t="str">
        <f t="shared" si="10"/>
        <v>--</v>
      </c>
      <c r="W38" s="286" t="str">
        <f t="shared" si="11"/>
        <v>--</v>
      </c>
      <c r="X38" s="294" t="str">
        <f t="shared" si="12"/>
        <v>--</v>
      </c>
      <c r="Y38" s="300" t="str">
        <f t="shared" si="13"/>
        <v>--</v>
      </c>
      <c r="Z38" s="236">
        <f t="shared" si="15"/>
      </c>
      <c r="AA38" s="44">
        <f t="shared" si="14"/>
      </c>
      <c r="AB38" s="9"/>
    </row>
    <row r="39" spans="1:28" s="8" customFormat="1" ht="16.5" thickBot="1" thickTop="1">
      <c r="A39" s="6"/>
      <c r="B39" s="33"/>
      <c r="C39" s="39"/>
      <c r="D39" s="39"/>
      <c r="E39" s="39"/>
      <c r="F39" s="40"/>
      <c r="G39" s="40"/>
      <c r="H39" s="248"/>
      <c r="I39" s="246">
        <f t="shared" si="0"/>
        <v>86.37325000000001</v>
      </c>
      <c r="J39" s="41"/>
      <c r="K39" s="41"/>
      <c r="L39" s="10">
        <f t="shared" si="1"/>
      </c>
      <c r="M39" s="11">
        <f t="shared" si="2"/>
      </c>
      <c r="N39" s="42"/>
      <c r="O39" s="43">
        <f t="shared" si="3"/>
      </c>
      <c r="P39" s="253" t="str">
        <f t="shared" si="4"/>
        <v>--</v>
      </c>
      <c r="Q39" s="259" t="str">
        <f t="shared" si="5"/>
        <v>--</v>
      </c>
      <c r="R39" s="268" t="str">
        <f t="shared" si="6"/>
        <v>--</v>
      </c>
      <c r="S39" s="269" t="str">
        <f t="shared" si="7"/>
        <v>--</v>
      </c>
      <c r="T39" s="270" t="str">
        <f t="shared" si="8"/>
        <v>--</v>
      </c>
      <c r="U39" s="284" t="str">
        <f t="shared" si="9"/>
        <v>--</v>
      </c>
      <c r="V39" s="285" t="str">
        <f t="shared" si="10"/>
        <v>--</v>
      </c>
      <c r="W39" s="286" t="str">
        <f t="shared" si="11"/>
        <v>--</v>
      </c>
      <c r="X39" s="294" t="str">
        <f t="shared" si="12"/>
        <v>--</v>
      </c>
      <c r="Y39" s="300" t="str">
        <f t="shared" si="13"/>
        <v>--</v>
      </c>
      <c r="Z39" s="236">
        <f t="shared" si="15"/>
      </c>
      <c r="AA39" s="44">
        <f t="shared" si="14"/>
      </c>
      <c r="AB39" s="9"/>
    </row>
    <row r="40" spans="1:28" s="8" customFormat="1" ht="16.5" thickBot="1" thickTop="1">
      <c r="A40" s="6"/>
      <c r="B40" s="114"/>
      <c r="C40" s="39"/>
      <c r="D40" s="39"/>
      <c r="E40" s="39"/>
      <c r="F40" s="40"/>
      <c r="G40" s="40"/>
      <c r="H40" s="248"/>
      <c r="I40" s="246">
        <f t="shared" si="0"/>
        <v>86.37325000000001</v>
      </c>
      <c r="J40" s="41"/>
      <c r="K40" s="41"/>
      <c r="L40" s="10">
        <f t="shared" si="1"/>
      </c>
      <c r="M40" s="11">
        <f t="shared" si="2"/>
      </c>
      <c r="N40" s="42"/>
      <c r="O40" s="43">
        <f t="shared" si="3"/>
      </c>
      <c r="P40" s="253" t="str">
        <f t="shared" si="4"/>
        <v>--</v>
      </c>
      <c r="Q40" s="259" t="str">
        <f t="shared" si="5"/>
        <v>--</v>
      </c>
      <c r="R40" s="268" t="str">
        <f t="shared" si="6"/>
        <v>--</v>
      </c>
      <c r="S40" s="269" t="str">
        <f t="shared" si="7"/>
        <v>--</v>
      </c>
      <c r="T40" s="270" t="str">
        <f t="shared" si="8"/>
        <v>--</v>
      </c>
      <c r="U40" s="284" t="str">
        <f t="shared" si="9"/>
        <v>--</v>
      </c>
      <c r="V40" s="285" t="str">
        <f t="shared" si="10"/>
        <v>--</v>
      </c>
      <c r="W40" s="286" t="str">
        <f t="shared" si="11"/>
        <v>--</v>
      </c>
      <c r="X40" s="294" t="str">
        <f t="shared" si="12"/>
        <v>--</v>
      </c>
      <c r="Y40" s="300" t="str">
        <f t="shared" si="13"/>
        <v>--</v>
      </c>
      <c r="Z40" s="236">
        <f t="shared" si="15"/>
      </c>
      <c r="AA40" s="44">
        <f t="shared" si="14"/>
      </c>
      <c r="AB40" s="9"/>
    </row>
    <row r="41" spans="1:28" s="8" customFormat="1" ht="16.5" thickBot="1" thickTop="1">
      <c r="A41" s="6"/>
      <c r="B41" s="33"/>
      <c r="C41" s="39"/>
      <c r="D41" s="39"/>
      <c r="E41" s="39"/>
      <c r="F41" s="40"/>
      <c r="G41" s="40"/>
      <c r="H41" s="248"/>
      <c r="I41" s="246">
        <f t="shared" si="0"/>
        <v>86.37325000000001</v>
      </c>
      <c r="J41" s="41"/>
      <c r="K41" s="41"/>
      <c r="L41" s="10">
        <f t="shared" si="1"/>
      </c>
      <c r="M41" s="11">
        <f t="shared" si="2"/>
      </c>
      <c r="N41" s="42"/>
      <c r="O41" s="43">
        <f t="shared" si="3"/>
      </c>
      <c r="P41" s="253" t="str">
        <f t="shared" si="4"/>
        <v>--</v>
      </c>
      <c r="Q41" s="259" t="str">
        <f t="shared" si="5"/>
        <v>--</v>
      </c>
      <c r="R41" s="268" t="str">
        <f t="shared" si="6"/>
        <v>--</v>
      </c>
      <c r="S41" s="269" t="str">
        <f t="shared" si="7"/>
        <v>--</v>
      </c>
      <c r="T41" s="270" t="str">
        <f t="shared" si="8"/>
        <v>--</v>
      </c>
      <c r="U41" s="284" t="str">
        <f t="shared" si="9"/>
        <v>--</v>
      </c>
      <c r="V41" s="285" t="str">
        <f t="shared" si="10"/>
        <v>--</v>
      </c>
      <c r="W41" s="286" t="str">
        <f t="shared" si="11"/>
        <v>--</v>
      </c>
      <c r="X41" s="294" t="str">
        <f t="shared" si="12"/>
        <v>--</v>
      </c>
      <c r="Y41" s="300" t="str">
        <f t="shared" si="13"/>
        <v>--</v>
      </c>
      <c r="Z41" s="236">
        <f t="shared" si="15"/>
      </c>
      <c r="AA41" s="44">
        <f t="shared" si="14"/>
      </c>
      <c r="AB41" s="9"/>
    </row>
    <row r="42" spans="1:28" s="8" customFormat="1" ht="16.5" thickBot="1" thickTop="1">
      <c r="A42" s="6"/>
      <c r="B42" s="33"/>
      <c r="C42" s="39"/>
      <c r="D42" s="39"/>
      <c r="E42" s="39"/>
      <c r="F42" s="40"/>
      <c r="G42" s="40"/>
      <c r="H42" s="248"/>
      <c r="I42" s="246">
        <f t="shared" si="0"/>
        <v>86.37325000000001</v>
      </c>
      <c r="J42" s="41"/>
      <c r="K42" s="41"/>
      <c r="L42" s="10">
        <f t="shared" si="1"/>
      </c>
      <c r="M42" s="11">
        <f t="shared" si="2"/>
      </c>
      <c r="N42" s="42"/>
      <c r="O42" s="43">
        <f t="shared" si="3"/>
      </c>
      <c r="P42" s="253" t="str">
        <f t="shared" si="4"/>
        <v>--</v>
      </c>
      <c r="Q42" s="259" t="str">
        <f t="shared" si="5"/>
        <v>--</v>
      </c>
      <c r="R42" s="268" t="str">
        <f t="shared" si="6"/>
        <v>--</v>
      </c>
      <c r="S42" s="269" t="str">
        <f t="shared" si="7"/>
        <v>--</v>
      </c>
      <c r="T42" s="270" t="str">
        <f t="shared" si="8"/>
        <v>--</v>
      </c>
      <c r="U42" s="284" t="str">
        <f t="shared" si="9"/>
        <v>--</v>
      </c>
      <c r="V42" s="285" t="str">
        <f t="shared" si="10"/>
        <v>--</v>
      </c>
      <c r="W42" s="286" t="str">
        <f t="shared" si="11"/>
        <v>--</v>
      </c>
      <c r="X42" s="294" t="str">
        <f t="shared" si="12"/>
        <v>--</v>
      </c>
      <c r="Y42" s="300" t="str">
        <f t="shared" si="13"/>
        <v>--</v>
      </c>
      <c r="Z42" s="236">
        <f t="shared" si="15"/>
      </c>
      <c r="AA42" s="44">
        <f t="shared" si="14"/>
      </c>
      <c r="AB42" s="9"/>
    </row>
    <row r="43" spans="2:28" s="8" customFormat="1" ht="16.5" thickBot="1" thickTop="1">
      <c r="B43" s="115"/>
      <c r="C43" s="39"/>
      <c r="D43" s="39"/>
      <c r="E43" s="39"/>
      <c r="F43" s="40"/>
      <c r="G43" s="40"/>
      <c r="H43" s="248"/>
      <c r="I43" s="246">
        <f>IF(H43&gt;25,H43,25)*IF(G43=220,$G$16,IF(G43=132,$G$17,$G$18))/100</f>
        <v>86.37325000000001</v>
      </c>
      <c r="J43" s="41"/>
      <c r="K43" s="41"/>
      <c r="L43" s="10">
        <f>IF(F43="","",(K43-J43)*24)</f>
      </c>
      <c r="M43" s="11">
        <f>IF(F43="","",ROUND((K43-J43)*24*60,0))</f>
      </c>
      <c r="N43" s="42"/>
      <c r="O43" s="43">
        <f>IF(F43="","","--")</f>
      </c>
      <c r="P43" s="253" t="str">
        <f>IF(N43="P",ROUND(M43/60,2)*I43*$L$17*0.01,"--")</f>
        <v>--</v>
      </c>
      <c r="Q43" s="259" t="str">
        <f>IF(N43="RP",ROUND(M43/60,2)*I43*$L$17*0.01*O43/100,"--")</f>
        <v>--</v>
      </c>
      <c r="R43" s="268" t="str">
        <f>IF(N43="F",I43*$L$17,"--")</f>
        <v>--</v>
      </c>
      <c r="S43" s="269" t="str">
        <f>IF(AND(M43&gt;10,N43="F"),I43*$L$17*IF(M43&gt;180,3,ROUND(M43/60,2)),"--")</f>
        <v>--</v>
      </c>
      <c r="T43" s="270" t="str">
        <f>IF(AND(N43="F",M43&gt;180),(ROUND(M43/60,2)-3)*I43*$L$17*0.1,"--")</f>
        <v>--</v>
      </c>
      <c r="U43" s="284" t="str">
        <f>IF(N43="R",I43*$L$17*O43/100,"--")</f>
        <v>--</v>
      </c>
      <c r="V43" s="285" t="str">
        <f>IF(AND(M43&gt;10,N43="R"),I43*$L$17*O43/100*IF(M43&gt;180,3,ROUND(M43/60,2)),"--")</f>
        <v>--</v>
      </c>
      <c r="W43" s="286" t="str">
        <f>IF(AND(N43="R",M43&gt;180),(ROUND(M43/60,2)-3)*I43*$L$17*0.1*O43/100,"--")</f>
        <v>--</v>
      </c>
      <c r="X43" s="294" t="str">
        <f>IF(N43="RF",ROUND(M43/60,2)*I43*$L$17*0.1,"--")</f>
        <v>--</v>
      </c>
      <c r="Y43" s="300" t="str">
        <f>IF(N43="RR",ROUND(M43/60,2)*I43*$L$17*0.1*O43/100,"--")</f>
        <v>--</v>
      </c>
      <c r="Z43" s="236">
        <f>IF(F43="","","SI")</f>
      </c>
      <c r="AA43" s="44">
        <f t="shared" si="14"/>
      </c>
      <c r="AB43" s="9"/>
    </row>
    <row r="44" spans="2:28" s="8" customFormat="1" ht="16.5" thickBot="1" thickTop="1">
      <c r="B44" s="115"/>
      <c r="C44" s="39"/>
      <c r="D44" s="39"/>
      <c r="E44" s="39"/>
      <c r="F44" s="40"/>
      <c r="G44" s="40"/>
      <c r="H44" s="248"/>
      <c r="I44" s="246">
        <f>IF(H44&gt;25,H44,25)*IF(G44=220,$G$16,IF(G44=132,$G$17,$G$18))/100</f>
        <v>86.37325000000001</v>
      </c>
      <c r="J44" s="41"/>
      <c r="K44" s="41"/>
      <c r="L44" s="10">
        <f>IF(F44="","",(K44-J44)*24)</f>
      </c>
      <c r="M44" s="11">
        <f>IF(F44="","",ROUND((K44-J44)*24*60,0))</f>
      </c>
      <c r="N44" s="42"/>
      <c r="O44" s="43">
        <f>IF(F44="","","--")</f>
      </c>
      <c r="P44" s="253" t="str">
        <f>IF(N44="P",ROUND(M44/60,2)*I44*$L$17*0.01,"--")</f>
        <v>--</v>
      </c>
      <c r="Q44" s="259" t="str">
        <f>IF(N44="RP",ROUND(M44/60,2)*I44*$L$17*0.01*O44/100,"--")</f>
        <v>--</v>
      </c>
      <c r="R44" s="268" t="str">
        <f>IF(N44="F",I44*$L$17,"--")</f>
        <v>--</v>
      </c>
      <c r="S44" s="269" t="str">
        <f>IF(AND(M44&gt;10,N44="F"),I44*$L$17*IF(M44&gt;180,3,ROUND(M44/60,2)),"--")</f>
        <v>--</v>
      </c>
      <c r="T44" s="270" t="str">
        <f>IF(AND(N44="F",M44&gt;180),(ROUND(M44/60,2)-3)*I44*$L$17*0.1,"--")</f>
        <v>--</v>
      </c>
      <c r="U44" s="284" t="str">
        <f>IF(N44="R",I44*$L$17*O44/100,"--")</f>
        <v>--</v>
      </c>
      <c r="V44" s="285" t="str">
        <f>IF(AND(M44&gt;10,N44="R"),I44*$L$17*O44/100*IF(M44&gt;180,3,ROUND(M44/60,2)),"--")</f>
        <v>--</v>
      </c>
      <c r="W44" s="286" t="str">
        <f>IF(AND(N44="R",M44&gt;180),(ROUND(M44/60,2)-3)*I44*$L$17*0.1*O44/100,"--")</f>
        <v>--</v>
      </c>
      <c r="X44" s="294" t="str">
        <f>IF(N44="RF",ROUND(M44/60,2)*I44*$L$17*0.1,"--")</f>
        <v>--</v>
      </c>
      <c r="Y44" s="300" t="str">
        <f>IF(N44="RR",ROUND(M44/60,2)*I44*$L$17*0.1*O44/100,"--")</f>
        <v>--</v>
      </c>
      <c r="Z44" s="236">
        <f>IF(F44="","","SI")</f>
      </c>
      <c r="AA44" s="44">
        <f t="shared" si="14"/>
      </c>
      <c r="AB44" s="9"/>
    </row>
    <row r="45" spans="2:28" s="8" customFormat="1" ht="16.5" thickBot="1" thickTop="1">
      <c r="B45" s="115"/>
      <c r="C45" s="39"/>
      <c r="D45" s="39"/>
      <c r="E45" s="39"/>
      <c r="F45" s="40"/>
      <c r="G45" s="40"/>
      <c r="H45" s="248"/>
      <c r="I45" s="246">
        <f>IF(H45&gt;25,H45,25)*IF(G45=220,$G$16,IF(G45=132,$G$17,$G$18))/100</f>
        <v>86.37325000000001</v>
      </c>
      <c r="J45" s="41"/>
      <c r="K45" s="41"/>
      <c r="L45" s="10">
        <f>IF(F45="","",(K45-J45)*24)</f>
      </c>
      <c r="M45" s="11">
        <f>IF(F45="","",ROUND((K45-J45)*24*60,0))</f>
      </c>
      <c r="N45" s="42"/>
      <c r="O45" s="43">
        <f>IF(F45="","","--")</f>
      </c>
      <c r="P45" s="253" t="str">
        <f>IF(N45="P",ROUND(M45/60,2)*I45*$L$17*0.01,"--")</f>
        <v>--</v>
      </c>
      <c r="Q45" s="259" t="str">
        <f>IF(N45="RP",ROUND(M45/60,2)*I45*$L$17*0.01*O45/100,"--")</f>
        <v>--</v>
      </c>
      <c r="R45" s="268" t="str">
        <f>IF(N45="F",I45*$L$17,"--")</f>
        <v>--</v>
      </c>
      <c r="S45" s="269" t="str">
        <f>IF(AND(M45&gt;10,N45="F"),I45*$L$17*IF(M45&gt;180,3,ROUND(M45/60,2)),"--")</f>
        <v>--</v>
      </c>
      <c r="T45" s="270" t="str">
        <f>IF(AND(N45="F",M45&gt;180),(ROUND(M45/60,2)-3)*I45*$L$17*0.1,"--")</f>
        <v>--</v>
      </c>
      <c r="U45" s="284" t="str">
        <f>IF(N45="R",I45*$L$17*O45/100,"--")</f>
        <v>--</v>
      </c>
      <c r="V45" s="285" t="str">
        <f>IF(AND(M45&gt;10,N45="R"),I45*$L$17*O45/100*IF(M45&gt;180,3,ROUND(M45/60,2)),"--")</f>
        <v>--</v>
      </c>
      <c r="W45" s="286" t="str">
        <f>IF(AND(N45="R",M45&gt;180),(ROUND(M45/60,2)-3)*I45*$L$17*0.1*O45/100,"--")</f>
        <v>--</v>
      </c>
      <c r="X45" s="294" t="str">
        <f>IF(N45="RF",ROUND(M45/60,2)*I45*$L$17*0.1,"--")</f>
        <v>--</v>
      </c>
      <c r="Y45" s="300" t="str">
        <f>IF(N45="RR",ROUND(M45/60,2)*I45*$L$17*0.1*O45/100,"--")</f>
        <v>--</v>
      </c>
      <c r="Z45" s="236">
        <f>IF(F45="","","SI")</f>
      </c>
      <c r="AA45" s="44">
        <f t="shared" si="14"/>
      </c>
      <c r="AB45" s="9"/>
    </row>
    <row r="46" spans="1:28" s="8" customFormat="1" ht="16.5" thickBot="1" thickTop="1">
      <c r="A46" s="6"/>
      <c r="B46" s="33"/>
      <c r="C46" s="249"/>
      <c r="D46" s="249"/>
      <c r="E46" s="249"/>
      <c r="F46" s="411"/>
      <c r="G46" s="412"/>
      <c r="H46" s="413"/>
      <c r="I46" s="247"/>
      <c r="J46" s="413"/>
      <c r="K46" s="413"/>
      <c r="L46" s="12"/>
      <c r="M46" s="12"/>
      <c r="N46" s="413"/>
      <c r="O46" s="414"/>
      <c r="P46" s="254"/>
      <c r="Q46" s="261"/>
      <c r="R46" s="271"/>
      <c r="S46" s="272"/>
      <c r="T46" s="273"/>
      <c r="U46" s="287"/>
      <c r="V46" s="288"/>
      <c r="W46" s="289"/>
      <c r="X46" s="295"/>
      <c r="Y46" s="301"/>
      <c r="Z46" s="45"/>
      <c r="AA46" s="132"/>
      <c r="AB46" s="9"/>
    </row>
    <row r="47" spans="1:28" s="8" customFormat="1" ht="17.25" thickBot="1" thickTop="1">
      <c r="A47" s="6"/>
      <c r="B47" s="33"/>
      <c r="C47" s="209" t="s">
        <v>40</v>
      </c>
      <c r="D47" s="433" t="s">
        <v>110</v>
      </c>
      <c r="E47" s="211"/>
      <c r="F47" s="210"/>
      <c r="G47" s="13"/>
      <c r="H47" s="14"/>
      <c r="I47" s="46"/>
      <c r="J47" s="46"/>
      <c r="K47" s="46"/>
      <c r="L47" s="46"/>
      <c r="M47" s="46"/>
      <c r="N47" s="46"/>
      <c r="O47" s="47"/>
      <c r="P47" s="254">
        <f>SUM(P21:P46)</f>
        <v>65240.43198010427</v>
      </c>
      <c r="Q47" s="257">
        <f>SUM(Q21:Q46)</f>
        <v>0</v>
      </c>
      <c r="R47" s="274">
        <f aca="true" t="shared" si="16" ref="R47:Y47">SUM(R21:R46)</f>
        <v>109566.1954063083</v>
      </c>
      <c r="S47" s="274">
        <f t="shared" si="16"/>
        <v>95686.70492752331</v>
      </c>
      <c r="T47" s="274">
        <f t="shared" si="16"/>
        <v>4116.065404800001</v>
      </c>
      <c r="U47" s="290">
        <f t="shared" si="16"/>
        <v>0</v>
      </c>
      <c r="V47" s="290">
        <f t="shared" si="16"/>
        <v>0</v>
      </c>
      <c r="W47" s="290">
        <f t="shared" si="16"/>
        <v>0</v>
      </c>
      <c r="X47" s="296">
        <f t="shared" si="16"/>
        <v>771140.3760000002</v>
      </c>
      <c r="Y47" s="302">
        <f t="shared" si="16"/>
        <v>0</v>
      </c>
      <c r="Z47" s="48"/>
      <c r="AA47" s="240">
        <f>ROUND(SUM(AA21:AA46),2)</f>
        <v>1045749.77</v>
      </c>
      <c r="AB47" s="116"/>
    </row>
    <row r="48" spans="1:28" s="224" customFormat="1" ht="9.75" thickTop="1">
      <c r="A48" s="213"/>
      <c r="B48" s="214"/>
      <c r="C48" s="211"/>
      <c r="D48" s="211"/>
      <c r="E48" s="211"/>
      <c r="F48" s="212"/>
      <c r="G48" s="215"/>
      <c r="H48" s="216"/>
      <c r="I48" s="217"/>
      <c r="J48" s="217"/>
      <c r="K48" s="217"/>
      <c r="L48" s="217"/>
      <c r="M48" s="217"/>
      <c r="N48" s="217"/>
      <c r="O48" s="218"/>
      <c r="P48" s="219"/>
      <c r="Q48" s="219"/>
      <c r="R48" s="220"/>
      <c r="S48" s="220"/>
      <c r="T48" s="221"/>
      <c r="U48" s="221"/>
      <c r="V48" s="221"/>
      <c r="W48" s="221"/>
      <c r="X48" s="221"/>
      <c r="Y48" s="221"/>
      <c r="Z48" s="221"/>
      <c r="AA48" s="222"/>
      <c r="AB48" s="223"/>
    </row>
    <row r="49" spans="1:28" s="8" customFormat="1" ht="13.5" thickBot="1">
      <c r="A49" s="6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</row>
    <row r="50" spans="1:28" ht="13.5" thickTop="1">
      <c r="A50" s="1"/>
      <c r="B50" s="1"/>
      <c r="AB50" s="1"/>
    </row>
    <row r="95" spans="1:2" ht="12.75">
      <c r="A95" s="1"/>
      <c r="B95" s="1"/>
    </row>
  </sheetData>
  <sheetProtection/>
  <printOptions/>
  <pageMargins left="0.55" right="0.1968503937007874" top="0.57" bottom="0.42" header="0.5118110236220472" footer="0.25"/>
  <pageSetup fitToHeight="1" fitToWidth="1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D46"/>
  <sheetViews>
    <sheetView zoomScale="85" zoomScaleNormal="85" zoomScalePageLayoutView="0" workbookViewId="0" topLeftCell="F1">
      <selection activeCell="AC31" sqref="AC31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2" width="15.710937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61" customFormat="1" ht="30" customHeight="1"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407"/>
    </row>
    <row r="2" spans="2:30" s="61" customFormat="1" ht="26.25">
      <c r="B2" s="415" t="str">
        <f>+'TOT-1015'!B2</f>
        <v>ANEXO IV al Memorándum  D.T.E.E.  N° 657/ 2016                            .-</v>
      </c>
      <c r="C2" s="62"/>
      <c r="D2" s="62"/>
      <c r="E2" s="62"/>
      <c r="F2" s="143"/>
      <c r="G2" s="7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6:30" s="8" customFormat="1" ht="12.75"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s="59" customFormat="1" ht="11.25">
      <c r="A4" s="429" t="s">
        <v>104</v>
      </c>
      <c r="B4" s="126"/>
      <c r="C4" s="42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s="59" customFormat="1" ht="11.25">
      <c r="A5" s="429" t="s">
        <v>69</v>
      </c>
      <c r="B5" s="126"/>
      <c r="C5" s="126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s="8" customFormat="1" ht="16.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s="8" customFormat="1" ht="16.5" customHeight="1" thickTop="1">
      <c r="A7" s="141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</row>
    <row r="8" spans="1:30" s="63" customFormat="1" ht="21.75" customHeight="1">
      <c r="A8" s="160"/>
      <c r="B8" s="161"/>
      <c r="C8" s="149"/>
      <c r="D8" s="149"/>
      <c r="E8" s="149"/>
      <c r="F8" s="18" t="s">
        <v>16</v>
      </c>
      <c r="H8" s="149"/>
      <c r="I8" s="160"/>
      <c r="J8" s="160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62"/>
      <c r="AD8" s="163"/>
    </row>
    <row r="9" spans="1:30" s="8" customFormat="1" ht="16.5" customHeight="1">
      <c r="A9" s="141"/>
      <c r="B9" s="147"/>
      <c r="C9" s="24"/>
      <c r="D9" s="24"/>
      <c r="E9" s="24"/>
      <c r="F9" s="24"/>
      <c r="G9" s="24"/>
      <c r="H9" s="24"/>
      <c r="I9" s="14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56"/>
      <c r="AD9" s="148"/>
    </row>
    <row r="10" spans="1:30" s="63" customFormat="1" ht="24" customHeight="1">
      <c r="A10" s="160"/>
      <c r="B10" s="161"/>
      <c r="C10" s="149"/>
      <c r="D10" s="149"/>
      <c r="E10" s="149"/>
      <c r="F10" s="18" t="s">
        <v>41</v>
      </c>
      <c r="G10" s="149"/>
      <c r="H10" s="149"/>
      <c r="I10" s="16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62"/>
      <c r="AD10" s="163"/>
    </row>
    <row r="11" spans="1:30" s="8" customFormat="1" ht="16.5" customHeight="1">
      <c r="A11" s="141"/>
      <c r="B11" s="147"/>
      <c r="C11" s="24"/>
      <c r="D11" s="24"/>
      <c r="E11" s="24"/>
      <c r="F11" s="55"/>
      <c r="G11" s="24"/>
      <c r="H11" s="24"/>
      <c r="I11" s="141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56"/>
      <c r="AD11" s="148"/>
    </row>
    <row r="12" spans="1:30" s="63" customFormat="1" ht="24" customHeight="1">
      <c r="A12" s="160"/>
      <c r="B12" s="161"/>
      <c r="C12" s="149"/>
      <c r="D12" s="149"/>
      <c r="E12" s="149"/>
      <c r="F12" s="171" t="s">
        <v>42</v>
      </c>
      <c r="G12" s="18"/>
      <c r="H12" s="160"/>
      <c r="I12" s="160"/>
      <c r="J12" s="164"/>
      <c r="K12" s="149"/>
      <c r="L12" s="160"/>
      <c r="M12" s="160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62"/>
      <c r="AD12" s="163"/>
    </row>
    <row r="13" spans="1:30" s="8" customFormat="1" ht="16.5" customHeight="1">
      <c r="A13" s="141"/>
      <c r="B13" s="147"/>
      <c r="C13" s="24"/>
      <c r="D13" s="24"/>
      <c r="E13" s="24"/>
      <c r="F13" s="151"/>
      <c r="G13" s="151"/>
      <c r="H13" s="151"/>
      <c r="I13" s="152"/>
      <c r="J13" s="15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6"/>
      <c r="AD13" s="148"/>
    </row>
    <row r="14" spans="1:30" s="67" customFormat="1" ht="16.5" customHeight="1">
      <c r="A14" s="165"/>
      <c r="B14" s="167" t="str">
        <f>+'TOT-1015'!B14</f>
        <v>Desde el 01 al 31 de octubre de 2015</v>
      </c>
      <c r="C14" s="139"/>
      <c r="D14" s="139"/>
      <c r="E14" s="139"/>
      <c r="F14" s="139"/>
      <c r="G14" s="139"/>
      <c r="H14" s="139"/>
      <c r="I14" s="139"/>
      <c r="J14" s="139"/>
      <c r="K14" s="166"/>
      <c r="L14" s="16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69"/>
      <c r="AD14" s="170"/>
    </row>
    <row r="15" spans="1:30" s="8" customFormat="1" ht="16.5" customHeight="1" thickBot="1">
      <c r="A15" s="141"/>
      <c r="B15" s="147"/>
      <c r="C15" s="24"/>
      <c r="D15" s="24"/>
      <c r="E15" s="24"/>
      <c r="F15" s="24"/>
      <c r="G15" s="24"/>
      <c r="H15" s="24"/>
      <c r="I15" s="153"/>
      <c r="J15" s="24"/>
      <c r="K15" s="13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6"/>
      <c r="AD15" s="148"/>
    </row>
    <row r="16" spans="1:30" s="8" customFormat="1" ht="16.5" customHeight="1" thickBot="1" thickTop="1">
      <c r="A16" s="141"/>
      <c r="B16" s="147"/>
      <c r="C16" s="24"/>
      <c r="D16" s="24"/>
      <c r="E16" s="24"/>
      <c r="F16" s="172" t="s">
        <v>62</v>
      </c>
      <c r="G16" s="173"/>
      <c r="H16" s="174"/>
      <c r="I16" s="408">
        <v>1.235</v>
      </c>
      <c r="J16" s="141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6"/>
      <c r="AD16" s="148"/>
    </row>
    <row r="17" spans="1:30" s="8" customFormat="1" ht="16.5" customHeight="1" thickBot="1" thickTop="1">
      <c r="A17" s="141"/>
      <c r="B17" s="147"/>
      <c r="C17" s="24"/>
      <c r="D17" s="24"/>
      <c r="E17" s="24"/>
      <c r="F17" s="175" t="s">
        <v>43</v>
      </c>
      <c r="G17" s="176"/>
      <c r="H17" s="176"/>
      <c r="I17" s="177">
        <f>30*'TOT-1015'!B13</f>
        <v>60</v>
      </c>
      <c r="J17" s="24"/>
      <c r="K17" s="196" t="str">
        <f>IF(I17=30," ",IF(I17=60,"  Coeficiente duplicado por tasa de falla &gt;4 Sal. x año/100 km.","  REVISAR COEFICIENTE"))</f>
        <v>  Coeficiente duplicado por tasa de falla &gt;4 Sal. x año/100 km.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54"/>
      <c r="X17" s="154"/>
      <c r="Y17" s="154"/>
      <c r="Z17" s="154"/>
      <c r="AA17" s="154"/>
      <c r="AB17" s="154"/>
      <c r="AC17" s="56"/>
      <c r="AD17" s="148"/>
    </row>
    <row r="18" spans="1:30" s="8" customFormat="1" ht="16.5" customHeight="1" thickBot="1" thickTop="1">
      <c r="A18" s="141"/>
      <c r="B18" s="147"/>
      <c r="C18" s="430">
        <v>3</v>
      </c>
      <c r="D18" s="430">
        <v>4</v>
      </c>
      <c r="E18" s="430">
        <v>5</v>
      </c>
      <c r="F18" s="430">
        <v>6</v>
      </c>
      <c r="G18" s="430">
        <v>7</v>
      </c>
      <c r="H18" s="430">
        <v>8</v>
      </c>
      <c r="I18" s="430">
        <v>9</v>
      </c>
      <c r="J18" s="430">
        <v>10</v>
      </c>
      <c r="K18" s="430">
        <v>11</v>
      </c>
      <c r="L18" s="430">
        <v>12</v>
      </c>
      <c r="M18" s="430">
        <v>13</v>
      </c>
      <c r="N18" s="430">
        <v>14</v>
      </c>
      <c r="O18" s="430">
        <v>15</v>
      </c>
      <c r="P18" s="430">
        <v>16</v>
      </c>
      <c r="Q18" s="430">
        <v>17</v>
      </c>
      <c r="R18" s="430">
        <v>18</v>
      </c>
      <c r="S18" s="430">
        <v>19</v>
      </c>
      <c r="T18" s="430">
        <v>20</v>
      </c>
      <c r="U18" s="430">
        <v>21</v>
      </c>
      <c r="V18" s="430">
        <v>22</v>
      </c>
      <c r="W18" s="430">
        <v>23</v>
      </c>
      <c r="X18" s="430">
        <v>24</v>
      </c>
      <c r="Y18" s="430">
        <v>25</v>
      </c>
      <c r="Z18" s="430">
        <v>26</v>
      </c>
      <c r="AA18" s="430">
        <v>27</v>
      </c>
      <c r="AB18" s="430">
        <v>28</v>
      </c>
      <c r="AC18" s="430">
        <v>29</v>
      </c>
      <c r="AD18" s="148"/>
    </row>
    <row r="19" spans="1:30" s="325" customFormat="1" ht="33.75" customHeight="1" thickBot="1" thickTop="1">
      <c r="A19" s="322"/>
      <c r="B19" s="323"/>
      <c r="C19" s="133" t="s">
        <v>22</v>
      </c>
      <c r="D19" s="133" t="s">
        <v>66</v>
      </c>
      <c r="E19" s="133" t="s">
        <v>67</v>
      </c>
      <c r="F19" s="182" t="s">
        <v>44</v>
      </c>
      <c r="G19" s="178" t="s">
        <v>45</v>
      </c>
      <c r="H19" s="180" t="s">
        <v>46</v>
      </c>
      <c r="I19" s="181" t="s">
        <v>23</v>
      </c>
      <c r="J19" s="235" t="s">
        <v>25</v>
      </c>
      <c r="K19" s="178" t="s">
        <v>26</v>
      </c>
      <c r="L19" s="178" t="s">
        <v>27</v>
      </c>
      <c r="M19" s="182" t="s">
        <v>47</v>
      </c>
      <c r="N19" s="182" t="s">
        <v>48</v>
      </c>
      <c r="O19" s="136" t="s">
        <v>49</v>
      </c>
      <c r="P19" s="179" t="s">
        <v>50</v>
      </c>
      <c r="Q19" s="182" t="s">
        <v>31</v>
      </c>
      <c r="R19" s="178" t="s">
        <v>51</v>
      </c>
      <c r="S19" s="305" t="s">
        <v>52</v>
      </c>
      <c r="T19" s="310" t="s">
        <v>53</v>
      </c>
      <c r="U19" s="316" t="s">
        <v>33</v>
      </c>
      <c r="V19" s="326" t="s">
        <v>54</v>
      </c>
      <c r="W19" s="327"/>
      <c r="X19" s="335" t="s">
        <v>55</v>
      </c>
      <c r="Y19" s="355"/>
      <c r="Z19" s="345" t="s">
        <v>36</v>
      </c>
      <c r="AA19" s="346" t="s">
        <v>37</v>
      </c>
      <c r="AB19" s="233" t="s">
        <v>38</v>
      </c>
      <c r="AC19" s="183" t="s">
        <v>39</v>
      </c>
      <c r="AD19" s="324"/>
    </row>
    <row r="20" spans="1:30" s="8" customFormat="1" ht="16.5" customHeight="1" thickTop="1">
      <c r="A20" s="141"/>
      <c r="B20" s="147"/>
      <c r="C20" s="49"/>
      <c r="D20" s="49"/>
      <c r="E20" s="49"/>
      <c r="F20" s="416"/>
      <c r="G20" s="417"/>
      <c r="H20" s="417"/>
      <c r="I20" s="417"/>
      <c r="J20" s="244"/>
      <c r="K20" s="416"/>
      <c r="L20" s="417"/>
      <c r="M20" s="20"/>
      <c r="N20" s="20"/>
      <c r="O20" s="417"/>
      <c r="P20" s="19"/>
      <c r="Q20" s="417"/>
      <c r="R20" s="417"/>
      <c r="S20" s="306"/>
      <c r="T20" s="311"/>
      <c r="U20" s="317"/>
      <c r="V20" s="328"/>
      <c r="W20" s="329"/>
      <c r="X20" s="336"/>
      <c r="Y20" s="337"/>
      <c r="Z20" s="351"/>
      <c r="AA20" s="347"/>
      <c r="AB20" s="19"/>
      <c r="AC20" s="402"/>
      <c r="AD20" s="148"/>
    </row>
    <row r="21" spans="1:30" s="8" customFormat="1" ht="16.5" customHeight="1">
      <c r="A21" s="141"/>
      <c r="B21" s="147"/>
      <c r="C21" s="49"/>
      <c r="D21" s="49"/>
      <c r="E21" s="49"/>
      <c r="F21" s="418"/>
      <c r="G21" s="418"/>
      <c r="H21" s="418"/>
      <c r="I21" s="418"/>
      <c r="J21" s="245"/>
      <c r="K21" s="420"/>
      <c r="L21" s="418"/>
      <c r="M21" s="16"/>
      <c r="N21" s="16"/>
      <c r="O21" s="418"/>
      <c r="P21" s="15"/>
      <c r="Q21" s="418"/>
      <c r="R21" s="418"/>
      <c r="S21" s="307"/>
      <c r="T21" s="312"/>
      <c r="U21" s="318"/>
      <c r="V21" s="330"/>
      <c r="W21" s="331"/>
      <c r="X21" s="338"/>
      <c r="Y21" s="339"/>
      <c r="Z21" s="352"/>
      <c r="AA21" s="348"/>
      <c r="AB21" s="15"/>
      <c r="AC21" s="184"/>
      <c r="AD21" s="148"/>
    </row>
    <row r="22" spans="1:30" s="8" customFormat="1" ht="16.5" customHeight="1">
      <c r="A22" s="141"/>
      <c r="B22" s="155"/>
      <c r="C22" s="49">
        <v>13</v>
      </c>
      <c r="D22" s="49">
        <v>288317</v>
      </c>
      <c r="E22" s="49">
        <v>752</v>
      </c>
      <c r="F22" s="40" t="s">
        <v>79</v>
      </c>
      <c r="G22" s="39" t="s">
        <v>80</v>
      </c>
      <c r="H22" s="53">
        <v>30</v>
      </c>
      <c r="I22" s="248" t="s">
        <v>65</v>
      </c>
      <c r="J22" s="246">
        <f>H22*$I$16</f>
        <v>37.050000000000004</v>
      </c>
      <c r="K22" s="51">
        <v>42278</v>
      </c>
      <c r="L22" s="51">
        <v>42308.99998842592</v>
      </c>
      <c r="M22" s="21">
        <f>IF(F22="","",(L22-K22)*24)</f>
        <v>743.9997222221573</v>
      </c>
      <c r="N22" s="22">
        <f>IF(F22="","",ROUND((L22-K22)*24*60,0))</f>
        <v>44640</v>
      </c>
      <c r="O22" s="52" t="s">
        <v>81</v>
      </c>
      <c r="P22" s="52" t="str">
        <f>IF(F22="","",IF(OR(O22="P",O22="RP"),"--","NO"))</f>
        <v>--</v>
      </c>
      <c r="Q22" s="304">
        <v>50</v>
      </c>
      <c r="R22" s="52" t="str">
        <f>IF(F22="","","NO")</f>
        <v>NO</v>
      </c>
      <c r="S22" s="308">
        <f>$I$17*IF(OR(O22="P",O22="RP"),0.1,1)*IF(R22="SI",1,0.1)</f>
        <v>0.6000000000000001</v>
      </c>
      <c r="T22" s="313" t="str">
        <f>IF(O22="P",J22*S22*ROUND(N22/60,2),"--")</f>
        <v>--</v>
      </c>
      <c r="U22" s="319">
        <f>IF(O22="RP",J22*S22*ROUND(N22/60,2)*Q22/100,"--")</f>
        <v>8269.560000000003</v>
      </c>
      <c r="V22" s="332" t="str">
        <f>IF(AND(O22="F",P22="NO"),J22*S22,"--")</f>
        <v>--</v>
      </c>
      <c r="W22" s="333" t="str">
        <f>IF(O22="F",J22*S22*ROUND(N22/60,2),"--")</f>
        <v>--</v>
      </c>
      <c r="X22" s="340" t="str">
        <f>IF(AND(O22="R",P22="NO"),J22*S22*Q22/100,"--")</f>
        <v>--</v>
      </c>
      <c r="Y22" s="341" t="str">
        <f>IF(O22="R",J22*S22*ROUND(N22/60,2)*Q22/100,"--")</f>
        <v>--</v>
      </c>
      <c r="Z22" s="353" t="str">
        <f>IF(O22="RF",J22*S22*ROUND(N22/60,2),"--")</f>
        <v>--</v>
      </c>
      <c r="AA22" s="349" t="str">
        <f>IF(O22="RR",J22*S22*ROUND(N22/60,2)*Q22/100,"--")</f>
        <v>--</v>
      </c>
      <c r="AB22" s="52" t="s">
        <v>73</v>
      </c>
      <c r="AC22" s="26">
        <f>IF(F22="","",SUM(T22:AA22)*IF(AB22="SI",1,2))</f>
        <v>8269.560000000003</v>
      </c>
      <c r="AD22" s="400"/>
    </row>
    <row r="23" spans="1:30" s="8" customFormat="1" ht="16.5" customHeight="1">
      <c r="A23" s="141"/>
      <c r="B23" s="155"/>
      <c r="C23" s="49">
        <v>14</v>
      </c>
      <c r="D23" s="49">
        <v>292909</v>
      </c>
      <c r="E23" s="49">
        <v>4263</v>
      </c>
      <c r="F23" s="40" t="s">
        <v>82</v>
      </c>
      <c r="G23" s="39" t="s">
        <v>83</v>
      </c>
      <c r="H23" s="53">
        <v>15</v>
      </c>
      <c r="I23" s="248" t="s">
        <v>84</v>
      </c>
      <c r="J23" s="246">
        <f aca="true" t="shared" si="0" ref="J23:J38">H23*$I$16</f>
        <v>18.525000000000002</v>
      </c>
      <c r="K23" s="51">
        <v>42279.31736111111</v>
      </c>
      <c r="L23" s="51">
        <v>42279.34097222222</v>
      </c>
      <c r="M23" s="21">
        <f aca="true" t="shared" si="1" ref="M23:M38">IF(F23="","",(L23-K23)*24)</f>
        <v>0.566666666592937</v>
      </c>
      <c r="N23" s="22">
        <f aca="true" t="shared" si="2" ref="N23:N38">IF(F23="","",ROUND((L23-K23)*24*60,0))</f>
        <v>34</v>
      </c>
      <c r="O23" s="52" t="s">
        <v>85</v>
      </c>
      <c r="P23" s="52" t="str">
        <f aca="true" t="shared" si="3" ref="P23:P41">IF(F23="","",IF(OR(O23="P",O23="RP"),"--","NO"))</f>
        <v>NO</v>
      </c>
      <c r="Q23" s="304">
        <v>60</v>
      </c>
      <c r="R23" s="52" t="s">
        <v>73</v>
      </c>
      <c r="S23" s="308">
        <f aca="true" t="shared" si="4" ref="S23:S38">$I$17*IF(OR(O23="P",O23="RP"),0.1,1)*IF(R23="SI",1,0.1)</f>
        <v>60</v>
      </c>
      <c r="T23" s="313" t="str">
        <f aca="true" t="shared" si="5" ref="T23:T38">IF(O23="P",J23*S23*ROUND(N23/60,2),"--")</f>
        <v>--</v>
      </c>
      <c r="U23" s="319" t="str">
        <f aca="true" t="shared" si="6" ref="U23:U38">IF(O23="RP",J23*S23*ROUND(N23/60,2)*Q23/100,"--")</f>
        <v>--</v>
      </c>
      <c r="V23" s="332" t="str">
        <f aca="true" t="shared" si="7" ref="V23:V38">IF(AND(O23="F",P23="NO"),J23*S23,"--")</f>
        <v>--</v>
      </c>
      <c r="W23" s="333" t="str">
        <f aca="true" t="shared" si="8" ref="W23:W38">IF(O23="F",J23*S23*ROUND(N23/60,2),"--")</f>
        <v>--</v>
      </c>
      <c r="X23" s="340">
        <f aca="true" t="shared" si="9" ref="X23:X38">IF(AND(O23="R",P23="NO"),J23*S23*Q23/100,"--")</f>
        <v>666.9000000000001</v>
      </c>
      <c r="Y23" s="341">
        <f aca="true" t="shared" si="10" ref="Y23:Y38">IF(O23="R",J23*S23*ROUND(N23/60,2)*Q23/100,"--")</f>
        <v>380.13300000000004</v>
      </c>
      <c r="Z23" s="353" t="str">
        <f aca="true" t="shared" si="11" ref="Z23:Z38">IF(O23="RF",J23*S23*ROUND(N23/60,2),"--")</f>
        <v>--</v>
      </c>
      <c r="AA23" s="349" t="str">
        <f aca="true" t="shared" si="12" ref="AA23:AA38">IF(O23="RR",J23*S23*ROUND(N23/60,2)*Q23/100,"--")</f>
        <v>--</v>
      </c>
      <c r="AB23" s="52" t="s">
        <v>73</v>
      </c>
      <c r="AC23" s="26">
        <f aca="true" t="shared" si="13" ref="AC23:AC41">IF(F23="","",SUM(T23:AA23)*IF(AB23="SI",1,2))</f>
        <v>1047.0330000000001</v>
      </c>
      <c r="AD23" s="400"/>
    </row>
    <row r="24" spans="1:30" s="8" customFormat="1" ht="16.5" customHeight="1">
      <c r="A24" s="141"/>
      <c r="B24" s="155"/>
      <c r="C24" s="49">
        <v>15</v>
      </c>
      <c r="D24" s="49">
        <v>292938</v>
      </c>
      <c r="E24" s="49">
        <v>750</v>
      </c>
      <c r="F24" s="40" t="s">
        <v>79</v>
      </c>
      <c r="G24" s="39" t="s">
        <v>86</v>
      </c>
      <c r="H24" s="53">
        <v>15</v>
      </c>
      <c r="I24" s="248" t="s">
        <v>65</v>
      </c>
      <c r="J24" s="246">
        <f t="shared" si="0"/>
        <v>18.525000000000002</v>
      </c>
      <c r="K24" s="51">
        <v>42281.263194444444</v>
      </c>
      <c r="L24" s="51">
        <v>42283.461805555555</v>
      </c>
      <c r="M24" s="21">
        <f t="shared" si="1"/>
        <v>52.766666666662786</v>
      </c>
      <c r="N24" s="22">
        <f t="shared" si="2"/>
        <v>3166</v>
      </c>
      <c r="O24" s="52" t="s">
        <v>75</v>
      </c>
      <c r="P24" s="52" t="str">
        <f t="shared" si="3"/>
        <v>NO</v>
      </c>
      <c r="Q24" s="52" t="s">
        <v>87</v>
      </c>
      <c r="R24" s="52" t="str">
        <f>IF(F24="","","NO")</f>
        <v>NO</v>
      </c>
      <c r="S24" s="308">
        <f t="shared" si="4"/>
        <v>6</v>
      </c>
      <c r="T24" s="313" t="str">
        <f t="shared" si="5"/>
        <v>--</v>
      </c>
      <c r="U24" s="319" t="str">
        <f t="shared" si="6"/>
        <v>--</v>
      </c>
      <c r="V24" s="332">
        <f t="shared" si="7"/>
        <v>111.15</v>
      </c>
      <c r="W24" s="333">
        <f t="shared" si="8"/>
        <v>5865.3855</v>
      </c>
      <c r="X24" s="340" t="str">
        <f t="shared" si="9"/>
        <v>--</v>
      </c>
      <c r="Y24" s="341" t="str">
        <f t="shared" si="10"/>
        <v>--</v>
      </c>
      <c r="Z24" s="353" t="str">
        <f t="shared" si="11"/>
        <v>--</v>
      </c>
      <c r="AA24" s="349" t="str">
        <f t="shared" si="12"/>
        <v>--</v>
      </c>
      <c r="AB24" s="52" t="s">
        <v>73</v>
      </c>
      <c r="AC24" s="26">
        <f t="shared" si="13"/>
        <v>5976.5355</v>
      </c>
      <c r="AD24" s="400"/>
    </row>
    <row r="25" spans="1:30" s="8" customFormat="1" ht="16.5" customHeight="1">
      <c r="A25" s="141"/>
      <c r="B25" s="147"/>
      <c r="C25" s="49">
        <v>16</v>
      </c>
      <c r="D25" s="49">
        <v>292939</v>
      </c>
      <c r="E25" s="49">
        <v>754</v>
      </c>
      <c r="F25" s="40" t="s">
        <v>79</v>
      </c>
      <c r="G25" s="39" t="s">
        <v>88</v>
      </c>
      <c r="H25" s="53">
        <v>20</v>
      </c>
      <c r="I25" s="248" t="s">
        <v>89</v>
      </c>
      <c r="J25" s="246">
        <f t="shared" si="0"/>
        <v>24.700000000000003</v>
      </c>
      <c r="K25" s="51">
        <v>42281.339583333334</v>
      </c>
      <c r="L25" s="51">
        <v>42281.47708333333</v>
      </c>
      <c r="M25" s="21">
        <f t="shared" si="1"/>
        <v>3.299999999930151</v>
      </c>
      <c r="N25" s="22">
        <f t="shared" si="2"/>
        <v>198</v>
      </c>
      <c r="O25" s="52" t="s">
        <v>75</v>
      </c>
      <c r="P25" s="52" t="str">
        <f t="shared" si="3"/>
        <v>NO</v>
      </c>
      <c r="Q25" s="52" t="s">
        <v>87</v>
      </c>
      <c r="R25" s="52" t="s">
        <v>73</v>
      </c>
      <c r="S25" s="308">
        <f t="shared" si="4"/>
        <v>60</v>
      </c>
      <c r="T25" s="313" t="str">
        <f t="shared" si="5"/>
        <v>--</v>
      </c>
      <c r="U25" s="319" t="str">
        <f t="shared" si="6"/>
        <v>--</v>
      </c>
      <c r="V25" s="332">
        <f t="shared" si="7"/>
        <v>1482.0000000000002</v>
      </c>
      <c r="W25" s="333">
        <f t="shared" si="8"/>
        <v>4890.6</v>
      </c>
      <c r="X25" s="340" t="str">
        <f t="shared" si="9"/>
        <v>--</v>
      </c>
      <c r="Y25" s="341" t="str">
        <f t="shared" si="10"/>
        <v>--</v>
      </c>
      <c r="Z25" s="353" t="str">
        <f t="shared" si="11"/>
        <v>--</v>
      </c>
      <c r="AA25" s="349" t="str">
        <f t="shared" si="12"/>
        <v>--</v>
      </c>
      <c r="AB25" s="52" t="s">
        <v>73</v>
      </c>
      <c r="AC25" s="26">
        <f t="shared" si="13"/>
        <v>6372.6</v>
      </c>
      <c r="AD25" s="400"/>
    </row>
    <row r="26" spans="1:30" s="8" customFormat="1" ht="16.5" customHeight="1">
      <c r="A26" s="141"/>
      <c r="B26" s="147"/>
      <c r="C26" s="49">
        <v>17</v>
      </c>
      <c r="D26" s="49">
        <v>292940</v>
      </c>
      <c r="E26" s="49">
        <v>774</v>
      </c>
      <c r="F26" s="40" t="s">
        <v>79</v>
      </c>
      <c r="G26" s="39" t="s">
        <v>90</v>
      </c>
      <c r="H26" s="53">
        <v>20</v>
      </c>
      <c r="I26" s="248" t="s">
        <v>89</v>
      </c>
      <c r="J26" s="246">
        <f t="shared" si="0"/>
        <v>24.700000000000003</v>
      </c>
      <c r="K26" s="51">
        <v>42281.339583333334</v>
      </c>
      <c r="L26" s="51">
        <v>42281.48611111111</v>
      </c>
      <c r="M26" s="21">
        <f t="shared" si="1"/>
        <v>3.5166666666045785</v>
      </c>
      <c r="N26" s="22">
        <f t="shared" si="2"/>
        <v>211</v>
      </c>
      <c r="O26" s="52" t="s">
        <v>75</v>
      </c>
      <c r="P26" s="52" t="str">
        <f t="shared" si="3"/>
        <v>NO</v>
      </c>
      <c r="Q26" s="52" t="s">
        <v>87</v>
      </c>
      <c r="R26" s="52" t="s">
        <v>73</v>
      </c>
      <c r="S26" s="308">
        <f t="shared" si="4"/>
        <v>60</v>
      </c>
      <c r="T26" s="313" t="str">
        <f t="shared" si="5"/>
        <v>--</v>
      </c>
      <c r="U26" s="319" t="str">
        <f t="shared" si="6"/>
        <v>--</v>
      </c>
      <c r="V26" s="332">
        <f t="shared" si="7"/>
        <v>1482.0000000000002</v>
      </c>
      <c r="W26" s="333">
        <f t="shared" si="8"/>
        <v>5216.640000000001</v>
      </c>
      <c r="X26" s="340" t="str">
        <f t="shared" si="9"/>
        <v>--</v>
      </c>
      <c r="Y26" s="341" t="str">
        <f t="shared" si="10"/>
        <v>--</v>
      </c>
      <c r="Z26" s="353" t="str">
        <f t="shared" si="11"/>
        <v>--</v>
      </c>
      <c r="AA26" s="349" t="str">
        <f t="shared" si="12"/>
        <v>--</v>
      </c>
      <c r="AB26" s="52" t="s">
        <v>73</v>
      </c>
      <c r="AC26" s="26">
        <f t="shared" si="13"/>
        <v>6698.640000000001</v>
      </c>
      <c r="AD26" s="400"/>
    </row>
    <row r="27" spans="1:30" s="8" customFormat="1" ht="16.5" customHeight="1">
      <c r="A27" s="141"/>
      <c r="B27" s="147"/>
      <c r="C27" s="49">
        <v>18</v>
      </c>
      <c r="D27" s="49">
        <v>293082</v>
      </c>
      <c r="E27" s="49">
        <v>759</v>
      </c>
      <c r="F27" s="40" t="s">
        <v>91</v>
      </c>
      <c r="G27" s="39" t="s">
        <v>83</v>
      </c>
      <c r="H27" s="53">
        <v>30</v>
      </c>
      <c r="I27" s="248" t="s">
        <v>65</v>
      </c>
      <c r="J27" s="246">
        <f t="shared" si="0"/>
        <v>37.050000000000004</v>
      </c>
      <c r="K27" s="51">
        <v>42284.84930555556</v>
      </c>
      <c r="L27" s="51">
        <v>42284.927083333336</v>
      </c>
      <c r="M27" s="21">
        <f t="shared" si="1"/>
        <v>1.866666666639503</v>
      </c>
      <c r="N27" s="22">
        <f t="shared" si="2"/>
        <v>112</v>
      </c>
      <c r="O27" s="52" t="s">
        <v>85</v>
      </c>
      <c r="P27" s="52" t="str">
        <f t="shared" si="3"/>
        <v>NO</v>
      </c>
      <c r="Q27" s="304">
        <v>60</v>
      </c>
      <c r="R27" s="52" t="s">
        <v>73</v>
      </c>
      <c r="S27" s="308">
        <f t="shared" si="4"/>
        <v>60</v>
      </c>
      <c r="T27" s="313" t="str">
        <f t="shared" si="5"/>
        <v>--</v>
      </c>
      <c r="U27" s="319" t="str">
        <f t="shared" si="6"/>
        <v>--</v>
      </c>
      <c r="V27" s="332" t="str">
        <f t="shared" si="7"/>
        <v>--</v>
      </c>
      <c r="W27" s="333" t="str">
        <f t="shared" si="8"/>
        <v>--</v>
      </c>
      <c r="X27" s="340">
        <f t="shared" si="9"/>
        <v>1333.8000000000002</v>
      </c>
      <c r="Y27" s="341">
        <f t="shared" si="10"/>
        <v>2494.2060000000006</v>
      </c>
      <c r="Z27" s="353" t="str">
        <f t="shared" si="11"/>
        <v>--</v>
      </c>
      <c r="AA27" s="349" t="str">
        <f t="shared" si="12"/>
        <v>--</v>
      </c>
      <c r="AB27" s="52" t="s">
        <v>73</v>
      </c>
      <c r="AC27" s="26">
        <f t="shared" si="13"/>
        <v>3828.0060000000008</v>
      </c>
      <c r="AD27" s="400"/>
    </row>
    <row r="28" spans="1:30" s="8" customFormat="1" ht="16.5" customHeight="1">
      <c r="A28" s="141"/>
      <c r="B28" s="147"/>
      <c r="C28" s="49">
        <v>19</v>
      </c>
      <c r="D28" s="49">
        <v>293083</v>
      </c>
      <c r="E28" s="49">
        <v>3625</v>
      </c>
      <c r="F28" s="40" t="s">
        <v>91</v>
      </c>
      <c r="G28" s="39" t="s">
        <v>86</v>
      </c>
      <c r="H28" s="53">
        <v>50</v>
      </c>
      <c r="I28" s="248" t="s">
        <v>65</v>
      </c>
      <c r="J28" s="246">
        <f t="shared" si="0"/>
        <v>61.75000000000001</v>
      </c>
      <c r="K28" s="51">
        <v>42284.84930555556</v>
      </c>
      <c r="L28" s="51">
        <v>42284.87777777778</v>
      </c>
      <c r="M28" s="21">
        <f t="shared" si="1"/>
        <v>0.6833333332906477</v>
      </c>
      <c r="N28" s="22">
        <f t="shared" si="2"/>
        <v>41</v>
      </c>
      <c r="O28" s="52" t="s">
        <v>85</v>
      </c>
      <c r="P28" s="52" t="str">
        <f t="shared" si="3"/>
        <v>NO</v>
      </c>
      <c r="Q28" s="304">
        <v>60</v>
      </c>
      <c r="R28" s="52" t="s">
        <v>73</v>
      </c>
      <c r="S28" s="308">
        <f t="shared" si="4"/>
        <v>60</v>
      </c>
      <c r="T28" s="313" t="str">
        <f t="shared" si="5"/>
        <v>--</v>
      </c>
      <c r="U28" s="319" t="str">
        <f t="shared" si="6"/>
        <v>--</v>
      </c>
      <c r="V28" s="332" t="str">
        <f t="shared" si="7"/>
        <v>--</v>
      </c>
      <c r="W28" s="333" t="str">
        <f t="shared" si="8"/>
        <v>--</v>
      </c>
      <c r="X28" s="340">
        <f t="shared" si="9"/>
        <v>2223.0000000000005</v>
      </c>
      <c r="Y28" s="341">
        <f t="shared" si="10"/>
        <v>1511.6400000000003</v>
      </c>
      <c r="Z28" s="353" t="str">
        <f t="shared" si="11"/>
        <v>--</v>
      </c>
      <c r="AA28" s="349" t="str">
        <f t="shared" si="12"/>
        <v>--</v>
      </c>
      <c r="AB28" s="52" t="s">
        <v>73</v>
      </c>
      <c r="AC28" s="26">
        <f t="shared" si="13"/>
        <v>3734.640000000001</v>
      </c>
      <c r="AD28" s="400"/>
    </row>
    <row r="29" spans="1:30" s="8" customFormat="1" ht="16.5" customHeight="1">
      <c r="A29" s="141"/>
      <c r="B29" s="147"/>
      <c r="C29" s="49">
        <v>20</v>
      </c>
      <c r="D29" s="49">
        <v>293106</v>
      </c>
      <c r="E29" s="49">
        <v>4323</v>
      </c>
      <c r="F29" s="40" t="s">
        <v>92</v>
      </c>
      <c r="G29" s="39" t="s">
        <v>88</v>
      </c>
      <c r="H29" s="53">
        <v>15</v>
      </c>
      <c r="I29" s="248" t="s">
        <v>84</v>
      </c>
      <c r="J29" s="246">
        <f t="shared" si="0"/>
        <v>18.525000000000002</v>
      </c>
      <c r="K29" s="51">
        <v>42285.100694444445</v>
      </c>
      <c r="L29" s="51">
        <v>42285.135416666664</v>
      </c>
      <c r="M29" s="21">
        <f t="shared" si="1"/>
        <v>0.8333333332557231</v>
      </c>
      <c r="N29" s="22">
        <f t="shared" si="2"/>
        <v>50</v>
      </c>
      <c r="O29" s="52" t="s">
        <v>75</v>
      </c>
      <c r="P29" s="52" t="str">
        <f t="shared" si="3"/>
        <v>NO</v>
      </c>
      <c r="Q29" s="52" t="s">
        <v>87</v>
      </c>
      <c r="R29" s="52" t="s">
        <v>73</v>
      </c>
      <c r="S29" s="308">
        <f t="shared" si="4"/>
        <v>60</v>
      </c>
      <c r="T29" s="313" t="str">
        <f t="shared" si="5"/>
        <v>--</v>
      </c>
      <c r="U29" s="319" t="str">
        <f t="shared" si="6"/>
        <v>--</v>
      </c>
      <c r="V29" s="332">
        <f t="shared" si="7"/>
        <v>1111.5000000000002</v>
      </c>
      <c r="W29" s="333">
        <f t="shared" si="8"/>
        <v>922.5450000000002</v>
      </c>
      <c r="X29" s="340" t="str">
        <f t="shared" si="9"/>
        <v>--</v>
      </c>
      <c r="Y29" s="341" t="str">
        <f t="shared" si="10"/>
        <v>--</v>
      </c>
      <c r="Z29" s="353" t="str">
        <f t="shared" si="11"/>
        <v>--</v>
      </c>
      <c r="AA29" s="349" t="str">
        <f t="shared" si="12"/>
        <v>--</v>
      </c>
      <c r="AB29" s="52" t="s">
        <v>73</v>
      </c>
      <c r="AC29" s="26">
        <f t="shared" si="13"/>
        <v>2034.0450000000005</v>
      </c>
      <c r="AD29" s="400"/>
    </row>
    <row r="30" spans="1:30" s="8" customFormat="1" ht="16.5" customHeight="1">
      <c r="A30" s="141"/>
      <c r="B30" s="147"/>
      <c r="C30" s="49">
        <v>21</v>
      </c>
      <c r="D30" s="49">
        <v>293107</v>
      </c>
      <c r="E30" s="49">
        <v>4739</v>
      </c>
      <c r="F30" s="40" t="s">
        <v>92</v>
      </c>
      <c r="G30" s="39" t="s">
        <v>90</v>
      </c>
      <c r="H30" s="53">
        <v>15</v>
      </c>
      <c r="I30" s="248" t="s">
        <v>65</v>
      </c>
      <c r="J30" s="246">
        <f t="shared" si="0"/>
        <v>18.525000000000002</v>
      </c>
      <c r="K30" s="51">
        <v>42285.100694444445</v>
      </c>
      <c r="L30" s="51">
        <v>42285.135416666664</v>
      </c>
      <c r="M30" s="21">
        <f t="shared" si="1"/>
        <v>0.8333333332557231</v>
      </c>
      <c r="N30" s="22">
        <f t="shared" si="2"/>
        <v>50</v>
      </c>
      <c r="O30" s="52" t="s">
        <v>75</v>
      </c>
      <c r="P30" s="52" t="str">
        <f t="shared" si="3"/>
        <v>NO</v>
      </c>
      <c r="Q30" s="52" t="s">
        <v>87</v>
      </c>
      <c r="R30" s="52" t="s">
        <v>73</v>
      </c>
      <c r="S30" s="308">
        <f t="shared" si="4"/>
        <v>60</v>
      </c>
      <c r="T30" s="313" t="str">
        <f t="shared" si="5"/>
        <v>--</v>
      </c>
      <c r="U30" s="319" t="str">
        <f t="shared" si="6"/>
        <v>--</v>
      </c>
      <c r="V30" s="332">
        <f t="shared" si="7"/>
        <v>1111.5000000000002</v>
      </c>
      <c r="W30" s="333">
        <f t="shared" si="8"/>
        <v>922.5450000000002</v>
      </c>
      <c r="X30" s="340" t="str">
        <f t="shared" si="9"/>
        <v>--</v>
      </c>
      <c r="Y30" s="341" t="str">
        <f t="shared" si="10"/>
        <v>--</v>
      </c>
      <c r="Z30" s="353" t="str">
        <f t="shared" si="11"/>
        <v>--</v>
      </c>
      <c r="AA30" s="349" t="str">
        <f t="shared" si="12"/>
        <v>--</v>
      </c>
      <c r="AB30" s="52" t="s">
        <v>73</v>
      </c>
      <c r="AC30" s="26">
        <f t="shared" si="13"/>
        <v>2034.0450000000005</v>
      </c>
      <c r="AD30" s="400"/>
    </row>
    <row r="31" spans="1:30" s="8" customFormat="1" ht="16.5" customHeight="1">
      <c r="A31" s="141"/>
      <c r="B31" s="147"/>
      <c r="C31" s="49">
        <v>22</v>
      </c>
      <c r="D31" s="49">
        <v>293329</v>
      </c>
      <c r="E31" s="49">
        <v>5459</v>
      </c>
      <c r="F31" s="40" t="s">
        <v>105</v>
      </c>
      <c r="G31" s="39" t="s">
        <v>88</v>
      </c>
      <c r="H31" s="432">
        <v>30</v>
      </c>
      <c r="I31" s="248" t="s">
        <v>65</v>
      </c>
      <c r="J31" s="246">
        <f t="shared" si="0"/>
        <v>37.050000000000004</v>
      </c>
      <c r="K31" s="51">
        <v>42294.45486111111</v>
      </c>
      <c r="L31" s="51">
        <v>42294.58819444444</v>
      </c>
      <c r="M31" s="21">
        <f t="shared" si="1"/>
        <v>3.199999999953434</v>
      </c>
      <c r="N31" s="22">
        <f t="shared" si="2"/>
        <v>192</v>
      </c>
      <c r="O31" s="52" t="s">
        <v>75</v>
      </c>
      <c r="P31" s="52" t="s">
        <v>73</v>
      </c>
      <c r="Q31" s="52" t="s">
        <v>87</v>
      </c>
      <c r="R31" s="52" t="s">
        <v>73</v>
      </c>
      <c r="S31" s="308">
        <f t="shared" si="4"/>
        <v>60</v>
      </c>
      <c r="T31" s="313" t="str">
        <f t="shared" si="5"/>
        <v>--</v>
      </c>
      <c r="U31" s="319" t="str">
        <f t="shared" si="6"/>
        <v>--</v>
      </c>
      <c r="V31" s="332" t="str">
        <f t="shared" si="7"/>
        <v>--</v>
      </c>
      <c r="W31" s="333">
        <f t="shared" si="8"/>
        <v>7113.600000000002</v>
      </c>
      <c r="X31" s="340" t="str">
        <f t="shared" si="9"/>
        <v>--</v>
      </c>
      <c r="Y31" s="341" t="str">
        <f t="shared" si="10"/>
        <v>--</v>
      </c>
      <c r="Z31" s="353" t="str">
        <f t="shared" si="11"/>
        <v>--</v>
      </c>
      <c r="AA31" s="349" t="str">
        <f t="shared" si="12"/>
        <v>--</v>
      </c>
      <c r="AB31" s="52" t="s">
        <v>73</v>
      </c>
      <c r="AC31" s="26">
        <f t="shared" si="13"/>
        <v>7113.600000000002</v>
      </c>
      <c r="AD31" s="400"/>
    </row>
    <row r="32" spans="1:30" s="8" customFormat="1" ht="16.5" customHeight="1">
      <c r="A32" s="141"/>
      <c r="B32" s="147"/>
      <c r="C32" s="49">
        <v>23</v>
      </c>
      <c r="D32" s="49">
        <v>294047</v>
      </c>
      <c r="E32" s="49">
        <v>765</v>
      </c>
      <c r="F32" s="40" t="s">
        <v>93</v>
      </c>
      <c r="G32" s="39" t="s">
        <v>90</v>
      </c>
      <c r="H32" s="53">
        <v>15</v>
      </c>
      <c r="I32" s="248" t="s">
        <v>65</v>
      </c>
      <c r="J32" s="246">
        <f t="shared" si="0"/>
        <v>18.525000000000002</v>
      </c>
      <c r="K32" s="51">
        <v>42303.46041666667</v>
      </c>
      <c r="L32" s="51">
        <v>42303.47083333333</v>
      </c>
      <c r="M32" s="21">
        <f t="shared" si="1"/>
        <v>0.24999999994179234</v>
      </c>
      <c r="N32" s="22">
        <f t="shared" si="2"/>
        <v>15</v>
      </c>
      <c r="O32" s="52" t="s">
        <v>85</v>
      </c>
      <c r="P32" s="52" t="str">
        <f t="shared" si="3"/>
        <v>NO</v>
      </c>
      <c r="Q32" s="304">
        <v>60</v>
      </c>
      <c r="R32" s="52" t="s">
        <v>73</v>
      </c>
      <c r="S32" s="308">
        <f t="shared" si="4"/>
        <v>60</v>
      </c>
      <c r="T32" s="313" t="str">
        <f t="shared" si="5"/>
        <v>--</v>
      </c>
      <c r="U32" s="319" t="str">
        <f t="shared" si="6"/>
        <v>--</v>
      </c>
      <c r="V32" s="332" t="str">
        <f t="shared" si="7"/>
        <v>--</v>
      </c>
      <c r="W32" s="333" t="str">
        <f t="shared" si="8"/>
        <v>--</v>
      </c>
      <c r="X32" s="340">
        <f t="shared" si="9"/>
        <v>666.9000000000001</v>
      </c>
      <c r="Y32" s="341">
        <f t="shared" si="10"/>
        <v>166.72500000000002</v>
      </c>
      <c r="Z32" s="353" t="str">
        <f t="shared" si="11"/>
        <v>--</v>
      </c>
      <c r="AA32" s="349" t="str">
        <f t="shared" si="12"/>
        <v>--</v>
      </c>
      <c r="AB32" s="52" t="s">
        <v>73</v>
      </c>
      <c r="AC32" s="26">
        <f t="shared" si="13"/>
        <v>833.6250000000001</v>
      </c>
      <c r="AD32" s="400"/>
    </row>
    <row r="33" spans="1:30" s="8" customFormat="1" ht="16.5" customHeight="1">
      <c r="A33" s="141"/>
      <c r="B33" s="147"/>
      <c r="C33" s="49">
        <v>24</v>
      </c>
      <c r="D33" s="49">
        <v>294048</v>
      </c>
      <c r="E33" s="49">
        <v>764</v>
      </c>
      <c r="F33" s="40" t="s">
        <v>93</v>
      </c>
      <c r="G33" s="39" t="s">
        <v>83</v>
      </c>
      <c r="H33" s="53">
        <v>30</v>
      </c>
      <c r="I33" s="248" t="s">
        <v>94</v>
      </c>
      <c r="J33" s="246">
        <f t="shared" si="0"/>
        <v>37.050000000000004</v>
      </c>
      <c r="K33" s="51">
        <v>42303.46041666667</v>
      </c>
      <c r="L33" s="51">
        <v>42303.47083333333</v>
      </c>
      <c r="M33" s="21">
        <f t="shared" si="1"/>
        <v>0.24999999994179234</v>
      </c>
      <c r="N33" s="22">
        <f t="shared" si="2"/>
        <v>15</v>
      </c>
      <c r="O33" s="52" t="s">
        <v>85</v>
      </c>
      <c r="P33" s="52" t="str">
        <f t="shared" si="3"/>
        <v>NO</v>
      </c>
      <c r="Q33" s="304">
        <v>40</v>
      </c>
      <c r="R33" s="52" t="s">
        <v>73</v>
      </c>
      <c r="S33" s="308">
        <f t="shared" si="4"/>
        <v>60</v>
      </c>
      <c r="T33" s="313" t="str">
        <f t="shared" si="5"/>
        <v>--</v>
      </c>
      <c r="U33" s="319" t="str">
        <f t="shared" si="6"/>
        <v>--</v>
      </c>
      <c r="V33" s="332" t="str">
        <f t="shared" si="7"/>
        <v>--</v>
      </c>
      <c r="W33" s="333" t="str">
        <f t="shared" si="8"/>
        <v>--</v>
      </c>
      <c r="X33" s="340">
        <f t="shared" si="9"/>
        <v>889.2000000000002</v>
      </c>
      <c r="Y33" s="341">
        <f t="shared" si="10"/>
        <v>222.30000000000004</v>
      </c>
      <c r="Z33" s="353" t="str">
        <f t="shared" si="11"/>
        <v>--</v>
      </c>
      <c r="AA33" s="349" t="str">
        <f t="shared" si="12"/>
        <v>--</v>
      </c>
      <c r="AB33" s="52" t="s">
        <v>73</v>
      </c>
      <c r="AC33" s="26">
        <f t="shared" si="13"/>
        <v>1111.5000000000002</v>
      </c>
      <c r="AD33" s="400"/>
    </row>
    <row r="34" spans="1:30" s="8" customFormat="1" ht="16.5" customHeight="1">
      <c r="A34" s="141"/>
      <c r="B34" s="147"/>
      <c r="C34" s="49">
        <v>25</v>
      </c>
      <c r="D34" s="49">
        <v>294049</v>
      </c>
      <c r="E34" s="49">
        <v>1336</v>
      </c>
      <c r="F34" s="40" t="s">
        <v>93</v>
      </c>
      <c r="G34" s="39" t="s">
        <v>86</v>
      </c>
      <c r="H34" s="53">
        <v>30</v>
      </c>
      <c r="I34" s="248" t="s">
        <v>65</v>
      </c>
      <c r="J34" s="246">
        <f t="shared" si="0"/>
        <v>37.050000000000004</v>
      </c>
      <c r="K34" s="51">
        <v>42303.46041666667</v>
      </c>
      <c r="L34" s="51">
        <v>42303.47083333333</v>
      </c>
      <c r="M34" s="21">
        <f t="shared" si="1"/>
        <v>0.24999999994179234</v>
      </c>
      <c r="N34" s="22">
        <f t="shared" si="2"/>
        <v>15</v>
      </c>
      <c r="O34" s="52" t="s">
        <v>85</v>
      </c>
      <c r="P34" s="52" t="str">
        <f t="shared" si="3"/>
        <v>NO</v>
      </c>
      <c r="Q34" s="304">
        <v>40</v>
      </c>
      <c r="R34" s="52" t="s">
        <v>73</v>
      </c>
      <c r="S34" s="308">
        <f t="shared" si="4"/>
        <v>60</v>
      </c>
      <c r="T34" s="313" t="str">
        <f t="shared" si="5"/>
        <v>--</v>
      </c>
      <c r="U34" s="319" t="str">
        <f t="shared" si="6"/>
        <v>--</v>
      </c>
      <c r="V34" s="332" t="str">
        <f t="shared" si="7"/>
        <v>--</v>
      </c>
      <c r="W34" s="333" t="str">
        <f t="shared" si="8"/>
        <v>--</v>
      </c>
      <c r="X34" s="340">
        <f t="shared" si="9"/>
        <v>889.2000000000002</v>
      </c>
      <c r="Y34" s="341">
        <f t="shared" si="10"/>
        <v>222.30000000000004</v>
      </c>
      <c r="Z34" s="353" t="str">
        <f t="shared" si="11"/>
        <v>--</v>
      </c>
      <c r="AA34" s="349" t="str">
        <f t="shared" si="12"/>
        <v>--</v>
      </c>
      <c r="AB34" s="52" t="s">
        <v>73</v>
      </c>
      <c r="AC34" s="26">
        <f t="shared" si="13"/>
        <v>1111.5000000000002</v>
      </c>
      <c r="AD34" s="400"/>
    </row>
    <row r="35" spans="1:30" s="8" customFormat="1" ht="16.5" customHeight="1">
      <c r="A35" s="141"/>
      <c r="B35" s="147"/>
      <c r="C35" s="49">
        <v>26</v>
      </c>
      <c r="D35" s="49">
        <v>294055</v>
      </c>
      <c r="E35" s="49">
        <v>5425</v>
      </c>
      <c r="F35" s="40" t="s">
        <v>106</v>
      </c>
      <c r="G35" s="39" t="s">
        <v>88</v>
      </c>
      <c r="H35" s="432">
        <v>30</v>
      </c>
      <c r="I35" s="248" t="s">
        <v>65</v>
      </c>
      <c r="J35" s="246">
        <f t="shared" si="0"/>
        <v>37.050000000000004</v>
      </c>
      <c r="K35" s="51">
        <v>42303.84027777778</v>
      </c>
      <c r="L35" s="51">
        <v>42303.85277777778</v>
      </c>
      <c r="M35" s="21">
        <f t="shared" si="1"/>
        <v>0.2999999999301508</v>
      </c>
      <c r="N35" s="22">
        <f t="shared" si="2"/>
        <v>18</v>
      </c>
      <c r="O35" s="52" t="s">
        <v>75</v>
      </c>
      <c r="P35" s="52" t="str">
        <f t="shared" si="3"/>
        <v>NO</v>
      </c>
      <c r="Q35" s="52" t="s">
        <v>87</v>
      </c>
      <c r="R35" s="52" t="s">
        <v>73</v>
      </c>
      <c r="S35" s="308">
        <f t="shared" si="4"/>
        <v>60</v>
      </c>
      <c r="T35" s="313" t="str">
        <f t="shared" si="5"/>
        <v>--</v>
      </c>
      <c r="U35" s="319" t="str">
        <f t="shared" si="6"/>
        <v>--</v>
      </c>
      <c r="V35" s="332">
        <f t="shared" si="7"/>
        <v>2223.0000000000005</v>
      </c>
      <c r="W35" s="333">
        <f t="shared" si="8"/>
        <v>666.9000000000001</v>
      </c>
      <c r="X35" s="340" t="str">
        <f t="shared" si="9"/>
        <v>--</v>
      </c>
      <c r="Y35" s="341" t="str">
        <f t="shared" si="10"/>
        <v>--</v>
      </c>
      <c r="Z35" s="353" t="str">
        <f t="shared" si="11"/>
        <v>--</v>
      </c>
      <c r="AA35" s="349" t="str">
        <f t="shared" si="12"/>
        <v>--</v>
      </c>
      <c r="AB35" s="52" t="s">
        <v>73</v>
      </c>
      <c r="AC35" s="26">
        <f t="shared" si="13"/>
        <v>2889.9000000000005</v>
      </c>
      <c r="AD35" s="400"/>
    </row>
    <row r="36" spans="1:30" s="8" customFormat="1" ht="16.5" customHeight="1">
      <c r="A36" s="141"/>
      <c r="B36" s="147"/>
      <c r="C36" s="49">
        <v>27</v>
      </c>
      <c r="D36" s="49">
        <v>294061</v>
      </c>
      <c r="E36" s="49">
        <v>5425</v>
      </c>
      <c r="F36" s="40" t="s">
        <v>106</v>
      </c>
      <c r="G36" s="39" t="s">
        <v>88</v>
      </c>
      <c r="H36" s="432">
        <v>30</v>
      </c>
      <c r="I36" s="248" t="s">
        <v>65</v>
      </c>
      <c r="J36" s="246">
        <f t="shared" si="0"/>
        <v>37.050000000000004</v>
      </c>
      <c r="K36" s="51">
        <v>42304.47152777778</v>
      </c>
      <c r="L36" s="51">
        <v>42304.49513888889</v>
      </c>
      <c r="M36" s="21">
        <f t="shared" si="1"/>
        <v>0.566666666592937</v>
      </c>
      <c r="N36" s="22">
        <f t="shared" si="2"/>
        <v>34</v>
      </c>
      <c r="O36" s="52" t="s">
        <v>75</v>
      </c>
      <c r="P36" s="52" t="str">
        <f t="shared" si="3"/>
        <v>NO</v>
      </c>
      <c r="Q36" s="52" t="s">
        <v>87</v>
      </c>
      <c r="R36" s="52" t="s">
        <v>73</v>
      </c>
      <c r="S36" s="308">
        <f t="shared" si="4"/>
        <v>60</v>
      </c>
      <c r="T36" s="313" t="str">
        <f t="shared" si="5"/>
        <v>--</v>
      </c>
      <c r="U36" s="319" t="str">
        <f t="shared" si="6"/>
        <v>--</v>
      </c>
      <c r="V36" s="332">
        <f t="shared" si="7"/>
        <v>2223.0000000000005</v>
      </c>
      <c r="W36" s="333">
        <f t="shared" si="8"/>
        <v>1267.1100000000001</v>
      </c>
      <c r="X36" s="340" t="str">
        <f t="shared" si="9"/>
        <v>--</v>
      </c>
      <c r="Y36" s="341" t="str">
        <f t="shared" si="10"/>
        <v>--</v>
      </c>
      <c r="Z36" s="353" t="str">
        <f t="shared" si="11"/>
        <v>--</v>
      </c>
      <c r="AA36" s="349" t="str">
        <f t="shared" si="12"/>
        <v>--</v>
      </c>
      <c r="AB36" s="52" t="s">
        <v>73</v>
      </c>
      <c r="AC36" s="26">
        <f t="shared" si="13"/>
        <v>3490.1100000000006</v>
      </c>
      <c r="AD36" s="400"/>
    </row>
    <row r="37" spans="1:30" s="8" customFormat="1" ht="16.5" customHeight="1">
      <c r="A37" s="141"/>
      <c r="B37" s="147"/>
      <c r="C37" s="49">
        <v>28</v>
      </c>
      <c r="D37" s="49">
        <v>294074</v>
      </c>
      <c r="E37" s="49">
        <v>5425</v>
      </c>
      <c r="F37" s="40" t="s">
        <v>106</v>
      </c>
      <c r="G37" s="39" t="s">
        <v>88</v>
      </c>
      <c r="H37" s="432">
        <v>30</v>
      </c>
      <c r="I37" s="248" t="s">
        <v>65</v>
      </c>
      <c r="J37" s="246">
        <f t="shared" si="0"/>
        <v>37.050000000000004</v>
      </c>
      <c r="K37" s="51">
        <v>42304.52777777778</v>
      </c>
      <c r="L37" s="51">
        <v>42307.6875</v>
      </c>
      <c r="M37" s="21">
        <f t="shared" si="1"/>
        <v>75.83333333325572</v>
      </c>
      <c r="N37" s="22">
        <f t="shared" si="2"/>
        <v>4550</v>
      </c>
      <c r="O37" s="52" t="s">
        <v>85</v>
      </c>
      <c r="P37" s="52" t="str">
        <f t="shared" si="3"/>
        <v>NO</v>
      </c>
      <c r="Q37" s="304">
        <v>60</v>
      </c>
      <c r="R37" s="52" t="str">
        <f>IF(F37="","","NO")</f>
        <v>NO</v>
      </c>
      <c r="S37" s="308">
        <f t="shared" si="4"/>
        <v>6</v>
      </c>
      <c r="T37" s="313" t="str">
        <f t="shared" si="5"/>
        <v>--</v>
      </c>
      <c r="U37" s="319" t="str">
        <f t="shared" si="6"/>
        <v>--</v>
      </c>
      <c r="V37" s="332" t="str">
        <f t="shared" si="7"/>
        <v>--</v>
      </c>
      <c r="W37" s="333" t="str">
        <f t="shared" si="8"/>
        <v>--</v>
      </c>
      <c r="X37" s="340">
        <f t="shared" si="9"/>
        <v>133.38</v>
      </c>
      <c r="Y37" s="341">
        <f t="shared" si="10"/>
        <v>10114.2054</v>
      </c>
      <c r="Z37" s="353" t="str">
        <f t="shared" si="11"/>
        <v>--</v>
      </c>
      <c r="AA37" s="349" t="str">
        <f t="shared" si="12"/>
        <v>--</v>
      </c>
      <c r="AB37" s="52" t="s">
        <v>73</v>
      </c>
      <c r="AC37" s="26">
        <f t="shared" si="13"/>
        <v>10247.5854</v>
      </c>
      <c r="AD37" s="148"/>
    </row>
    <row r="38" spans="1:30" s="8" customFormat="1" ht="16.5" customHeight="1">
      <c r="A38" s="141"/>
      <c r="B38" s="147"/>
      <c r="C38" s="49">
        <v>29</v>
      </c>
      <c r="D38" s="49">
        <v>294079</v>
      </c>
      <c r="E38" s="49">
        <v>4263</v>
      </c>
      <c r="F38" s="40" t="s">
        <v>82</v>
      </c>
      <c r="G38" s="39" t="s">
        <v>83</v>
      </c>
      <c r="H38" s="53">
        <v>15</v>
      </c>
      <c r="I38" s="248" t="s">
        <v>84</v>
      </c>
      <c r="J38" s="246">
        <f t="shared" si="0"/>
        <v>18.525000000000002</v>
      </c>
      <c r="K38" s="51">
        <v>42307.11041666667</v>
      </c>
      <c r="L38" s="51">
        <v>42307.11597222222</v>
      </c>
      <c r="M38" s="21">
        <f t="shared" si="1"/>
        <v>0.1333333332440816</v>
      </c>
      <c r="N38" s="22">
        <f t="shared" si="2"/>
        <v>8</v>
      </c>
      <c r="O38" s="52" t="s">
        <v>85</v>
      </c>
      <c r="P38" s="52" t="str">
        <f t="shared" si="3"/>
        <v>NO</v>
      </c>
      <c r="Q38" s="304">
        <v>60</v>
      </c>
      <c r="R38" s="52" t="s">
        <v>73</v>
      </c>
      <c r="S38" s="308">
        <f t="shared" si="4"/>
        <v>60</v>
      </c>
      <c r="T38" s="313" t="str">
        <f t="shared" si="5"/>
        <v>--</v>
      </c>
      <c r="U38" s="319" t="str">
        <f t="shared" si="6"/>
        <v>--</v>
      </c>
      <c r="V38" s="332" t="str">
        <f t="shared" si="7"/>
        <v>--</v>
      </c>
      <c r="W38" s="333" t="str">
        <f t="shared" si="8"/>
        <v>--</v>
      </c>
      <c r="X38" s="340">
        <f t="shared" si="9"/>
        <v>666.9000000000001</v>
      </c>
      <c r="Y38" s="341">
        <f t="shared" si="10"/>
        <v>86.69700000000003</v>
      </c>
      <c r="Z38" s="353" t="str">
        <f t="shared" si="11"/>
        <v>--</v>
      </c>
      <c r="AA38" s="349" t="str">
        <f t="shared" si="12"/>
        <v>--</v>
      </c>
      <c r="AB38" s="52" t="s">
        <v>73</v>
      </c>
      <c r="AC38" s="26">
        <f t="shared" si="13"/>
        <v>753.5970000000001</v>
      </c>
      <c r="AD38" s="148"/>
    </row>
    <row r="39" spans="1:30" s="8" customFormat="1" ht="16.5" customHeight="1">
      <c r="A39" s="141"/>
      <c r="B39" s="147"/>
      <c r="C39" s="49"/>
      <c r="D39" s="49"/>
      <c r="E39" s="49"/>
      <c r="F39" s="40"/>
      <c r="G39" s="39"/>
      <c r="H39" s="53"/>
      <c r="I39" s="50"/>
      <c r="J39" s="246">
        <f>H39*$I$16</f>
        <v>0</v>
      </c>
      <c r="K39" s="51"/>
      <c r="L39" s="51"/>
      <c r="M39" s="21">
        <f>IF(F39="","",(L39-K39)*24)</f>
      </c>
      <c r="N39" s="22">
        <f>IF(F39="","",ROUND((L39-K39)*24*60,0))</f>
      </c>
      <c r="O39" s="52"/>
      <c r="P39" s="52">
        <f t="shared" si="3"/>
      </c>
      <c r="Q39" s="304">
        <f>IF(F39="","","--")</f>
      </c>
      <c r="R39" s="52">
        <f>IF(F39="","","NO")</f>
      </c>
      <c r="S39" s="308">
        <f>$I$17*IF(OR(O39="P",O39="RP"),0.1,1)*IF(R39="SI",1,0.1)</f>
        <v>6</v>
      </c>
      <c r="T39" s="313" t="str">
        <f>IF(O39="P",J39*S39*ROUND(N39/60,2),"--")</f>
        <v>--</v>
      </c>
      <c r="U39" s="319" t="str">
        <f>IF(O39="RP",J39*S39*ROUND(N39/60,2)*Q39/100,"--")</f>
        <v>--</v>
      </c>
      <c r="V39" s="332" t="str">
        <f>IF(AND(O39="F",P39="NO"),J39*S39,"--")</f>
        <v>--</v>
      </c>
      <c r="W39" s="333" t="str">
        <f>IF(O39="F",J39*S39*ROUND(N39/60,2),"--")</f>
        <v>--</v>
      </c>
      <c r="X39" s="340" t="str">
        <f>IF(AND(O39="R",P39="NO"),J39*S39*Q39/100,"--")</f>
        <v>--</v>
      </c>
      <c r="Y39" s="341" t="str">
        <f>IF(O39="R",J39*S39*ROUND(N39/60,2)*Q39/100,"--")</f>
        <v>--</v>
      </c>
      <c r="Z39" s="353" t="str">
        <f>IF(O39="RF",J39*S39*ROUND(N39/60,2),"--")</f>
        <v>--</v>
      </c>
      <c r="AA39" s="349" t="str">
        <f>IF(O39="RR",J39*S39*ROUND(N39/60,2)*Q39/100,"--")</f>
        <v>--</v>
      </c>
      <c r="AB39" s="52">
        <f>IF(F39="","","SI")</f>
      </c>
      <c r="AC39" s="26">
        <f t="shared" si="13"/>
      </c>
      <c r="AD39" s="148"/>
    </row>
    <row r="40" spans="1:30" s="8" customFormat="1" ht="16.5" customHeight="1">
      <c r="A40" s="141"/>
      <c r="B40" s="147"/>
      <c r="C40" s="49"/>
      <c r="D40" s="49"/>
      <c r="E40" s="49"/>
      <c r="F40" s="40"/>
      <c r="G40" s="39"/>
      <c r="H40" s="53"/>
      <c r="I40" s="50"/>
      <c r="J40" s="246">
        <f>H40*$I$16</f>
        <v>0</v>
      </c>
      <c r="K40" s="51"/>
      <c r="L40" s="51"/>
      <c r="M40" s="21">
        <f>IF(F40="","",(L40-K40)*24)</f>
      </c>
      <c r="N40" s="22">
        <f>IF(F40="","",ROUND((L40-K40)*24*60,0))</f>
      </c>
      <c r="O40" s="52"/>
      <c r="P40" s="52">
        <f t="shared" si="3"/>
      </c>
      <c r="Q40" s="304">
        <f>IF(F40="","","--")</f>
      </c>
      <c r="R40" s="52">
        <f>IF(F40="","","NO")</f>
      </c>
      <c r="S40" s="308">
        <f>$I$17*IF(OR(O40="P",O40="RP"),0.1,1)*IF(R40="SI",1,0.1)</f>
        <v>6</v>
      </c>
      <c r="T40" s="313" t="str">
        <f>IF(O40="P",J40*S40*ROUND(N40/60,2),"--")</f>
        <v>--</v>
      </c>
      <c r="U40" s="319" t="str">
        <f>IF(O40="RP",J40*S40*ROUND(N40/60,2)*Q40/100,"--")</f>
        <v>--</v>
      </c>
      <c r="V40" s="332" t="str">
        <f>IF(AND(O40="F",P40="NO"),J40*S40,"--")</f>
        <v>--</v>
      </c>
      <c r="W40" s="333" t="str">
        <f>IF(O40="F",J40*S40*ROUND(N40/60,2),"--")</f>
        <v>--</v>
      </c>
      <c r="X40" s="340" t="str">
        <f>IF(AND(O40="R",P40="NO"),J40*S40*Q40/100,"--")</f>
        <v>--</v>
      </c>
      <c r="Y40" s="341" t="str">
        <f>IF(O40="R",J40*S40*ROUND(N40/60,2)*Q40/100,"--")</f>
        <v>--</v>
      </c>
      <c r="Z40" s="353" t="str">
        <f>IF(O40="RF",J40*S40*ROUND(N40/60,2),"--")</f>
        <v>--</v>
      </c>
      <c r="AA40" s="349" t="str">
        <f>IF(O40="RR",J40*S40*ROUND(N40/60,2)*Q40/100,"--")</f>
        <v>--</v>
      </c>
      <c r="AB40" s="52">
        <f>IF(F40="","","SI")</f>
      </c>
      <c r="AC40" s="26">
        <f t="shared" si="13"/>
      </c>
      <c r="AD40" s="148"/>
    </row>
    <row r="41" spans="1:30" s="8" customFormat="1" ht="16.5" customHeight="1">
      <c r="A41" s="141"/>
      <c r="B41" s="147"/>
      <c r="C41" s="49"/>
      <c r="D41" s="49"/>
      <c r="E41" s="49"/>
      <c r="F41" s="40"/>
      <c r="G41" s="39"/>
      <c r="H41" s="53"/>
      <c r="I41" s="50"/>
      <c r="J41" s="246">
        <f>H41*$I$16</f>
        <v>0</v>
      </c>
      <c r="K41" s="51"/>
      <c r="L41" s="51"/>
      <c r="M41" s="21">
        <f>IF(F41="","",(L41-K41)*24)</f>
      </c>
      <c r="N41" s="22">
        <f>IF(F41="","",ROUND((L41-K41)*24*60,0))</f>
      </c>
      <c r="O41" s="52"/>
      <c r="P41" s="52">
        <f t="shared" si="3"/>
      </c>
      <c r="Q41" s="304">
        <f>IF(F41="","","--")</f>
      </c>
      <c r="R41" s="52">
        <f>IF(F41="","","NO")</f>
      </c>
      <c r="S41" s="308">
        <f>$I$17*IF(OR(O41="P",O41="RP"),0.1,1)*IF(R41="SI",1,0.1)</f>
        <v>6</v>
      </c>
      <c r="T41" s="313" t="str">
        <f>IF(O41="P",J41*S41*ROUND(N41/60,2),"--")</f>
        <v>--</v>
      </c>
      <c r="U41" s="319" t="str">
        <f>IF(O41="RP",J41*S41*ROUND(N41/60,2)*Q41/100,"--")</f>
        <v>--</v>
      </c>
      <c r="V41" s="332" t="str">
        <f>IF(AND(O41="F",P41="NO"),J41*S41,"--")</f>
        <v>--</v>
      </c>
      <c r="W41" s="333" t="str">
        <f>IF(O41="F",J41*S41*ROUND(N41/60,2),"--")</f>
        <v>--</v>
      </c>
      <c r="X41" s="340" t="str">
        <f>IF(AND(O41="R",P41="NO"),J41*S41*Q41/100,"--")</f>
        <v>--</v>
      </c>
      <c r="Y41" s="341" t="str">
        <f>IF(O41="R",J41*S41*ROUND(N41/60,2)*Q41/100,"--")</f>
        <v>--</v>
      </c>
      <c r="Z41" s="353" t="str">
        <f>IF(O41="RF",J41*S41*ROUND(N41/60,2),"--")</f>
        <v>--</v>
      </c>
      <c r="AA41" s="349" t="str">
        <f>IF(O41="RR",J41*S41*ROUND(N41/60,2)*Q41/100,"--")</f>
        <v>--</v>
      </c>
      <c r="AB41" s="52">
        <f>IF(F41="","","SI")</f>
      </c>
      <c r="AC41" s="26">
        <f t="shared" si="13"/>
      </c>
      <c r="AD41" s="148"/>
    </row>
    <row r="42" spans="1:30" s="8" customFormat="1" ht="16.5" customHeight="1" thickBot="1">
      <c r="A42" s="141"/>
      <c r="B42" s="147"/>
      <c r="C42" s="419"/>
      <c r="D42" s="419"/>
      <c r="E42" s="419"/>
      <c r="F42" s="419"/>
      <c r="G42" s="419"/>
      <c r="H42" s="419"/>
      <c r="I42" s="419"/>
      <c r="J42" s="303"/>
      <c r="K42" s="419"/>
      <c r="L42" s="419"/>
      <c r="M42" s="23"/>
      <c r="N42" s="23"/>
      <c r="O42" s="419"/>
      <c r="P42" s="23"/>
      <c r="Q42" s="419"/>
      <c r="R42" s="419"/>
      <c r="S42" s="309"/>
      <c r="T42" s="314"/>
      <c r="U42" s="320"/>
      <c r="V42" s="359"/>
      <c r="W42" s="358"/>
      <c r="X42" s="342"/>
      <c r="Y42" s="343"/>
      <c r="Z42" s="354"/>
      <c r="AA42" s="350"/>
      <c r="AB42" s="23"/>
      <c r="AC42" s="185"/>
      <c r="AD42" s="148"/>
    </row>
    <row r="43" spans="1:30" s="8" customFormat="1" ht="16.5" customHeight="1" thickBot="1" thickTop="1">
      <c r="A43" s="141"/>
      <c r="B43" s="147"/>
      <c r="C43" s="209" t="s">
        <v>40</v>
      </c>
      <c r="D43" s="433" t="s">
        <v>107</v>
      </c>
      <c r="E43" s="211"/>
      <c r="F43" s="210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315">
        <f>SUM(T20:T42)</f>
        <v>0</v>
      </c>
      <c r="U43" s="321">
        <f aca="true" t="shared" si="14" ref="U43:AA43">SUM(U20:U42)</f>
        <v>8269.560000000003</v>
      </c>
      <c r="V43" s="334">
        <f t="shared" si="14"/>
        <v>9744.150000000001</v>
      </c>
      <c r="W43" s="334">
        <f t="shared" si="14"/>
        <v>26865.32550000001</v>
      </c>
      <c r="X43" s="344">
        <f t="shared" si="14"/>
        <v>7469.280000000001</v>
      </c>
      <c r="Y43" s="344">
        <f t="shared" si="14"/>
        <v>15198.206400000003</v>
      </c>
      <c r="Z43" s="356">
        <f t="shared" si="14"/>
        <v>0</v>
      </c>
      <c r="AA43" s="357">
        <f t="shared" si="14"/>
        <v>0</v>
      </c>
      <c r="AB43" s="25"/>
      <c r="AC43" s="241">
        <f>ROUND(SUM(AC20:AC42),2)</f>
        <v>67546.52</v>
      </c>
      <c r="AD43" s="148"/>
    </row>
    <row r="44" spans="1:30" s="224" customFormat="1" ht="9.75" thickTop="1">
      <c r="A44" s="227"/>
      <c r="B44" s="228"/>
      <c r="C44" s="211"/>
      <c r="D44" s="211"/>
      <c r="E44" s="211"/>
      <c r="F44" s="212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30"/>
      <c r="U44" s="230"/>
      <c r="V44" s="230"/>
      <c r="W44" s="230"/>
      <c r="X44" s="230"/>
      <c r="Y44" s="230"/>
      <c r="Z44" s="230"/>
      <c r="AA44" s="230"/>
      <c r="AB44" s="229"/>
      <c r="AC44" s="231"/>
      <c r="AD44" s="232"/>
    </row>
    <row r="45" spans="1:30" s="8" customFormat="1" ht="16.5" customHeight="1" thickBot="1">
      <c r="A45" s="141"/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8"/>
    </row>
    <row r="46" spans="2:30" ht="16.5" customHeight="1" thickTop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</row>
  </sheetData>
  <sheetProtection/>
  <printOptions/>
  <pageMargins left="0.3937007874015748" right="0.1968503937007874" top="0.65" bottom="0.67" header="0.5118110236220472" footer="0.35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47"/>
  <sheetViews>
    <sheetView zoomScale="85" zoomScaleNormal="85" zoomScalePageLayoutView="0" workbookViewId="0" topLeftCell="D1">
      <selection activeCell="G15" sqref="G15:G17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25.7109375" style="0" customWidth="1"/>
    <col min="7" max="7" width="35.7109375" style="0" customWidth="1"/>
    <col min="8" max="8" width="8.7109375" style="0" customWidth="1"/>
    <col min="9" max="9" width="14.710937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4.421875" style="0" hidden="1" customWidth="1"/>
    <col min="18" max="20" width="15.8515625" style="0" hidden="1" customWidth="1"/>
    <col min="21" max="21" width="10.7109375" style="0" customWidth="1"/>
    <col min="22" max="22" width="15.7109375" style="0" customWidth="1"/>
    <col min="23" max="23" width="4.140625" style="0" customWidth="1"/>
  </cols>
  <sheetData>
    <row r="1" s="61" customFormat="1" ht="31.5" customHeight="1">
      <c r="W1" s="406"/>
    </row>
    <row r="2" spans="2:23" s="61" customFormat="1" ht="26.25">
      <c r="B2" s="415" t="str">
        <f>+'TOT-1015'!B2</f>
        <v>ANEXO IV al Memorándum  D.T.E.E.  N° 657/ 2016                            .-</v>
      </c>
      <c r="C2" s="62"/>
      <c r="D2" s="62"/>
      <c r="E2" s="62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="8" customFormat="1" ht="12.75"/>
    <row r="4" spans="1:3" s="59" customFormat="1" ht="11.25">
      <c r="A4" s="429" t="s">
        <v>68</v>
      </c>
      <c r="B4" s="126"/>
      <c r="C4" s="429"/>
    </row>
    <row r="5" spans="1:3" s="59" customFormat="1" ht="11.25">
      <c r="A5" s="429" t="s">
        <v>69</v>
      </c>
      <c r="B5" s="126"/>
      <c r="C5" s="126"/>
    </row>
    <row r="6" s="8" customFormat="1" ht="13.5" thickBot="1"/>
    <row r="7" spans="2:23" s="8" customFormat="1" ht="13.5" thickTop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2:23" s="63" customFormat="1" ht="20.25">
      <c r="B8" s="120"/>
      <c r="C8" s="140"/>
      <c r="D8" s="140"/>
      <c r="E8" s="140"/>
      <c r="F8" s="17" t="s">
        <v>16</v>
      </c>
      <c r="P8" s="58"/>
      <c r="Q8" s="58"/>
      <c r="R8" s="58"/>
      <c r="S8" s="58"/>
      <c r="T8" s="58"/>
      <c r="U8" s="58"/>
      <c r="V8" s="58"/>
      <c r="W8" s="66"/>
    </row>
    <row r="9" spans="2:23" s="8" customFormat="1" ht="12.75">
      <c r="B9" s="33"/>
      <c r="C9" s="6"/>
      <c r="D9" s="6"/>
      <c r="E9" s="6"/>
      <c r="F9" s="6"/>
      <c r="G9" s="6"/>
      <c r="H9" s="6"/>
      <c r="I9" s="117"/>
      <c r="J9" s="117"/>
      <c r="K9" s="117"/>
      <c r="L9" s="117"/>
      <c r="M9" s="117"/>
      <c r="P9" s="6"/>
      <c r="Q9" s="6"/>
      <c r="R9" s="6"/>
      <c r="S9" s="6"/>
      <c r="T9" s="6"/>
      <c r="U9" s="6"/>
      <c r="V9" s="6"/>
      <c r="W9" s="9"/>
    </row>
    <row r="10" spans="2:23" s="63" customFormat="1" ht="20.25">
      <c r="B10" s="120"/>
      <c r="C10" s="140"/>
      <c r="D10" s="140"/>
      <c r="E10" s="140"/>
      <c r="F10" s="17" t="s">
        <v>56</v>
      </c>
      <c r="G10" s="17"/>
      <c r="H10" s="58"/>
      <c r="I10" s="17"/>
      <c r="J10" s="17"/>
      <c r="K10" s="17"/>
      <c r="L10" s="17"/>
      <c r="M10" s="17"/>
      <c r="P10" s="58"/>
      <c r="Q10" s="58"/>
      <c r="R10" s="58"/>
      <c r="S10" s="58"/>
      <c r="T10" s="58"/>
      <c r="U10" s="58"/>
      <c r="V10" s="58"/>
      <c r="W10" s="66"/>
    </row>
    <row r="11" spans="2:23" s="8" customFormat="1" ht="12.75">
      <c r="B11" s="33"/>
      <c r="C11" s="6"/>
      <c r="D11" s="6"/>
      <c r="E11" s="6"/>
      <c r="F11" s="118"/>
      <c r="G11" s="117"/>
      <c r="H11" s="6"/>
      <c r="I11" s="117"/>
      <c r="J11" s="117"/>
      <c r="K11" s="117"/>
      <c r="L11" s="117"/>
      <c r="M11" s="117"/>
      <c r="P11" s="6"/>
      <c r="Q11" s="6"/>
      <c r="R11" s="6"/>
      <c r="S11" s="6"/>
      <c r="T11" s="6"/>
      <c r="U11" s="6"/>
      <c r="V11" s="6"/>
      <c r="W11" s="9"/>
    </row>
    <row r="12" spans="2:23" s="67" customFormat="1" ht="19.5">
      <c r="B12" s="86" t="str">
        <f>+'TOT-1015'!B14</f>
        <v>Desde el 01 al 31 de octubre de 2015</v>
      </c>
      <c r="C12" s="89"/>
      <c r="D12" s="89"/>
      <c r="E12" s="89"/>
      <c r="F12" s="89"/>
      <c r="G12" s="89"/>
      <c r="H12" s="89"/>
      <c r="I12" s="89"/>
      <c r="J12" s="125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188"/>
    </row>
    <row r="13" spans="2:23" s="8" customFormat="1" ht="13.5" thickBot="1">
      <c r="B13" s="33"/>
      <c r="C13" s="6"/>
      <c r="D13" s="6"/>
      <c r="E13" s="6"/>
      <c r="I13" s="108"/>
      <c r="K13" s="6"/>
      <c r="L13" s="6"/>
      <c r="M13" s="6"/>
      <c r="N13" s="108"/>
      <c r="O13" s="108"/>
      <c r="P13" s="108"/>
      <c r="Q13" s="6"/>
      <c r="R13" s="6"/>
      <c r="S13" s="6"/>
      <c r="T13" s="6"/>
      <c r="U13" s="6"/>
      <c r="V13" s="6"/>
      <c r="W13" s="9"/>
    </row>
    <row r="14" spans="2:23" s="8" customFormat="1" ht="14.25" thickBot="1" thickTop="1">
      <c r="B14" s="33"/>
      <c r="C14" s="6"/>
      <c r="D14" s="6"/>
      <c r="E14" s="6"/>
      <c r="F14" s="189" t="s">
        <v>57</v>
      </c>
      <c r="G14" s="435" t="s">
        <v>111</v>
      </c>
      <c r="H14" s="190">
        <f>60*'TOT-1015'!B13</f>
        <v>120</v>
      </c>
      <c r="I14" s="108"/>
      <c r="J14" s="196" t="str">
        <f>IF(H14=60," ",IF(H14=120,"  Coeficiente duplicado por tasa de falla &gt;4 Sal. x año/100 km.","  REVISAR COEFICIENTE"))</f>
        <v>  Coeficiente duplicado por tasa de falla &gt;4 Sal. x año/100 km.</v>
      </c>
      <c r="K14" s="6"/>
      <c r="L14" s="6"/>
      <c r="M14" s="6"/>
      <c r="N14" s="108"/>
      <c r="O14" s="108"/>
      <c r="P14" s="108"/>
      <c r="Q14" s="6"/>
      <c r="R14" s="6"/>
      <c r="S14" s="6"/>
      <c r="T14" s="6"/>
      <c r="U14" s="6"/>
      <c r="V14" s="6"/>
      <c r="W14" s="9"/>
    </row>
    <row r="15" spans="2:23" s="8" customFormat="1" ht="14.25" thickBot="1" thickTop="1">
      <c r="B15" s="33"/>
      <c r="C15" s="6"/>
      <c r="D15" s="6"/>
      <c r="E15" s="6"/>
      <c r="F15" s="189" t="s">
        <v>58</v>
      </c>
      <c r="G15" s="435">
        <v>16.043</v>
      </c>
      <c r="H15" s="190">
        <f>50*'TOT-1015'!B13</f>
        <v>100</v>
      </c>
      <c r="J15" s="196" t="str">
        <f>IF(H15=50," ",IF(H15=100,"  Coeficiente duplicado por tasa de falla &gt;4 Sal. x año/100 km.","  REVISAR COEFICIENTE"))</f>
        <v>  Coeficiente duplicado por tasa de falla &gt;4 Sal. x año/100 km.</v>
      </c>
      <c r="S15" s="6"/>
      <c r="T15" s="6"/>
      <c r="U15" s="6"/>
      <c r="V15" s="6"/>
      <c r="W15" s="9"/>
    </row>
    <row r="16" spans="2:23" s="8" customFormat="1" ht="14.25" thickBot="1" thickTop="1">
      <c r="B16" s="33"/>
      <c r="C16" s="6"/>
      <c r="D16" s="6"/>
      <c r="E16" s="6"/>
      <c r="F16" s="191" t="s">
        <v>59</v>
      </c>
      <c r="G16" s="192">
        <v>12.029</v>
      </c>
      <c r="H16" s="193">
        <f>25*'TOT-1015'!B13</f>
        <v>50</v>
      </c>
      <c r="J16" s="196" t="str">
        <f>IF(H16=25," ",IF(H16=50,"  Coeficiente duplicado por tasa de falla &gt;4 Sal. x año/100 km.","  REVISAR COEFICIENTE"))</f>
        <v>  Coeficiente duplicado por tasa de falla &gt;4 Sal. x año/100 km.</v>
      </c>
      <c r="K16" s="109"/>
      <c r="L16" s="109"/>
      <c r="M16" s="6"/>
      <c r="P16" s="186"/>
      <c r="Q16" s="187"/>
      <c r="R16" s="27"/>
      <c r="S16" s="6"/>
      <c r="T16" s="6"/>
      <c r="U16" s="6"/>
      <c r="V16" s="6"/>
      <c r="W16" s="9"/>
    </row>
    <row r="17" spans="2:23" s="8" customFormat="1" ht="14.25" thickBot="1" thickTop="1">
      <c r="B17" s="33"/>
      <c r="C17" s="6"/>
      <c r="D17" s="6"/>
      <c r="E17" s="6"/>
      <c r="F17" s="194" t="s">
        <v>60</v>
      </c>
      <c r="G17" s="192">
        <v>12.029</v>
      </c>
      <c r="H17" s="195">
        <f>20*'TOT-1015'!B13</f>
        <v>40</v>
      </c>
      <c r="J17" s="196" t="str">
        <f>IF(H17=20," ",IF(H17=40,"  Coeficiente duplicado por tasa de falla &gt;4 Sal. x año/100 km.","  REVISAR COEFICIENTE"))</f>
        <v>  Coeficiente duplicado por tasa de falla &gt;4 Sal. x año/100 km.</v>
      </c>
      <c r="K17" s="109"/>
      <c r="L17" s="109"/>
      <c r="M17" s="6"/>
      <c r="P17" s="186"/>
      <c r="Q17" s="187"/>
      <c r="R17" s="27"/>
      <c r="S17" s="6"/>
      <c r="T17" s="6"/>
      <c r="U17" s="6"/>
      <c r="V17" s="6"/>
      <c r="W17" s="9"/>
    </row>
    <row r="18" spans="2:23" s="8" customFormat="1" ht="14.25" thickBot="1" thickTop="1">
      <c r="B18" s="147"/>
      <c r="C18" s="430">
        <v>3</v>
      </c>
      <c r="D18" s="430">
        <v>4</v>
      </c>
      <c r="E18" s="430">
        <v>5</v>
      </c>
      <c r="F18" s="430">
        <v>6</v>
      </c>
      <c r="G18" s="430">
        <v>7</v>
      </c>
      <c r="H18" s="430">
        <v>8</v>
      </c>
      <c r="I18" s="430">
        <v>9</v>
      </c>
      <c r="J18" s="430">
        <v>10</v>
      </c>
      <c r="K18" s="430">
        <v>11</v>
      </c>
      <c r="L18" s="430">
        <v>12</v>
      </c>
      <c r="M18" s="430">
        <v>13</v>
      </c>
      <c r="N18" s="430">
        <v>14</v>
      </c>
      <c r="O18" s="430">
        <v>15</v>
      </c>
      <c r="P18" s="430">
        <v>16</v>
      </c>
      <c r="Q18" s="430">
        <v>17</v>
      </c>
      <c r="R18" s="430">
        <v>18</v>
      </c>
      <c r="S18" s="430">
        <v>19</v>
      </c>
      <c r="T18" s="430">
        <v>20</v>
      </c>
      <c r="U18" s="430">
        <v>21</v>
      </c>
      <c r="V18" s="430">
        <v>22</v>
      </c>
      <c r="W18" s="148"/>
    </row>
    <row r="19" spans="2:23" s="8" customFormat="1" ht="33.75" customHeight="1" thickBot="1" thickTop="1">
      <c r="B19" s="33"/>
      <c r="C19" s="133" t="s">
        <v>22</v>
      </c>
      <c r="D19" s="133" t="s">
        <v>66</v>
      </c>
      <c r="E19" s="133" t="s">
        <v>67</v>
      </c>
      <c r="F19" s="182" t="s">
        <v>44</v>
      </c>
      <c r="G19" s="178" t="s">
        <v>45</v>
      </c>
      <c r="H19" s="181" t="s">
        <v>23</v>
      </c>
      <c r="I19" s="235" t="s">
        <v>25</v>
      </c>
      <c r="J19" s="178" t="s">
        <v>26</v>
      </c>
      <c r="K19" s="178" t="s">
        <v>27</v>
      </c>
      <c r="L19" s="182" t="s">
        <v>47</v>
      </c>
      <c r="M19" s="182" t="s">
        <v>48</v>
      </c>
      <c r="N19" s="135" t="s">
        <v>30</v>
      </c>
      <c r="O19" s="178" t="s">
        <v>50</v>
      </c>
      <c r="P19" s="242" t="s">
        <v>61</v>
      </c>
      <c r="Q19" s="377" t="s">
        <v>53</v>
      </c>
      <c r="R19" s="383" t="s">
        <v>54</v>
      </c>
      <c r="S19" s="384"/>
      <c r="T19" s="310" t="s">
        <v>36</v>
      </c>
      <c r="U19" s="233" t="s">
        <v>38</v>
      </c>
      <c r="V19" s="183" t="s">
        <v>39</v>
      </c>
      <c r="W19" s="148"/>
    </row>
    <row r="20" spans="2:23" s="8" customFormat="1" ht="16.5" customHeight="1" thickTop="1">
      <c r="B20" s="33"/>
      <c r="C20" s="417"/>
      <c r="D20" s="417"/>
      <c r="E20" s="417"/>
      <c r="F20" s="416"/>
      <c r="G20" s="416"/>
      <c r="H20" s="421"/>
      <c r="I20" s="395"/>
      <c r="J20" s="425"/>
      <c r="K20" s="425"/>
      <c r="L20" s="20"/>
      <c r="M20" s="20"/>
      <c r="N20" s="416"/>
      <c r="O20" s="416"/>
      <c r="P20" s="373"/>
      <c r="Q20" s="378"/>
      <c r="R20" s="385"/>
      <c r="S20" s="386"/>
      <c r="T20" s="391"/>
      <c r="U20" s="372"/>
      <c r="V20" s="403"/>
      <c r="W20" s="148"/>
    </row>
    <row r="21" spans="2:23" s="8" customFormat="1" ht="16.5" customHeight="1">
      <c r="B21" s="33"/>
      <c r="C21" s="422"/>
      <c r="D21" s="422"/>
      <c r="E21" s="422"/>
      <c r="F21" s="363"/>
      <c r="G21" s="363"/>
      <c r="H21" s="423"/>
      <c r="I21" s="396"/>
      <c r="J21" s="426"/>
      <c r="K21" s="426"/>
      <c r="L21" s="360"/>
      <c r="M21" s="360"/>
      <c r="N21" s="363"/>
      <c r="O21" s="363"/>
      <c r="P21" s="374"/>
      <c r="Q21" s="379"/>
      <c r="R21" s="387"/>
      <c r="S21" s="388"/>
      <c r="T21" s="392"/>
      <c r="U21" s="361"/>
      <c r="V21" s="362"/>
      <c r="W21" s="148"/>
    </row>
    <row r="22" spans="2:23" s="8" customFormat="1" ht="16.5" customHeight="1">
      <c r="B22" s="33"/>
      <c r="C22" s="363">
        <v>30</v>
      </c>
      <c r="D22" s="363">
        <v>293093</v>
      </c>
      <c r="E22" s="363">
        <v>809</v>
      </c>
      <c r="F22" s="364" t="s">
        <v>95</v>
      </c>
      <c r="G22" s="364" t="s">
        <v>96</v>
      </c>
      <c r="H22" s="365">
        <v>13.199999809265137</v>
      </c>
      <c r="I22" s="397">
        <f>IF(H22=220,$G$14,IF(AND(H22&lt;=132,H22&gt;=66),$G$15,IF(AND(H22&lt;66,H22&gt;=33),$G$16,$G$17)))</f>
        <v>12.029</v>
      </c>
      <c r="J22" s="426">
        <v>42284.84930555556</v>
      </c>
      <c r="K22" s="426">
        <v>42296.518055555556</v>
      </c>
      <c r="L22" s="366">
        <f>IF(F22="","",(K22-J22)*24)</f>
        <v>280.04999999993015</v>
      </c>
      <c r="M22" s="367">
        <f>IF(F22="","",ROUND((K22-J22)*24*60,0))</f>
        <v>16803</v>
      </c>
      <c r="N22" s="368" t="s">
        <v>75</v>
      </c>
      <c r="O22" s="369" t="str">
        <f>IF(F22="","",IF(OR(N22="P",N22="RP"),"--","NO"))</f>
        <v>NO</v>
      </c>
      <c r="P22" s="375">
        <f>IF(H22=220,$H$14,IF(AND(H22&lt;=132,H22&gt;=66),$H$15,IF(AND(H22&lt;66,H22&gt;=33),$H$16,$H$17)))</f>
        <v>40</v>
      </c>
      <c r="Q22" s="380" t="str">
        <f>IF(N22="P",I22*P22*ROUND(M22/60,2)*0.1,"--")</f>
        <v>--</v>
      </c>
      <c r="R22" s="387">
        <f>IF(AND(N22="F",O22="NO"),I22*P22,"--")</f>
        <v>481.15999999999997</v>
      </c>
      <c r="S22" s="388">
        <f>IF(N22="F",I22*P22*ROUND(M22/60,2),"--")</f>
        <v>134748.858</v>
      </c>
      <c r="T22" s="392" t="str">
        <f>IF(N22="RF",I22*P22*ROUND(M22/60,2),"--")</f>
        <v>--</v>
      </c>
      <c r="U22" s="368" t="s">
        <v>73</v>
      </c>
      <c r="V22" s="370">
        <f>IF(F22="","",SUM(Q22:T22)*IF(U22="SI",1,2)*IF(H22="500/220",0,1))</f>
        <v>135230.018</v>
      </c>
      <c r="W22" s="400"/>
    </row>
    <row r="23" spans="2:23" s="8" customFormat="1" ht="16.5" customHeight="1">
      <c r="B23" s="33"/>
      <c r="C23" s="363">
        <v>31</v>
      </c>
      <c r="D23" s="363">
        <v>293328</v>
      </c>
      <c r="E23" s="363">
        <v>775</v>
      </c>
      <c r="F23" s="364" t="s">
        <v>79</v>
      </c>
      <c r="G23" s="364" t="s">
        <v>97</v>
      </c>
      <c r="H23" s="365">
        <v>132</v>
      </c>
      <c r="I23" s="397">
        <f aca="true" t="shared" si="0" ref="I23:I38">IF(H23=220,$G$14,IF(AND(H23&lt;=132,H23&gt;=66),$G$15,IF(AND(H23&lt;66,H23&gt;=33),$G$16,$G$17)))</f>
        <v>16.043</v>
      </c>
      <c r="J23" s="426">
        <v>42294.2875</v>
      </c>
      <c r="K23" s="426">
        <v>42294.54305555556</v>
      </c>
      <c r="L23" s="366">
        <f aca="true" t="shared" si="1" ref="L23:L38">IF(F23="","",(K23-J23)*24)</f>
        <v>6.133333333418705</v>
      </c>
      <c r="M23" s="367">
        <f aca="true" t="shared" si="2" ref="M23:M38">IF(F23="","",ROUND((K23-J23)*24*60,0))</f>
        <v>368</v>
      </c>
      <c r="N23" s="368" t="s">
        <v>72</v>
      </c>
      <c r="O23" s="369" t="str">
        <f aca="true" t="shared" si="3" ref="O23:O41">IF(F23="","",IF(OR(N23="P",N23="RP"),"--","NO"))</f>
        <v>--</v>
      </c>
      <c r="P23" s="375">
        <f aca="true" t="shared" si="4" ref="P23:P38">IF(H23=220,$H$14,IF(AND(H23&lt;=132,H23&gt;=66),$H$15,IF(AND(H23&lt;66,H23&gt;=33),$H$16,$H$17)))</f>
        <v>100</v>
      </c>
      <c r="Q23" s="380">
        <f aca="true" t="shared" si="5" ref="Q23:Q38">IF(N23="P",I23*P23*ROUND(M23/60,2)*0.1,"--")</f>
        <v>983.4359000000001</v>
      </c>
      <c r="R23" s="387" t="str">
        <f aca="true" t="shared" si="6" ref="R23:R38">IF(AND(N23="F",O23="NO"),I23*P23,"--")</f>
        <v>--</v>
      </c>
      <c r="S23" s="388" t="str">
        <f aca="true" t="shared" si="7" ref="S23:S38">IF(N23="F",I23*P23*ROUND(M23/60,2),"--")</f>
        <v>--</v>
      </c>
      <c r="T23" s="392" t="str">
        <f aca="true" t="shared" si="8" ref="T23:T38">IF(N23="RF",I23*P23*ROUND(M23/60,2),"--")</f>
        <v>--</v>
      </c>
      <c r="U23" s="368" t="s">
        <v>73</v>
      </c>
      <c r="V23" s="370">
        <f aca="true" t="shared" si="9" ref="V23:V41">IF(F23="","",SUM(Q23:T23)*IF(U23="SI",1,2)*IF(H23="500/220",0,1))</f>
        <v>983.4359000000001</v>
      </c>
      <c r="W23" s="400"/>
    </row>
    <row r="24" spans="2:23" s="8" customFormat="1" ht="16.5" customHeight="1">
      <c r="B24" s="33"/>
      <c r="C24" s="363"/>
      <c r="D24" s="363"/>
      <c r="E24" s="363"/>
      <c r="F24" s="364"/>
      <c r="G24" s="364"/>
      <c r="H24" s="365"/>
      <c r="I24" s="397">
        <f t="shared" si="0"/>
        <v>12.029</v>
      </c>
      <c r="J24" s="426"/>
      <c r="K24" s="426"/>
      <c r="L24" s="366">
        <f t="shared" si="1"/>
      </c>
      <c r="M24" s="367">
        <f t="shared" si="2"/>
      </c>
      <c r="N24" s="368"/>
      <c r="O24" s="369">
        <f t="shared" si="3"/>
      </c>
      <c r="P24" s="375">
        <f t="shared" si="4"/>
        <v>40</v>
      </c>
      <c r="Q24" s="380" t="str">
        <f t="shared" si="5"/>
        <v>--</v>
      </c>
      <c r="R24" s="387" t="str">
        <f t="shared" si="6"/>
        <v>--</v>
      </c>
      <c r="S24" s="388" t="str">
        <f t="shared" si="7"/>
        <v>--</v>
      </c>
      <c r="T24" s="392" t="str">
        <f t="shared" si="8"/>
        <v>--</v>
      </c>
      <c r="U24" s="368">
        <f aca="true" t="shared" si="10" ref="U24:U38">IF(F24="","","SI")</f>
      </c>
      <c r="V24" s="370">
        <f t="shared" si="9"/>
      </c>
      <c r="W24" s="400"/>
    </row>
    <row r="25" spans="2:23" s="8" customFormat="1" ht="16.5" customHeight="1">
      <c r="B25" s="33"/>
      <c r="C25" s="363"/>
      <c r="D25" s="363"/>
      <c r="E25" s="363"/>
      <c r="F25" s="364"/>
      <c r="G25" s="364"/>
      <c r="H25" s="365"/>
      <c r="I25" s="397">
        <f t="shared" si="0"/>
        <v>12.029</v>
      </c>
      <c r="J25" s="426"/>
      <c r="K25" s="426"/>
      <c r="L25" s="366">
        <f t="shared" si="1"/>
      </c>
      <c r="M25" s="367">
        <f t="shared" si="2"/>
      </c>
      <c r="N25" s="368"/>
      <c r="O25" s="369">
        <f t="shared" si="3"/>
      </c>
      <c r="P25" s="375">
        <f t="shared" si="4"/>
        <v>40</v>
      </c>
      <c r="Q25" s="380" t="str">
        <f t="shared" si="5"/>
        <v>--</v>
      </c>
      <c r="R25" s="387" t="str">
        <f t="shared" si="6"/>
        <v>--</v>
      </c>
      <c r="S25" s="388" t="str">
        <f t="shared" si="7"/>
        <v>--</v>
      </c>
      <c r="T25" s="392" t="str">
        <f t="shared" si="8"/>
        <v>--</v>
      </c>
      <c r="U25" s="368">
        <f t="shared" si="10"/>
      </c>
      <c r="V25" s="370">
        <f t="shared" si="9"/>
      </c>
      <c r="W25" s="400"/>
    </row>
    <row r="26" spans="2:23" s="8" customFormat="1" ht="16.5" customHeight="1">
      <c r="B26" s="33"/>
      <c r="C26" s="363"/>
      <c r="D26" s="363"/>
      <c r="E26" s="363"/>
      <c r="F26" s="364"/>
      <c r="G26" s="364"/>
      <c r="H26" s="365"/>
      <c r="I26" s="397">
        <f t="shared" si="0"/>
        <v>12.029</v>
      </c>
      <c r="J26" s="426"/>
      <c r="K26" s="426"/>
      <c r="L26" s="366">
        <f t="shared" si="1"/>
      </c>
      <c r="M26" s="367">
        <f t="shared" si="2"/>
      </c>
      <c r="N26" s="368"/>
      <c r="O26" s="369">
        <f t="shared" si="3"/>
      </c>
      <c r="P26" s="375">
        <f t="shared" si="4"/>
        <v>40</v>
      </c>
      <c r="Q26" s="380" t="str">
        <f t="shared" si="5"/>
        <v>--</v>
      </c>
      <c r="R26" s="387" t="str">
        <f t="shared" si="6"/>
        <v>--</v>
      </c>
      <c r="S26" s="388" t="str">
        <f t="shared" si="7"/>
        <v>--</v>
      </c>
      <c r="T26" s="392" t="str">
        <f t="shared" si="8"/>
        <v>--</v>
      </c>
      <c r="U26" s="368">
        <f t="shared" si="10"/>
      </c>
      <c r="V26" s="370">
        <f t="shared" si="9"/>
      </c>
      <c r="W26" s="400"/>
    </row>
    <row r="27" spans="2:23" s="8" customFormat="1" ht="16.5" customHeight="1">
      <c r="B27" s="33"/>
      <c r="C27" s="363"/>
      <c r="D27" s="363"/>
      <c r="E27" s="363"/>
      <c r="F27" s="364"/>
      <c r="G27" s="364"/>
      <c r="H27" s="365"/>
      <c r="I27" s="397">
        <f t="shared" si="0"/>
        <v>12.029</v>
      </c>
      <c r="J27" s="426"/>
      <c r="K27" s="426"/>
      <c r="L27" s="366">
        <f t="shared" si="1"/>
      </c>
      <c r="M27" s="367">
        <f t="shared" si="2"/>
      </c>
      <c r="N27" s="368"/>
      <c r="O27" s="369">
        <f t="shared" si="3"/>
      </c>
      <c r="P27" s="375">
        <f t="shared" si="4"/>
        <v>40</v>
      </c>
      <c r="Q27" s="380" t="str">
        <f t="shared" si="5"/>
        <v>--</v>
      </c>
      <c r="R27" s="387" t="str">
        <f t="shared" si="6"/>
        <v>--</v>
      </c>
      <c r="S27" s="388" t="str">
        <f t="shared" si="7"/>
        <v>--</v>
      </c>
      <c r="T27" s="392" t="str">
        <f t="shared" si="8"/>
        <v>--</v>
      </c>
      <c r="U27" s="368">
        <f t="shared" si="10"/>
      </c>
      <c r="V27" s="370">
        <f t="shared" si="9"/>
      </c>
      <c r="W27" s="400"/>
    </row>
    <row r="28" spans="2:23" s="8" customFormat="1" ht="16.5" customHeight="1">
      <c r="B28" s="33"/>
      <c r="C28" s="363"/>
      <c r="D28" s="363"/>
      <c r="E28" s="363"/>
      <c r="F28" s="364"/>
      <c r="G28" s="364"/>
      <c r="H28" s="365"/>
      <c r="I28" s="397">
        <f t="shared" si="0"/>
        <v>12.029</v>
      </c>
      <c r="J28" s="426"/>
      <c r="K28" s="426"/>
      <c r="L28" s="366">
        <f t="shared" si="1"/>
      </c>
      <c r="M28" s="367">
        <f t="shared" si="2"/>
      </c>
      <c r="N28" s="368"/>
      <c r="O28" s="369">
        <f t="shared" si="3"/>
      </c>
      <c r="P28" s="375">
        <f t="shared" si="4"/>
        <v>40</v>
      </c>
      <c r="Q28" s="380" t="str">
        <f t="shared" si="5"/>
        <v>--</v>
      </c>
      <c r="R28" s="387" t="str">
        <f t="shared" si="6"/>
        <v>--</v>
      </c>
      <c r="S28" s="388" t="str">
        <f t="shared" si="7"/>
        <v>--</v>
      </c>
      <c r="T28" s="392" t="str">
        <f t="shared" si="8"/>
        <v>--</v>
      </c>
      <c r="U28" s="368">
        <f t="shared" si="10"/>
      </c>
      <c r="V28" s="370">
        <f t="shared" si="9"/>
      </c>
      <c r="W28" s="400"/>
    </row>
    <row r="29" spans="2:23" s="8" customFormat="1" ht="16.5" customHeight="1">
      <c r="B29" s="33"/>
      <c r="C29" s="363"/>
      <c r="D29" s="363"/>
      <c r="E29" s="363"/>
      <c r="F29" s="364"/>
      <c r="G29" s="364"/>
      <c r="H29" s="365"/>
      <c r="I29" s="397">
        <f t="shared" si="0"/>
        <v>12.029</v>
      </c>
      <c r="J29" s="426"/>
      <c r="K29" s="426"/>
      <c r="L29" s="366">
        <f t="shared" si="1"/>
      </c>
      <c r="M29" s="367">
        <f t="shared" si="2"/>
      </c>
      <c r="N29" s="368"/>
      <c r="O29" s="369">
        <f t="shared" si="3"/>
      </c>
      <c r="P29" s="375">
        <f t="shared" si="4"/>
        <v>40</v>
      </c>
      <c r="Q29" s="380" t="str">
        <f t="shared" si="5"/>
        <v>--</v>
      </c>
      <c r="R29" s="387" t="str">
        <f t="shared" si="6"/>
        <v>--</v>
      </c>
      <c r="S29" s="388" t="str">
        <f t="shared" si="7"/>
        <v>--</v>
      </c>
      <c r="T29" s="392" t="str">
        <f t="shared" si="8"/>
        <v>--</v>
      </c>
      <c r="U29" s="368">
        <f t="shared" si="10"/>
      </c>
      <c r="V29" s="370">
        <f t="shared" si="9"/>
      </c>
      <c r="W29" s="400"/>
    </row>
    <row r="30" spans="2:23" s="8" customFormat="1" ht="16.5" customHeight="1">
      <c r="B30" s="33"/>
      <c r="C30" s="363"/>
      <c r="D30" s="363"/>
      <c r="E30" s="363"/>
      <c r="F30" s="364"/>
      <c r="G30" s="364"/>
      <c r="H30" s="365"/>
      <c r="I30" s="397">
        <f t="shared" si="0"/>
        <v>12.029</v>
      </c>
      <c r="J30" s="426"/>
      <c r="K30" s="426"/>
      <c r="L30" s="366">
        <f t="shared" si="1"/>
      </c>
      <c r="M30" s="367">
        <f t="shared" si="2"/>
      </c>
      <c r="N30" s="368"/>
      <c r="O30" s="369">
        <f t="shared" si="3"/>
      </c>
      <c r="P30" s="375">
        <f t="shared" si="4"/>
        <v>40</v>
      </c>
      <c r="Q30" s="380" t="str">
        <f t="shared" si="5"/>
        <v>--</v>
      </c>
      <c r="R30" s="387" t="str">
        <f t="shared" si="6"/>
        <v>--</v>
      </c>
      <c r="S30" s="388" t="str">
        <f t="shared" si="7"/>
        <v>--</v>
      </c>
      <c r="T30" s="392" t="str">
        <f t="shared" si="8"/>
        <v>--</v>
      </c>
      <c r="U30" s="368">
        <f t="shared" si="10"/>
      </c>
      <c r="V30" s="370">
        <f t="shared" si="9"/>
      </c>
      <c r="W30" s="400"/>
    </row>
    <row r="31" spans="2:23" s="8" customFormat="1" ht="16.5" customHeight="1">
      <c r="B31" s="33"/>
      <c r="C31" s="363"/>
      <c r="D31" s="363"/>
      <c r="E31" s="363"/>
      <c r="F31" s="364"/>
      <c r="G31" s="364"/>
      <c r="H31" s="365"/>
      <c r="I31" s="397">
        <f t="shared" si="0"/>
        <v>12.029</v>
      </c>
      <c r="J31" s="426"/>
      <c r="K31" s="426"/>
      <c r="L31" s="366">
        <f t="shared" si="1"/>
      </c>
      <c r="M31" s="367">
        <f t="shared" si="2"/>
      </c>
      <c r="N31" s="368"/>
      <c r="O31" s="369">
        <f t="shared" si="3"/>
      </c>
      <c r="P31" s="375">
        <f t="shared" si="4"/>
        <v>40</v>
      </c>
      <c r="Q31" s="380" t="str">
        <f t="shared" si="5"/>
        <v>--</v>
      </c>
      <c r="R31" s="387" t="str">
        <f t="shared" si="6"/>
        <v>--</v>
      </c>
      <c r="S31" s="388" t="str">
        <f t="shared" si="7"/>
        <v>--</v>
      </c>
      <c r="T31" s="392" t="str">
        <f t="shared" si="8"/>
        <v>--</v>
      </c>
      <c r="U31" s="368">
        <f t="shared" si="10"/>
      </c>
      <c r="V31" s="370">
        <f t="shared" si="9"/>
      </c>
      <c r="W31" s="400"/>
    </row>
    <row r="32" spans="2:23" s="8" customFormat="1" ht="16.5" customHeight="1">
      <c r="B32" s="33"/>
      <c r="C32" s="363"/>
      <c r="D32" s="363"/>
      <c r="E32" s="363"/>
      <c r="F32" s="364"/>
      <c r="G32" s="364"/>
      <c r="H32" s="365"/>
      <c r="I32" s="397">
        <f t="shared" si="0"/>
        <v>12.029</v>
      </c>
      <c r="J32" s="426"/>
      <c r="K32" s="426"/>
      <c r="L32" s="366">
        <f t="shared" si="1"/>
      </c>
      <c r="M32" s="367">
        <f t="shared" si="2"/>
      </c>
      <c r="N32" s="368"/>
      <c r="O32" s="369">
        <f t="shared" si="3"/>
      </c>
      <c r="P32" s="375">
        <f t="shared" si="4"/>
        <v>40</v>
      </c>
      <c r="Q32" s="380" t="str">
        <f t="shared" si="5"/>
        <v>--</v>
      </c>
      <c r="R32" s="387" t="str">
        <f t="shared" si="6"/>
        <v>--</v>
      </c>
      <c r="S32" s="388" t="str">
        <f t="shared" si="7"/>
        <v>--</v>
      </c>
      <c r="T32" s="392" t="str">
        <f t="shared" si="8"/>
        <v>--</v>
      </c>
      <c r="U32" s="368">
        <f t="shared" si="10"/>
      </c>
      <c r="V32" s="370">
        <f t="shared" si="9"/>
      </c>
      <c r="W32" s="400"/>
    </row>
    <row r="33" spans="2:23" s="8" customFormat="1" ht="16.5" customHeight="1">
      <c r="B33" s="33"/>
      <c r="C33" s="363"/>
      <c r="D33" s="363"/>
      <c r="E33" s="363"/>
      <c r="F33" s="364"/>
      <c r="G33" s="364"/>
      <c r="H33" s="365"/>
      <c r="I33" s="397">
        <f t="shared" si="0"/>
        <v>12.029</v>
      </c>
      <c r="J33" s="426"/>
      <c r="K33" s="426"/>
      <c r="L33" s="366">
        <f t="shared" si="1"/>
      </c>
      <c r="M33" s="367">
        <f t="shared" si="2"/>
      </c>
      <c r="N33" s="368"/>
      <c r="O33" s="369">
        <f t="shared" si="3"/>
      </c>
      <c r="P33" s="375">
        <f t="shared" si="4"/>
        <v>40</v>
      </c>
      <c r="Q33" s="380" t="str">
        <f t="shared" si="5"/>
        <v>--</v>
      </c>
      <c r="R33" s="387" t="str">
        <f t="shared" si="6"/>
        <v>--</v>
      </c>
      <c r="S33" s="388" t="str">
        <f t="shared" si="7"/>
        <v>--</v>
      </c>
      <c r="T33" s="392" t="str">
        <f t="shared" si="8"/>
        <v>--</v>
      </c>
      <c r="U33" s="368">
        <f t="shared" si="10"/>
      </c>
      <c r="V33" s="370">
        <f t="shared" si="9"/>
      </c>
      <c r="W33" s="400"/>
    </row>
    <row r="34" spans="2:23" s="8" customFormat="1" ht="16.5" customHeight="1">
      <c r="B34" s="33"/>
      <c r="C34" s="363"/>
      <c r="D34" s="363"/>
      <c r="E34" s="363"/>
      <c r="F34" s="364"/>
      <c r="G34" s="364"/>
      <c r="H34" s="365"/>
      <c r="I34" s="397">
        <f t="shared" si="0"/>
        <v>12.029</v>
      </c>
      <c r="J34" s="426"/>
      <c r="K34" s="426"/>
      <c r="L34" s="366">
        <f t="shared" si="1"/>
      </c>
      <c r="M34" s="367">
        <f t="shared" si="2"/>
      </c>
      <c r="N34" s="368"/>
      <c r="O34" s="369">
        <f t="shared" si="3"/>
      </c>
      <c r="P34" s="375">
        <f t="shared" si="4"/>
        <v>40</v>
      </c>
      <c r="Q34" s="380" t="str">
        <f t="shared" si="5"/>
        <v>--</v>
      </c>
      <c r="R34" s="387" t="str">
        <f t="shared" si="6"/>
        <v>--</v>
      </c>
      <c r="S34" s="388" t="str">
        <f t="shared" si="7"/>
        <v>--</v>
      </c>
      <c r="T34" s="392" t="str">
        <f t="shared" si="8"/>
        <v>--</v>
      </c>
      <c r="U34" s="368">
        <f t="shared" si="10"/>
      </c>
      <c r="V34" s="370">
        <f t="shared" si="9"/>
      </c>
      <c r="W34" s="400"/>
    </row>
    <row r="35" spans="2:23" s="8" customFormat="1" ht="16.5" customHeight="1">
      <c r="B35" s="33"/>
      <c r="C35" s="363"/>
      <c r="D35" s="363"/>
      <c r="E35" s="363"/>
      <c r="F35" s="364"/>
      <c r="G35" s="364"/>
      <c r="H35" s="365"/>
      <c r="I35" s="397">
        <f t="shared" si="0"/>
        <v>12.029</v>
      </c>
      <c r="J35" s="426"/>
      <c r="K35" s="426"/>
      <c r="L35" s="366">
        <f t="shared" si="1"/>
      </c>
      <c r="M35" s="367">
        <f t="shared" si="2"/>
      </c>
      <c r="N35" s="368"/>
      <c r="O35" s="369">
        <f t="shared" si="3"/>
      </c>
      <c r="P35" s="375">
        <f t="shared" si="4"/>
        <v>40</v>
      </c>
      <c r="Q35" s="380" t="str">
        <f t="shared" si="5"/>
        <v>--</v>
      </c>
      <c r="R35" s="387" t="str">
        <f t="shared" si="6"/>
        <v>--</v>
      </c>
      <c r="S35" s="388" t="str">
        <f t="shared" si="7"/>
        <v>--</v>
      </c>
      <c r="T35" s="392" t="str">
        <f t="shared" si="8"/>
        <v>--</v>
      </c>
      <c r="U35" s="368">
        <f t="shared" si="10"/>
      </c>
      <c r="V35" s="370">
        <f t="shared" si="9"/>
      </c>
      <c r="W35" s="400"/>
    </row>
    <row r="36" spans="2:23" s="8" customFormat="1" ht="16.5" customHeight="1">
      <c r="B36" s="33"/>
      <c r="C36" s="363"/>
      <c r="D36" s="363"/>
      <c r="E36" s="363"/>
      <c r="F36" s="364"/>
      <c r="G36" s="364"/>
      <c r="H36" s="365"/>
      <c r="I36" s="397">
        <f t="shared" si="0"/>
        <v>12.029</v>
      </c>
      <c r="J36" s="426"/>
      <c r="K36" s="426"/>
      <c r="L36" s="366">
        <f t="shared" si="1"/>
      </c>
      <c r="M36" s="367">
        <f t="shared" si="2"/>
      </c>
      <c r="N36" s="368"/>
      <c r="O36" s="369">
        <f t="shared" si="3"/>
      </c>
      <c r="P36" s="375">
        <f t="shared" si="4"/>
        <v>40</v>
      </c>
      <c r="Q36" s="380" t="str">
        <f t="shared" si="5"/>
        <v>--</v>
      </c>
      <c r="R36" s="387" t="str">
        <f t="shared" si="6"/>
        <v>--</v>
      </c>
      <c r="S36" s="388" t="str">
        <f t="shared" si="7"/>
        <v>--</v>
      </c>
      <c r="T36" s="392" t="str">
        <f t="shared" si="8"/>
        <v>--</v>
      </c>
      <c r="U36" s="368">
        <f t="shared" si="10"/>
      </c>
      <c r="V36" s="370">
        <f t="shared" si="9"/>
      </c>
      <c r="W36" s="400"/>
    </row>
    <row r="37" spans="2:23" s="8" customFormat="1" ht="16.5" customHeight="1">
      <c r="B37" s="33"/>
      <c r="C37" s="363"/>
      <c r="D37" s="363"/>
      <c r="E37" s="363"/>
      <c r="F37" s="364"/>
      <c r="G37" s="364"/>
      <c r="H37" s="365"/>
      <c r="I37" s="397">
        <f t="shared" si="0"/>
        <v>12.029</v>
      </c>
      <c r="J37" s="426"/>
      <c r="K37" s="426"/>
      <c r="L37" s="366">
        <f t="shared" si="1"/>
      </c>
      <c r="M37" s="367">
        <f t="shared" si="2"/>
      </c>
      <c r="N37" s="368"/>
      <c r="O37" s="369">
        <f t="shared" si="3"/>
      </c>
      <c r="P37" s="375">
        <f t="shared" si="4"/>
        <v>40</v>
      </c>
      <c r="Q37" s="380" t="str">
        <f t="shared" si="5"/>
        <v>--</v>
      </c>
      <c r="R37" s="387" t="str">
        <f t="shared" si="6"/>
        <v>--</v>
      </c>
      <c r="S37" s="388" t="str">
        <f t="shared" si="7"/>
        <v>--</v>
      </c>
      <c r="T37" s="392" t="str">
        <f t="shared" si="8"/>
        <v>--</v>
      </c>
      <c r="U37" s="368">
        <f t="shared" si="10"/>
      </c>
      <c r="V37" s="370">
        <f t="shared" si="9"/>
      </c>
      <c r="W37" s="400"/>
    </row>
    <row r="38" spans="2:23" s="8" customFormat="1" ht="16.5" customHeight="1">
      <c r="B38" s="33"/>
      <c r="C38" s="363"/>
      <c r="D38" s="363"/>
      <c r="E38" s="363"/>
      <c r="F38" s="364"/>
      <c r="G38" s="364"/>
      <c r="H38" s="365"/>
      <c r="I38" s="397">
        <f t="shared" si="0"/>
        <v>12.029</v>
      </c>
      <c r="J38" s="426"/>
      <c r="K38" s="426"/>
      <c r="L38" s="366">
        <f t="shared" si="1"/>
      </c>
      <c r="M38" s="367">
        <f t="shared" si="2"/>
      </c>
      <c r="N38" s="368"/>
      <c r="O38" s="369">
        <f t="shared" si="3"/>
      </c>
      <c r="P38" s="375">
        <f t="shared" si="4"/>
        <v>40</v>
      </c>
      <c r="Q38" s="380" t="str">
        <f t="shared" si="5"/>
        <v>--</v>
      </c>
      <c r="R38" s="387" t="str">
        <f t="shared" si="6"/>
        <v>--</v>
      </c>
      <c r="S38" s="388" t="str">
        <f t="shared" si="7"/>
        <v>--</v>
      </c>
      <c r="T38" s="392" t="str">
        <f t="shared" si="8"/>
        <v>--</v>
      </c>
      <c r="U38" s="368">
        <f t="shared" si="10"/>
      </c>
      <c r="V38" s="370">
        <f t="shared" si="9"/>
      </c>
      <c r="W38" s="148"/>
    </row>
    <row r="39" spans="2:23" s="8" customFormat="1" ht="16.5" customHeight="1">
      <c r="B39" s="33"/>
      <c r="C39" s="363"/>
      <c r="D39" s="363"/>
      <c r="E39" s="363"/>
      <c r="F39" s="364"/>
      <c r="G39" s="364"/>
      <c r="H39" s="365"/>
      <c r="I39" s="397">
        <f>IF(H39=220,$G$14,IF(AND(H39&lt;=132,H39&gt;=66),$G$15,IF(AND(H39&lt;66,H39&gt;=33),$G$16,$G$17)))</f>
        <v>12.029</v>
      </c>
      <c r="J39" s="426"/>
      <c r="K39" s="426"/>
      <c r="L39" s="366">
        <f>IF(F39="","",(K39-J39)*24)</f>
      </c>
      <c r="M39" s="367">
        <f>IF(F39="","",ROUND((K39-J39)*24*60,0))</f>
      </c>
      <c r="N39" s="368"/>
      <c r="O39" s="369">
        <f t="shared" si="3"/>
      </c>
      <c r="P39" s="375">
        <f>IF(H39=220,$H$14,IF(AND(H39&lt;=132,H39&gt;=66),$H$15,IF(AND(H39&lt;66,H39&gt;=33),$H$16,$H$17)))</f>
        <v>40</v>
      </c>
      <c r="Q39" s="380" t="str">
        <f>IF(N39="P",I39*P39*ROUND(M39/60,2)*0.1,"--")</f>
        <v>--</v>
      </c>
      <c r="R39" s="387" t="str">
        <f>IF(AND(N39="F",O39="NO"),I39*P39,"--")</f>
        <v>--</v>
      </c>
      <c r="S39" s="388" t="str">
        <f>IF(N39="F",I39*P39*ROUND(M39/60,2),"--")</f>
        <v>--</v>
      </c>
      <c r="T39" s="392" t="str">
        <f>IF(N39="RF",I39*P39*ROUND(M39/60,2),"--")</f>
        <v>--</v>
      </c>
      <c r="U39" s="368">
        <f>IF(F39="","","SI")</f>
      </c>
      <c r="V39" s="370">
        <f t="shared" si="9"/>
      </c>
      <c r="W39" s="148"/>
    </row>
    <row r="40" spans="2:23" s="8" customFormat="1" ht="16.5" customHeight="1">
      <c r="B40" s="33"/>
      <c r="C40" s="363"/>
      <c r="D40" s="363"/>
      <c r="E40" s="363"/>
      <c r="F40" s="364"/>
      <c r="G40" s="364"/>
      <c r="H40" s="365"/>
      <c r="I40" s="397">
        <f>IF(H40=220,$G$14,IF(AND(H40&lt;=132,H40&gt;=66),$G$15,IF(AND(H40&lt;66,H40&gt;=33),$G$16,$G$17)))</f>
        <v>12.029</v>
      </c>
      <c r="J40" s="426"/>
      <c r="K40" s="426"/>
      <c r="L40" s="366">
        <f>IF(F40="","",(K40-J40)*24)</f>
      </c>
      <c r="M40" s="367">
        <f>IF(F40="","",ROUND((K40-J40)*24*60,0))</f>
      </c>
      <c r="N40" s="368"/>
      <c r="O40" s="369">
        <f t="shared" si="3"/>
      </c>
      <c r="P40" s="375">
        <f>IF(H40=220,$H$14,IF(AND(H40&lt;=132,H40&gt;=66),$H$15,IF(AND(H40&lt;66,H40&gt;=33),$H$16,$H$17)))</f>
        <v>40</v>
      </c>
      <c r="Q40" s="380" t="str">
        <f>IF(N40="P",I40*P40*ROUND(M40/60,2)*0.1,"--")</f>
        <v>--</v>
      </c>
      <c r="R40" s="387" t="str">
        <f>IF(AND(N40="F",O40="NO"),I40*P40,"--")</f>
        <v>--</v>
      </c>
      <c r="S40" s="388" t="str">
        <f>IF(N40="F",I40*P40*ROUND(M40/60,2),"--")</f>
        <v>--</v>
      </c>
      <c r="T40" s="392" t="str">
        <f>IF(N40="RF",I40*P40*ROUND(M40/60,2),"--")</f>
        <v>--</v>
      </c>
      <c r="U40" s="368">
        <f>IF(F40="","","SI")</f>
      </c>
      <c r="V40" s="370">
        <f t="shared" si="9"/>
      </c>
      <c r="W40" s="148"/>
    </row>
    <row r="41" spans="2:23" s="8" customFormat="1" ht="16.5" customHeight="1">
      <c r="B41" s="33"/>
      <c r="C41" s="363"/>
      <c r="D41" s="363"/>
      <c r="E41" s="363"/>
      <c r="F41" s="364"/>
      <c r="G41" s="364"/>
      <c r="H41" s="365"/>
      <c r="I41" s="397">
        <f>IF(H41=220,$G$14,IF(AND(H41&lt;=132,H41&gt;=66),$G$15,IF(AND(H41&lt;66,H41&gt;=33),$G$16,$G$17)))</f>
        <v>12.029</v>
      </c>
      <c r="J41" s="426"/>
      <c r="K41" s="426"/>
      <c r="L41" s="366">
        <f>IF(F41="","",(K41-J41)*24)</f>
      </c>
      <c r="M41" s="367">
        <f>IF(F41="","",ROUND((K41-J41)*24*60,0))</f>
      </c>
      <c r="N41" s="368"/>
      <c r="O41" s="369">
        <f t="shared" si="3"/>
      </c>
      <c r="P41" s="375">
        <f>IF(H41=220,$H$14,IF(AND(H41&lt;=132,H41&gt;=66),$H$15,IF(AND(H41&lt;66,H41&gt;=33),$H$16,$H$17)))</f>
        <v>40</v>
      </c>
      <c r="Q41" s="380" t="str">
        <f>IF(N41="P",I41*P41*ROUND(M41/60,2)*0.1,"--")</f>
        <v>--</v>
      </c>
      <c r="R41" s="387" t="str">
        <f>IF(AND(N41="F",O41="NO"),I41*P41,"--")</f>
        <v>--</v>
      </c>
      <c r="S41" s="388" t="str">
        <f>IF(N41="F",I41*P41*ROUND(M41/60,2),"--")</f>
        <v>--</v>
      </c>
      <c r="T41" s="392" t="str">
        <f>IF(N41="RF",I41*P41*ROUND(M41/60,2),"--")</f>
        <v>--</v>
      </c>
      <c r="U41" s="368">
        <f>IF(F41="","","SI")</f>
      </c>
      <c r="V41" s="370">
        <f t="shared" si="9"/>
      </c>
      <c r="W41" s="148"/>
    </row>
    <row r="42" spans="2:23" s="8" customFormat="1" ht="16.5" customHeight="1" thickBot="1">
      <c r="B42" s="33"/>
      <c r="C42" s="424"/>
      <c r="D42" s="424"/>
      <c r="E42" s="424"/>
      <c r="F42" s="424"/>
      <c r="G42" s="424"/>
      <c r="H42" s="424"/>
      <c r="I42" s="398"/>
      <c r="J42" s="424"/>
      <c r="K42" s="424"/>
      <c r="L42" s="371"/>
      <c r="M42" s="371"/>
      <c r="N42" s="424"/>
      <c r="O42" s="424"/>
      <c r="P42" s="376"/>
      <c r="Q42" s="381"/>
      <c r="R42" s="389"/>
      <c r="S42" s="390"/>
      <c r="T42" s="393"/>
      <c r="U42" s="371"/>
      <c r="V42" s="405"/>
      <c r="W42" s="148"/>
    </row>
    <row r="43" spans="2:23" s="8" customFormat="1" ht="16.5" customHeight="1" thickBot="1" thickTop="1">
      <c r="B43" s="33"/>
      <c r="C43" s="209" t="s">
        <v>40</v>
      </c>
      <c r="D43" s="433" t="s">
        <v>108</v>
      </c>
      <c r="E43" s="211"/>
      <c r="F43" s="210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382">
        <f>SUM(Q20:Q42)</f>
        <v>983.4359000000001</v>
      </c>
      <c r="R43" s="256">
        <f>SUM(R20:R42)</f>
        <v>481.15999999999997</v>
      </c>
      <c r="S43" s="256">
        <f>SUM(S20:S42)</f>
        <v>134748.858</v>
      </c>
      <c r="T43" s="394">
        <f>SUM(T20:T42)</f>
        <v>0</v>
      </c>
      <c r="U43" s="54"/>
      <c r="V43" s="241">
        <f>ROUND(SUM(V20:V42),2)</f>
        <v>136213.45</v>
      </c>
      <c r="W43" s="148"/>
    </row>
    <row r="44" spans="2:23" s="224" customFormat="1" ht="9.75" thickTop="1">
      <c r="B44" s="214"/>
      <c r="C44" s="211"/>
      <c r="D44" s="211"/>
      <c r="E44" s="211"/>
      <c r="F44" s="212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30"/>
      <c r="V44" s="231"/>
      <c r="W44" s="232"/>
    </row>
    <row r="45" spans="1:23" s="8" customFormat="1" ht="16.5" customHeight="1" thickBot="1">
      <c r="A45" s="9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8"/>
    </row>
    <row r="46" spans="1:23" ht="16.5" customHeight="1" thickTop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3:6" ht="16.5" customHeight="1">
      <c r="C47" s="4"/>
      <c r="D47" s="4"/>
      <c r="E47" s="4"/>
      <c r="F47" s="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9" right="0.1968503937007874" top="0.7874015748031497" bottom="0.5" header="0.5118110236220472" footer="0.18"/>
  <pageSetup fitToHeight="1" fitToWidth="1" horizontalDpi="300" verticalDpi="300" orientation="landscape" paperSize="9" scale="69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2016-12-07T14:10:41Z</cp:lastPrinted>
  <dcterms:created xsi:type="dcterms:W3CDTF">2000-10-04T19:31:04Z</dcterms:created>
  <dcterms:modified xsi:type="dcterms:W3CDTF">2016-12-20T15:57:55Z</dcterms:modified>
  <cp:category/>
  <cp:version/>
  <cp:contentType/>
  <cp:contentStatus/>
</cp:coreProperties>
</file>