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44" activeTab="0"/>
  </bookViews>
  <sheets>
    <sheet name="TOT-0806" sheetId="1" r:id="rId1"/>
    <sheet name="LI-0806" sheetId="2" r:id="rId2"/>
    <sheet name="TR-0806" sheetId="3" r:id="rId3"/>
    <sheet name="SA-0806" sheetId="4" r:id="rId4"/>
    <sheet name="LI-0806 (EDERSA)" sheetId="5" r:id="rId5"/>
    <sheet name="TR-0806 (EDERSA)" sheetId="6" r:id="rId6"/>
    <sheet name="SA-0806 (EDERSA)" sheetId="7" r:id="rId7"/>
    <sheet name="LI-0806 (SPSE)" sheetId="8" r:id="rId8"/>
    <sheet name="SUP-EDERSA" sheetId="9" r:id="rId9"/>
    <sheet name="SUP-SPSE" sheetId="10" r:id="rId10"/>
    <sheet name="TASA FALLA" sheetId="11" r:id="rId11"/>
    <sheet name="DATO" sheetId="12" r:id="rId12"/>
  </sheets>
  <externalReferences>
    <externalReference r:id="rId15"/>
    <externalReference r:id="rId16"/>
    <externalReference r:id="rId17"/>
  </externalReferences>
  <definedNames>
    <definedName name="_xlnm.Print_Area" localSheetId="1">'LI-0806'!$A$1:$Z$45</definedName>
    <definedName name="_xlnm.Print_Area" localSheetId="4">'LI-0806 (EDERSA)'!$A$1:$Z$45</definedName>
    <definedName name="_xlnm.Print_Area" localSheetId="7">'LI-0806 (SPSE)'!$A$1:$Z$45</definedName>
    <definedName name="_xlnm.Print_Area" localSheetId="3">'SA-0806'!$A$1:$U$47</definedName>
    <definedName name="_xlnm.Print_Area" localSheetId="6">'SA-0806 (EDERSA)'!$A$1:$U$47</definedName>
    <definedName name="_xlnm.Print_Area" localSheetId="8">'SUP-EDERSA'!$A$1:$P$60</definedName>
    <definedName name="_xlnm.Print_Area" localSheetId="9">'SUP-SPSE'!$A$1:$P$55</definedName>
    <definedName name="_xlnm.Print_Area" localSheetId="10">'TASA FALLA'!$A$1:$T$57</definedName>
    <definedName name="_xlnm.Print_Area" localSheetId="0">'TOT-0806'!$A$1:$K$42</definedName>
    <definedName name="_xlnm.Print_Area" localSheetId="2">'TR-0806'!$A$1:$AB$47</definedName>
    <definedName name="_xlnm.Print_Area" localSheetId="5">'TR-0806 (EDERSA)'!$A$1:$AB$47</definedName>
    <definedName name="DD" localSheetId="1">'LI-0806'!DD</definedName>
    <definedName name="DD" localSheetId="4">'LI-0806 (EDERSA)'!DD</definedName>
    <definedName name="DD" localSheetId="7">'LI-0806 (SPSE)'!DD</definedName>
    <definedName name="DD" localSheetId="3">'SA-0806'!DD</definedName>
    <definedName name="DD" localSheetId="6">'SA-0806 (EDERSA)'!DD</definedName>
    <definedName name="DD" localSheetId="10">'TASA FALLA'!DD</definedName>
    <definedName name="DD" localSheetId="2">'TR-0806'!DD</definedName>
    <definedName name="DD" localSheetId="5">'TR-0806 (EDERSA)'!DD</definedName>
    <definedName name="DD">[0]!DD</definedName>
    <definedName name="DDD" localSheetId="1">'LI-0806'!DDD</definedName>
    <definedName name="DDD" localSheetId="4">'LI-0806 (EDERSA)'!DDD</definedName>
    <definedName name="DDD" localSheetId="7">'LI-0806 (SPSE)'!DDD</definedName>
    <definedName name="DDD" localSheetId="3">'SA-0806'!DDD</definedName>
    <definedName name="DDD" localSheetId="6">'SA-0806 (EDERSA)'!DDD</definedName>
    <definedName name="DDD" localSheetId="10">'TASA FALLA'!DDD</definedName>
    <definedName name="DDD" localSheetId="2">'TR-0806'!DDD</definedName>
    <definedName name="DDD" localSheetId="5">'TR-0806 (EDERSA)'!DDD</definedName>
    <definedName name="DDD">[0]!DDD</definedName>
    <definedName name="DISTROCUYO" localSheetId="1">'LI-0806'!DISTROCUYO</definedName>
    <definedName name="DISTROCUYO" localSheetId="4">'LI-0806 (EDERSA)'!DISTROCUYO</definedName>
    <definedName name="DISTROCUYO" localSheetId="7">'LI-0806 (SPSE)'!DISTROCUYO</definedName>
    <definedName name="DISTROCUYO" localSheetId="3">'SA-0806'!DISTROCUYO</definedName>
    <definedName name="DISTROCUYO" localSheetId="6">'SA-0806 (EDERSA)'!DISTROCUYO</definedName>
    <definedName name="DISTROCUYO" localSheetId="10">'TASA FALLA'!DISTROCUYO</definedName>
    <definedName name="DISTROCUYO" localSheetId="2">'TR-0806'!DISTROCUYO</definedName>
    <definedName name="DISTROCUYO" localSheetId="5">'TR-0806 (EDERSA)'!DISTROCUYO</definedName>
    <definedName name="DISTROCUYO">[0]!DISTROCUYO</definedName>
    <definedName name="INICIO" localSheetId="1">'LI-0806'!INICIO</definedName>
    <definedName name="INICIO" localSheetId="4">'LI-0806 (EDERSA)'!INICIO</definedName>
    <definedName name="INICIO" localSheetId="7">'LI-0806 (SPSE)'!INICIO</definedName>
    <definedName name="INICIO" localSheetId="3">'SA-0806'!INICIO</definedName>
    <definedName name="INICIO" localSheetId="6">'SA-0806 (EDERSA)'!INICIO</definedName>
    <definedName name="INICIO" localSheetId="10">'TASA FALLA'!INICIO</definedName>
    <definedName name="INICIO" localSheetId="2">'TR-0806'!INICIO</definedName>
    <definedName name="INICIO" localSheetId="5">'TR-0806 (EDERSA)'!INICIO</definedName>
    <definedName name="INICIO">[0]!INICIO</definedName>
    <definedName name="INICIOTI" localSheetId="1">'LI-0806'!INICIOTI</definedName>
    <definedName name="INICIOTI" localSheetId="4">'LI-0806 (EDERSA)'!INICIOTI</definedName>
    <definedName name="INICIOTI" localSheetId="7">'LI-0806 (SPSE)'!INICIOTI</definedName>
    <definedName name="INICIOTI" localSheetId="3">'SA-0806'!INICIOTI</definedName>
    <definedName name="INICIOTI" localSheetId="6">'SA-0806 (EDERSA)'!INICIOTI</definedName>
    <definedName name="INICIOTI" localSheetId="10">'TASA FALLA'!INICIOTI</definedName>
    <definedName name="INICIOTI" localSheetId="2">'TR-0806'!INICIOTI</definedName>
    <definedName name="INICIOTI" localSheetId="5">'TR-0806 (EDERSA)'!INICIOTI</definedName>
    <definedName name="INICIOTI">[0]!INICIOTI</definedName>
    <definedName name="LINEAS" localSheetId="1">'LI-0806'!LINEAS</definedName>
    <definedName name="LINEAS" localSheetId="4">'LI-0806 (EDERSA)'!LINEAS</definedName>
    <definedName name="LINEAS" localSheetId="7">'LI-0806 (SPSE)'!LINEAS</definedName>
    <definedName name="LINEAS" localSheetId="3">'SA-0806'!LINEAS</definedName>
    <definedName name="LINEAS" localSheetId="6">'SA-0806 (EDERSA)'!LINEAS</definedName>
    <definedName name="LINEAS" localSheetId="10">'TASA FALLA'!LINEAS</definedName>
    <definedName name="LINEAS" localSheetId="2">'TR-0806'!LINEAS</definedName>
    <definedName name="LINEAS" localSheetId="5">'TR-0806 (EDERSA)'!LINEAS</definedName>
    <definedName name="LINEAS">[0]!LINEAS</definedName>
    <definedName name="NAME_L" localSheetId="1">'LI-0806'!NAME_L</definedName>
    <definedName name="NAME_L" localSheetId="4">'LI-0806 (EDERSA)'!NAME_L</definedName>
    <definedName name="NAME_L" localSheetId="7">'LI-0806 (SPSE)'!NAME_L</definedName>
    <definedName name="NAME_L" localSheetId="3">'SA-0806'!NAME_L</definedName>
    <definedName name="NAME_L" localSheetId="6">'SA-0806 (EDERSA)'!NAME_L</definedName>
    <definedName name="NAME_L" localSheetId="10">'TASA FALLA'!NAME_L</definedName>
    <definedName name="NAME_L" localSheetId="2">'TR-0806'!NAME_L</definedName>
    <definedName name="NAME_L" localSheetId="5">'TR-0806 (EDERSA)'!NAME_L</definedName>
    <definedName name="NAME_L">[0]!NAME_L</definedName>
    <definedName name="NAME_L_TI" localSheetId="1">'LI-0806'!NAME_L_TI</definedName>
    <definedName name="NAME_L_TI" localSheetId="4">'LI-0806 (EDERSA)'!NAME_L_TI</definedName>
    <definedName name="NAME_L_TI" localSheetId="7">'LI-0806 (SPSE)'!NAME_L_TI</definedName>
    <definedName name="NAME_L_TI" localSheetId="3">'SA-0806'!NAME_L_TI</definedName>
    <definedName name="NAME_L_TI" localSheetId="6">'SA-0806 (EDERSA)'!NAME_L_TI</definedName>
    <definedName name="NAME_L_TI" localSheetId="10">'TASA FALLA'!NAME_L_TI</definedName>
    <definedName name="NAME_L_TI" localSheetId="2">'TR-0806'!NAME_L_TI</definedName>
    <definedName name="NAME_L_TI" localSheetId="5">'TR-0806 (EDERSA)'!NAME_L_TI</definedName>
    <definedName name="NAME_L_TI">[0]!NAME_L_TI</definedName>
    <definedName name="TRANSNOA" localSheetId="1">'LI-0806'!TRANSNOA</definedName>
    <definedName name="TRANSNOA" localSheetId="4">'LI-0806 (EDERSA)'!TRANSNOA</definedName>
    <definedName name="TRANSNOA" localSheetId="7">'LI-0806 (SPSE)'!TRANSNOA</definedName>
    <definedName name="TRANSNOA" localSheetId="3">'SA-0806'!TRANSNOA</definedName>
    <definedName name="TRANSNOA" localSheetId="6">'SA-0806 (EDERSA)'!TRANSNOA</definedName>
    <definedName name="TRANSNOA" localSheetId="10">'TASA FALLA'!TRANSNOA</definedName>
    <definedName name="TRANSNOA" localSheetId="2">'TR-0806'!TRANSNOA</definedName>
    <definedName name="TRANSNOA" localSheetId="5">'TR-0806 (EDERSA)'!TRANSNOA</definedName>
    <definedName name="TRANSNOA">[0]!TRANSNOA</definedName>
  </definedNames>
  <calcPr fullCalcOnLoad="1"/>
</workbook>
</file>

<file path=xl/comments9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<sst xmlns="http://schemas.openxmlformats.org/spreadsheetml/2006/main" count="450" uniqueCount="202">
  <si>
    <t>SISTEMA DE TRANSPORTE DE ENERGÍA ELÉCTRICA POR DISTRIBUCIÓN TRONCAL</t>
  </si>
  <si>
    <t>TRANSPA S.A.</t>
  </si>
  <si>
    <t>TOTAL</t>
  </si>
  <si>
    <t>SALIDAS</t>
  </si>
  <si>
    <t>PICO TRUNCADO I - PUERTO DESEADO</t>
  </si>
  <si>
    <t>PUNTA COLORADA - SIERRA GRANDE</t>
  </si>
  <si>
    <t>S.A. OESTE - SIERRA GRANDE</t>
  </si>
  <si>
    <t>S.A. OESTE - VIEDMA</t>
  </si>
  <si>
    <t>VIEDMA - CARMEN DE PATAGONES</t>
  </si>
  <si>
    <t>132/33/13,2</t>
  </si>
  <si>
    <t>TRAFO 2</t>
  </si>
  <si>
    <t>TRAFO 1</t>
  </si>
  <si>
    <t>COMODORO RIVADAVIA A1</t>
  </si>
  <si>
    <t>TRAFO 5</t>
  </si>
  <si>
    <t>PUERTO DESEADO</t>
  </si>
  <si>
    <t>PUNTA COLORADA</t>
  </si>
  <si>
    <t>SAN ANTONIO ESTE</t>
  </si>
  <si>
    <t>SAN ANTONIO OESTE</t>
  </si>
  <si>
    <t>SIERRA GRANDE</t>
  </si>
  <si>
    <t>VIEDMA</t>
  </si>
  <si>
    <t>CDORO. RIVADAVIA "A1"</t>
  </si>
  <si>
    <t xml:space="preserve"> ALIMENT. 1 COOP.</t>
  </si>
  <si>
    <t xml:space="preserve"> ALIMENT. 6 COOP.</t>
  </si>
  <si>
    <t>ALIMENTADOR 8 IDEVI</t>
  </si>
  <si>
    <t>ALIMENTADOR 1</t>
  </si>
  <si>
    <t>ALIMENTADOR 2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</si>
  <si>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</si>
  <si>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</si>
  <si>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</si>
  <si>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</si>
  <si>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</si>
  <si>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</si>
  <si>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</si>
  <si>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</si>
  <si>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</si>
  <si>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</si>
  <si>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1.3.-</t>
  </si>
  <si>
    <t>Transportista Independiente S.P.S.E.</t>
  </si>
  <si>
    <t>2.-</t>
  </si>
  <si>
    <t>CONEXIÓN</t>
  </si>
  <si>
    <t>2.1.-</t>
  </si>
  <si>
    <t>Transformación</t>
  </si>
  <si>
    <t>2.1.1.-</t>
  </si>
  <si>
    <t>2.1.2.-</t>
  </si>
  <si>
    <t>2.2.-</t>
  </si>
  <si>
    <t>Salidas</t>
  </si>
  <si>
    <t>2.2.1.-</t>
  </si>
  <si>
    <t>2.2.2.-</t>
  </si>
  <si>
    <t>3.-</t>
  </si>
  <si>
    <t>POTENCIA REACTIVA</t>
  </si>
  <si>
    <t>4.-</t>
  </si>
  <si>
    <t>SUPERVISIÓN</t>
  </si>
  <si>
    <t>4.1.-</t>
  </si>
  <si>
    <t>4.2.-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</si>
  <si>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</si>
  <si>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</si>
  <si>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</si>
  <si>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</si>
  <si>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</si>
  <si>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</si>
  <si>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</si>
  <si>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</si>
  <si>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</si>
  <si>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</si>
  <si>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</si>
  <si>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</si>
  <si>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</si>
  <si>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</si>
  <si>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</si>
  <si>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</si>
  <si>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</si>
  <si>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</si>
  <si>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</si>
  <si>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</si>
  <si>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</si>
  <si>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</si>
  <si>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</si>
  <si>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</si>
  <si>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</si>
  <si>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</si>
  <si>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</si>
  <si>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</si>
  <si>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</si>
  <si>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</si>
  <si>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</si>
  <si>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</si>
  <si>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</si>
  <si>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</si>
  <si>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</si>
  <si>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</si>
  <si>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</si>
  <si>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</si>
  <si>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</si>
  <si>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</si>
  <si>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</si>
  <si>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</si>
  <si>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</si>
  <si>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>2.2.- Salidas</t>
  </si>
  <si>
    <t>2.2.1.- Equipamiento propio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</si>
  <si>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</si>
  <si>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</si>
  <si>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</si>
  <si>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</si>
  <si>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</si>
  <si>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t>2.2.2.- Transportista Independiente  E.D.E.R.S.A.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</si>
  <si>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</si>
  <si>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</si>
  <si>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</si>
  <si>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</si>
  <si>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</si>
  <si>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</si>
  <si>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</si>
  <si>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</si>
  <si>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TRANSFORMACIÓN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</si>
  <si>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</si>
  <si>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</si>
  <si>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</si>
  <si>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</si>
  <si>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</si>
  <si>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</si>
  <si>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Pot [MVA]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</si>
  <si>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</si>
  <si>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</si>
  <si>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</si>
  <si>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</si>
  <si>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</si>
  <si>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</si>
  <si>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</si>
  <si>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</si>
  <si>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TOTAL A PENALIZAR A TRANSPA S.A. POR SUPERVISIÓN A  SPSE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</si>
  <si>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</si>
  <si>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</si>
  <si>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</si>
  <si>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</si>
  <si>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</si>
  <si>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</si>
  <si>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</si>
  <si>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</si>
  <si>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</si>
  <si>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</si>
  <si>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</si>
  <si>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</si>
  <si>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</si>
  <si>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t>MESES</t>
  </si>
  <si>
    <t>dias</t>
  </si>
  <si>
    <t>AÑOS</t>
  </si>
  <si>
    <t>enero</t>
  </si>
  <si>
    <t>MES</t>
  </si>
  <si>
    <t>febrero</t>
  </si>
  <si>
    <t>marzo</t>
  </si>
  <si>
    <t>AÑO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</si>
  <si>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</si>
  <si>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</si>
  <si>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</si>
  <si>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</si>
  <si>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</si>
  <si>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</si>
  <si>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</si>
  <si>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</si>
  <si>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</si>
  <si>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PAMPA DEL CASTILLO - EL TORDILLO</t>
  </si>
  <si>
    <t>path mi "C"</t>
  </si>
  <si>
    <t>C:\Documents and Settings\gmir\Mis documentos\Transporte\COPIA-BASES DE TRANSPORTE\COPIA ACTUALIZADA</t>
  </si>
  <si>
    <t>del "Y"</t>
  </si>
  <si>
    <t>Fabian</t>
  </si>
  <si>
    <t>c:\Transporte\BASES\TRANSPA</t>
  </si>
  <si>
    <t>y:\Transporte\transporte\BASES DE TRANSPORTE</t>
  </si>
  <si>
    <t>F</t>
  </si>
  <si>
    <t>\\fileserver\files\Transporte\transporte\AA PROCESO AUT\TRANSPA\FABIAN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</si>
  <si>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</si>
  <si>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</si>
  <si>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</si>
  <si>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4.1.- SUPERVISIÓN - Transportista Independiente E.D.E.R.S.A.</t>
  </si>
  <si>
    <t>4.2.- SUPERVISIÓN - Transportista Independiente S.P.S.E.</t>
  </si>
  <si>
    <t>1.2.- Transportista Independiente E.D.E.R.S.A.</t>
  </si>
  <si>
    <t>1.3.- Transportista Independiente S.P.S.E.</t>
  </si>
  <si>
    <t>RE-0806</t>
  </si>
  <si>
    <t>F - FORZADA</t>
  </si>
  <si>
    <t>P</t>
  </si>
  <si>
    <t>P - PROGRAMADA</t>
  </si>
  <si>
    <t>P - PROGRAMDA ; F - FORZADA</t>
  </si>
  <si>
    <t>DGPA</t>
  </si>
  <si>
    <t>SALIDA ALIM ALUAR</t>
  </si>
  <si>
    <t>SALIDA ALIM P MADRYN9</t>
  </si>
  <si>
    <t xml:space="preserve">SISTEMA DE TRANSPORTE DE ENERGÍA ELÉCTRICA POR DISTRIBUCIÓN TRONCAL </t>
  </si>
  <si>
    <t>INDISPONIBILIDADES FORZADAS DE LÍNEAS - TASA DE FALLA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</si>
  <si>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</si>
  <si>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</si>
  <si>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</si>
  <si>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</si>
  <si>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</si>
  <si>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VALOR PROVISORIO</t>
  </si>
  <si>
    <t>TASA DE FALLA</t>
  </si>
  <si>
    <t>SALIDAS x AÑO / 100 km</t>
  </si>
  <si>
    <t>Tasa de falla correspondiente al mes de Junio de 2008 (provisoria),-</t>
  </si>
  <si>
    <t>RM*=</t>
  </si>
  <si>
    <t>Valores remuneratorios Decreto PEN N° 1779/07 -  Res. ENRE N° 330/08</t>
  </si>
  <si>
    <t>TOTAL DE PENALIZACIONES A APLICAR</t>
  </si>
  <si>
    <t>SM-Supervision</t>
  </si>
  <si>
    <t>RM*: Remuneración utilizada para el cálculo de Cs</t>
  </si>
  <si>
    <t>RM* =</t>
  </si>
  <si>
    <t>ANEXO VI al Memorándum D.T.E.E. N°  452  /2010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</si>
</sst>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mmm\-yyyy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&quot;$&quot;\ #,##0.0;&quot;$&quot;\ \-#,##0.0"/>
    <numFmt numFmtId="206" formatCode="&quot;$&quot;\ #,##0.0000;&quot;$&quot;\ \-#,##0.0000"/>
    <numFmt numFmtId="207" formatCode="&quot;$&quot;\ #,##0.00000;&quot;$&quot;\ \-#,##0.00000"/>
    <numFmt numFmtId="208" formatCode="#,##0.000000_ ;\-#,##0.000000\ "/>
    <numFmt numFmtId="209" formatCode="0.0000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sz val="11"/>
      <color indexed="48"/>
      <name val="MS Sans Serif"/>
      <family val="2"/>
    </font>
    <font>
      <sz val="10"/>
      <color indexed="48"/>
      <name val="MS Sans Serif"/>
      <family val="0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MS Sans Serif"/>
      <family val="0"/>
    </font>
    <font>
      <b/>
      <sz val="10"/>
      <color indexed="4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sz val="9"/>
      <name val="MS Sans Serif"/>
      <family val="0"/>
    </font>
    <font>
      <b/>
      <u val="single"/>
      <sz val="12"/>
      <name val="Arial"/>
      <family val="0"/>
    </font>
    <font>
      <b/>
      <sz val="12"/>
      <name val="MS Sans Serif"/>
      <family val="2"/>
    </font>
    <font>
      <b/>
      <sz val="8"/>
      <name val="MS Sans Serif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125">
        <fgColor indexed="8"/>
      </patternFill>
    </fill>
  </fills>
  <borders count="77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 style="thick"/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172" fontId="9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168" fontId="7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7" xfId="0" applyNumberFormat="1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3" fillId="0" borderId="5" xfId="0" applyFont="1" applyFill="1" applyBorder="1" applyAlignment="1" applyProtection="1">
      <alignment horizontal="center"/>
      <protection/>
    </xf>
    <xf numFmtId="22" fontId="7" fillId="0" borderId="9" xfId="0" applyNumberFormat="1" applyFont="1" applyFill="1" applyBorder="1" applyAlignment="1">
      <alignment horizontal="center"/>
    </xf>
    <xf numFmtId="22" fontId="7" fillId="0" borderId="10" xfId="0" applyNumberFormat="1" applyFont="1" applyFill="1" applyBorder="1" applyAlignment="1" applyProtection="1">
      <alignment horizontal="center"/>
      <protection/>
    </xf>
    <xf numFmtId="2" fontId="7" fillId="0" borderId="7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7" fontId="7" fillId="0" borderId="18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0" fillId="0" borderId="6" xfId="0" applyFont="1" applyFill="1" applyBorder="1" applyAlignment="1">
      <alignment/>
    </xf>
    <xf numFmtId="168" fontId="10" fillId="0" borderId="7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8" fontId="10" fillId="0" borderId="3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0" fillId="0" borderId="0" xfId="0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" xfId="0" applyFont="1" applyBorder="1" applyAlignment="1" applyProtection="1">
      <alignment horizontal="centerContinuous"/>
      <protection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>
      <alignment horizontal="center" vertical="center" wrapText="1"/>
    </xf>
    <xf numFmtId="0" fontId="26" fillId="0" borderId="2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2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29" fillId="0" borderId="0" xfId="0" applyFont="1" applyBorder="1" applyAlignment="1" applyProtection="1">
      <alignment horizontal="centerContinuous"/>
      <protection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7" fontId="8" fillId="0" borderId="22" xfId="0" applyNumberFormat="1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1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centerContinuous"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 applyProtection="1" quotePrefix="1">
      <alignment horizontal="left"/>
      <protection/>
    </xf>
    <xf numFmtId="0" fontId="0" fillId="0" borderId="20" xfId="0" applyFont="1" applyFill="1" applyBorder="1" applyAlignment="1" applyProtection="1">
      <alignment horizontal="center"/>
      <protection/>
    </xf>
    <xf numFmtId="164" fontId="0" fillId="0" borderId="19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" xfId="0" applyFont="1" applyFill="1" applyBorder="1" applyAlignment="1">
      <alignment/>
    </xf>
    <xf numFmtId="0" fontId="26" fillId="0" borderId="2" xfId="0" applyFont="1" applyFill="1" applyBorder="1" applyAlignment="1">
      <alignment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 quotePrefix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 applyProtection="1" quotePrefix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2" fillId="0" borderId="0" xfId="0" applyFont="1" applyFill="1" applyAlignment="1">
      <alignment/>
    </xf>
    <xf numFmtId="0" fontId="30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 applyProtection="1">
      <alignment horizontal="left"/>
      <protection/>
    </xf>
    <xf numFmtId="171" fontId="7" fillId="0" borderId="0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left"/>
      <protection/>
    </xf>
    <xf numFmtId="171" fontId="0" fillId="0" borderId="24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>
      <alignment/>
    </xf>
    <xf numFmtId="171" fontId="25" fillId="0" borderId="2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1" fontId="0" fillId="0" borderId="4" xfId="0" applyNumberFormat="1" applyFont="1" applyBorder="1" applyAlignment="1">
      <alignment horizontal="center"/>
    </xf>
    <xf numFmtId="0" fontId="26" fillId="0" borderId="22" xfId="0" applyFont="1" applyFill="1" applyBorder="1" applyAlignment="1" applyProtection="1">
      <alignment horizontal="center" vertical="center"/>
      <protection/>
    </xf>
    <xf numFmtId="168" fontId="10" fillId="0" borderId="3" xfId="0" applyNumberFormat="1" applyFont="1" applyFill="1" applyBorder="1" applyAlignment="1">
      <alignment horizontal="center"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21" xfId="0" applyFont="1" applyFill="1" applyBorder="1" applyAlignment="1">
      <alignment horizontal="center"/>
    </xf>
    <xf numFmtId="0" fontId="15" fillId="0" borderId="1" xfId="0" applyFont="1" applyBorder="1" applyAlignment="1">
      <alignment horizontal="centerContinuous"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22" xfId="0" applyFont="1" applyBorder="1" applyAlignment="1" applyProtection="1">
      <alignment horizontal="centerContinuous"/>
      <protection/>
    </xf>
    <xf numFmtId="167" fontId="0" fillId="0" borderId="22" xfId="0" applyNumberFormat="1" applyFont="1" applyBorder="1" applyAlignment="1">
      <alignment horizontal="centerContinuous"/>
    </xf>
    <xf numFmtId="4" fontId="11" fillId="0" borderId="19" xfId="0" applyNumberFormat="1" applyFont="1" applyBorder="1" applyAlignment="1">
      <alignment horizontal="right"/>
    </xf>
    <xf numFmtId="0" fontId="39" fillId="0" borderId="23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 vertical="top"/>
      <protection/>
    </xf>
    <xf numFmtId="0" fontId="42" fillId="0" borderId="0" xfId="0" applyFont="1" applyBorder="1" applyAlignment="1">
      <alignment/>
    </xf>
    <xf numFmtId="0" fontId="42" fillId="0" borderId="1" xfId="0" applyFont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2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 quotePrefix="1">
      <alignment horizontal="center"/>
      <protection/>
    </xf>
    <xf numFmtId="2" fontId="43" fillId="0" borderId="0" xfId="0" applyNumberFormat="1" applyFont="1" applyBorder="1" applyAlignment="1">
      <alignment horizontal="center"/>
    </xf>
    <xf numFmtId="168" fontId="44" fillId="0" borderId="0" xfId="0" applyNumberFormat="1" applyFont="1" applyBorder="1" applyAlignment="1" applyProtection="1" quotePrefix="1">
      <alignment horizontal="center"/>
      <protection/>
    </xf>
    <xf numFmtId="4" fontId="44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right"/>
    </xf>
    <xf numFmtId="2" fontId="42" fillId="0" borderId="2" xfId="0" applyNumberFormat="1" applyFont="1" applyBorder="1" applyAlignment="1">
      <alignment horizontal="center"/>
    </xf>
    <xf numFmtId="0" fontId="42" fillId="0" borderId="0" xfId="0" applyFont="1" applyAlignment="1">
      <alignment/>
    </xf>
    <xf numFmtId="7" fontId="11" fillId="0" borderId="19" xfId="0" applyNumberFormat="1" applyFont="1" applyFill="1" applyBorder="1" applyAlignment="1">
      <alignment horizontal="right"/>
    </xf>
    <xf numFmtId="0" fontId="39" fillId="0" borderId="1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5" fillId="0" borderId="0" xfId="0" applyNumberFormat="1" applyFont="1" applyFill="1" applyBorder="1" applyAlignment="1">
      <alignment horizontal="right"/>
    </xf>
    <xf numFmtId="0" fontId="39" fillId="0" borderId="2" xfId="0" applyFont="1" applyFill="1" applyBorder="1" applyAlignment="1">
      <alignment/>
    </xf>
    <xf numFmtId="0" fontId="46" fillId="2" borderId="19" xfId="0" applyFont="1" applyFill="1" applyBorder="1" applyAlignment="1" applyProtection="1">
      <alignment horizontal="center" vertical="center"/>
      <protection/>
    </xf>
    <xf numFmtId="0" fontId="47" fillId="2" borderId="6" xfId="0" applyFont="1" applyFill="1" applyBorder="1" applyAlignment="1">
      <alignment/>
    </xf>
    <xf numFmtId="0" fontId="47" fillId="2" borderId="3" xfId="0" applyFont="1" applyFill="1" applyBorder="1" applyAlignment="1">
      <alignment/>
    </xf>
    <xf numFmtId="168" fontId="48" fillId="2" borderId="3" xfId="0" applyNumberFormat="1" applyFont="1" applyFill="1" applyBorder="1" applyAlignment="1" applyProtection="1">
      <alignment horizontal="center"/>
      <protection/>
    </xf>
    <xf numFmtId="168" fontId="48" fillId="2" borderId="4" xfId="0" applyNumberFormat="1" applyFont="1" applyFill="1" applyBorder="1" applyAlignment="1" applyProtection="1">
      <alignment horizontal="center"/>
      <protection/>
    </xf>
    <xf numFmtId="0" fontId="48" fillId="2" borderId="6" xfId="0" applyFont="1" applyFill="1" applyBorder="1" applyAlignment="1">
      <alignment/>
    </xf>
    <xf numFmtId="0" fontId="48" fillId="2" borderId="3" xfId="0" applyFont="1" applyFill="1" applyBorder="1" applyAlignment="1">
      <alignment/>
    </xf>
    <xf numFmtId="0" fontId="48" fillId="2" borderId="4" xfId="0" applyFont="1" applyFill="1" applyBorder="1" applyAlignment="1">
      <alignment/>
    </xf>
    <xf numFmtId="171" fontId="48" fillId="2" borderId="3" xfId="0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/>
    </xf>
    <xf numFmtId="0" fontId="10" fillId="0" borderId="1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53" fillId="3" borderId="19" xfId="0" applyFont="1" applyFill="1" applyBorder="1" applyAlignment="1">
      <alignment horizontal="center" vertical="center" wrapText="1"/>
    </xf>
    <xf numFmtId="0" fontId="54" fillId="3" borderId="6" xfId="0" applyFont="1" applyFill="1" applyBorder="1" applyAlignment="1">
      <alignment/>
    </xf>
    <xf numFmtId="0" fontId="54" fillId="3" borderId="3" xfId="0" applyFont="1" applyFill="1" applyBorder="1" applyAlignment="1">
      <alignment/>
    </xf>
    <xf numFmtId="0" fontId="53" fillId="4" borderId="19" xfId="0" applyFont="1" applyFill="1" applyBorder="1" applyAlignment="1">
      <alignment horizontal="center" vertical="center" wrapText="1"/>
    </xf>
    <xf numFmtId="0" fontId="54" fillId="4" borderId="6" xfId="0" applyFont="1" applyFill="1" applyBorder="1" applyAlignment="1">
      <alignment/>
    </xf>
    <xf numFmtId="0" fontId="54" fillId="4" borderId="3" xfId="0" applyFont="1" applyFill="1" applyBorder="1" applyAlignment="1">
      <alignment/>
    </xf>
    <xf numFmtId="0" fontId="27" fillId="5" borderId="19" xfId="0" applyFont="1" applyFill="1" applyBorder="1" applyAlignment="1" applyProtection="1">
      <alignment horizontal="centerContinuous" vertical="center" wrapText="1"/>
      <protection/>
    </xf>
    <xf numFmtId="0" fontId="25" fillId="5" borderId="20" xfId="0" applyFont="1" applyFill="1" applyBorder="1" applyAlignment="1">
      <alignment horizontal="centerContinuous"/>
    </xf>
    <xf numFmtId="0" fontId="27" fillId="5" borderId="22" xfId="0" applyFont="1" applyFill="1" applyBorder="1" applyAlignment="1">
      <alignment horizontal="centerContinuous" vertical="center"/>
    </xf>
    <xf numFmtId="0" fontId="55" fillId="5" borderId="25" xfId="0" applyFont="1" applyFill="1" applyBorder="1" applyAlignment="1">
      <alignment horizontal="center"/>
    </xf>
    <xf numFmtId="0" fontId="55" fillId="5" borderId="26" xfId="0" applyFont="1" applyFill="1" applyBorder="1" applyAlignment="1">
      <alignment/>
    </xf>
    <xf numFmtId="0" fontId="55" fillId="5" borderId="27" xfId="0" applyFont="1" applyFill="1" applyBorder="1" applyAlignment="1">
      <alignment/>
    </xf>
    <xf numFmtId="0" fontId="55" fillId="5" borderId="28" xfId="0" applyFont="1" applyFill="1" applyBorder="1" applyAlignment="1">
      <alignment horizontal="center"/>
    </xf>
    <xf numFmtId="0" fontId="55" fillId="5" borderId="29" xfId="0" applyFont="1" applyFill="1" applyBorder="1" applyAlignment="1">
      <alignment/>
    </xf>
    <xf numFmtId="0" fontId="55" fillId="5" borderId="7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7" fillId="6" borderId="19" xfId="0" applyFont="1" applyFill="1" applyBorder="1" applyAlignment="1" applyProtection="1">
      <alignment horizontal="centerContinuous" vertical="center" wrapText="1"/>
      <protection/>
    </xf>
    <xf numFmtId="0" fontId="25" fillId="6" borderId="20" xfId="0" applyFont="1" applyFill="1" applyBorder="1" applyAlignment="1">
      <alignment horizontal="centerContinuous"/>
    </xf>
    <xf numFmtId="0" fontId="27" fillId="6" borderId="22" xfId="0" applyFont="1" applyFill="1" applyBorder="1" applyAlignment="1">
      <alignment horizontal="centerContinuous" vertical="center"/>
    </xf>
    <xf numFmtId="0" fontId="55" fillId="6" borderId="25" xfId="0" applyFont="1" applyFill="1" applyBorder="1" applyAlignment="1">
      <alignment horizontal="center"/>
    </xf>
    <xf numFmtId="0" fontId="55" fillId="6" borderId="26" xfId="0" applyFont="1" applyFill="1" applyBorder="1" applyAlignment="1">
      <alignment/>
    </xf>
    <xf numFmtId="0" fontId="55" fillId="6" borderId="27" xfId="0" applyFont="1" applyFill="1" applyBorder="1" applyAlignment="1">
      <alignment/>
    </xf>
    <xf numFmtId="0" fontId="55" fillId="6" borderId="28" xfId="0" applyFont="1" applyFill="1" applyBorder="1" applyAlignment="1">
      <alignment horizontal="center"/>
    </xf>
    <xf numFmtId="0" fontId="55" fillId="6" borderId="29" xfId="0" applyFont="1" applyFill="1" applyBorder="1" applyAlignment="1">
      <alignment/>
    </xf>
    <xf numFmtId="0" fontId="55" fillId="6" borderId="7" xfId="0" applyFont="1" applyFill="1" applyBorder="1" applyAlignment="1">
      <alignment/>
    </xf>
    <xf numFmtId="0" fontId="27" fillId="5" borderId="19" xfId="0" applyFont="1" applyFill="1" applyBorder="1" applyAlignment="1">
      <alignment horizontal="center" vertical="center" wrapText="1"/>
    </xf>
    <xf numFmtId="0" fontId="27" fillId="7" borderId="19" xfId="0" applyFont="1" applyFill="1" applyBorder="1" applyAlignment="1">
      <alignment horizontal="center" vertical="center" wrapText="1"/>
    </xf>
    <xf numFmtId="0" fontId="55" fillId="7" borderId="6" xfId="0" applyFont="1" applyFill="1" applyBorder="1" applyAlignment="1">
      <alignment/>
    </xf>
    <xf numFmtId="0" fontId="55" fillId="7" borderId="3" xfId="0" applyFont="1" applyFill="1" applyBorder="1" applyAlignment="1">
      <alignment/>
    </xf>
    <xf numFmtId="0" fontId="53" fillId="8" borderId="19" xfId="0" applyFont="1" applyFill="1" applyBorder="1" applyAlignment="1">
      <alignment horizontal="center" vertical="center" wrapText="1"/>
    </xf>
    <xf numFmtId="0" fontId="54" fillId="8" borderId="6" xfId="0" applyFont="1" applyFill="1" applyBorder="1" applyAlignment="1">
      <alignment/>
    </xf>
    <xf numFmtId="0" fontId="54" fillId="8" borderId="3" xfId="0" applyFont="1" applyFill="1" applyBorder="1" applyAlignment="1">
      <alignment/>
    </xf>
    <xf numFmtId="2" fontId="52" fillId="3" borderId="19" xfId="0" applyNumberFormat="1" applyFont="1" applyFill="1" applyBorder="1" applyAlignment="1">
      <alignment horizontal="center"/>
    </xf>
    <xf numFmtId="2" fontId="52" fillId="4" borderId="19" xfId="0" applyNumberFormat="1" applyFont="1" applyFill="1" applyBorder="1" applyAlignment="1">
      <alignment horizontal="center"/>
    </xf>
    <xf numFmtId="168" fontId="56" fillId="5" borderId="19" xfId="0" applyNumberFormat="1" applyFont="1" applyFill="1" applyBorder="1" applyAlignment="1" applyProtection="1" quotePrefix="1">
      <alignment horizontal="center"/>
      <protection/>
    </xf>
    <xf numFmtId="4" fontId="56" fillId="5" borderId="19" xfId="0" applyNumberFormat="1" applyFont="1" applyFill="1" applyBorder="1" applyAlignment="1">
      <alignment horizontal="center"/>
    </xf>
    <xf numFmtId="168" fontId="56" fillId="6" borderId="19" xfId="0" applyNumberFormat="1" applyFont="1" applyFill="1" applyBorder="1" applyAlignment="1" applyProtection="1" quotePrefix="1">
      <alignment horizontal="center"/>
      <protection/>
    </xf>
    <xf numFmtId="4" fontId="56" fillId="6" borderId="19" xfId="0" applyNumberFormat="1" applyFont="1" applyFill="1" applyBorder="1" applyAlignment="1">
      <alignment horizontal="center"/>
    </xf>
    <xf numFmtId="168" fontId="56" fillId="7" borderId="19" xfId="0" applyNumberFormat="1" applyFont="1" applyFill="1" applyBorder="1" applyAlignment="1" applyProtection="1" quotePrefix="1">
      <alignment horizontal="center"/>
      <protection/>
    </xf>
    <xf numFmtId="4" fontId="52" fillId="8" borderId="19" xfId="0" applyNumberFormat="1" applyFont="1" applyFill="1" applyBorder="1" applyAlignment="1">
      <alignment horizontal="center"/>
    </xf>
    <xf numFmtId="0" fontId="53" fillId="8" borderId="19" xfId="0" applyFont="1" applyFill="1" applyBorder="1" applyAlignment="1" applyProtection="1">
      <alignment horizontal="center" vertical="center"/>
      <protection/>
    </xf>
    <xf numFmtId="0" fontId="52" fillId="8" borderId="6" xfId="0" applyFont="1" applyFill="1" applyBorder="1" applyAlignment="1">
      <alignment/>
    </xf>
    <xf numFmtId="0" fontId="52" fillId="8" borderId="3" xfId="0" applyFont="1" applyFill="1" applyBorder="1" applyAlignment="1">
      <alignment/>
    </xf>
    <xf numFmtId="4" fontId="52" fillId="8" borderId="3" xfId="0" applyNumberFormat="1" applyFont="1" applyFill="1" applyBorder="1" applyAlignment="1" applyProtection="1">
      <alignment horizontal="center"/>
      <protection/>
    </xf>
    <xf numFmtId="0" fontId="52" fillId="8" borderId="4" xfId="0" applyFont="1" applyFill="1" applyBorder="1" applyAlignment="1">
      <alignment/>
    </xf>
    <xf numFmtId="0" fontId="56" fillId="7" borderId="6" xfId="0" applyFont="1" applyFill="1" applyBorder="1" applyAlignment="1">
      <alignment/>
    </xf>
    <xf numFmtId="0" fontId="56" fillId="7" borderId="3" xfId="0" applyFont="1" applyFill="1" applyBorder="1" applyAlignment="1">
      <alignment/>
    </xf>
    <xf numFmtId="2" fontId="56" fillId="7" borderId="3" xfId="0" applyNumberFormat="1" applyFont="1" applyFill="1" applyBorder="1" applyAlignment="1">
      <alignment horizontal="center"/>
    </xf>
    <xf numFmtId="0" fontId="56" fillId="7" borderId="4" xfId="0" applyFont="1" applyFill="1" applyBorder="1" applyAlignment="1">
      <alignment/>
    </xf>
    <xf numFmtId="7" fontId="56" fillId="7" borderId="19" xfId="0" applyNumberFormat="1" applyFont="1" applyFill="1" applyBorder="1" applyAlignment="1">
      <alignment horizontal="center"/>
    </xf>
    <xf numFmtId="0" fontId="27" fillId="9" borderId="19" xfId="0" applyFont="1" applyFill="1" applyBorder="1" applyAlignment="1">
      <alignment horizontal="center" vertical="center" wrapText="1"/>
    </xf>
    <xf numFmtId="0" fontId="56" fillId="9" borderId="6" xfId="0" applyFont="1" applyFill="1" applyBorder="1" applyAlignment="1">
      <alignment/>
    </xf>
    <xf numFmtId="0" fontId="56" fillId="9" borderId="3" xfId="0" applyFont="1" applyFill="1" applyBorder="1" applyAlignment="1">
      <alignment/>
    </xf>
    <xf numFmtId="2" fontId="56" fillId="9" borderId="3" xfId="0" applyNumberFormat="1" applyFont="1" applyFill="1" applyBorder="1" applyAlignment="1">
      <alignment horizontal="center"/>
    </xf>
    <xf numFmtId="0" fontId="56" fillId="9" borderId="4" xfId="0" applyFont="1" applyFill="1" applyBorder="1" applyAlignment="1">
      <alignment/>
    </xf>
    <xf numFmtId="7" fontId="56" fillId="9" borderId="19" xfId="0" applyNumberFormat="1" applyFont="1" applyFill="1" applyBorder="1" applyAlignment="1">
      <alignment horizontal="center"/>
    </xf>
    <xf numFmtId="0" fontId="53" fillId="10" borderId="21" xfId="0" applyFont="1" applyFill="1" applyBorder="1" applyAlignment="1" applyProtection="1">
      <alignment horizontal="centerContinuous" vertical="center" wrapText="1"/>
      <protection/>
    </xf>
    <xf numFmtId="0" fontId="53" fillId="10" borderId="22" xfId="0" applyFont="1" applyFill="1" applyBorder="1" applyAlignment="1">
      <alignment horizontal="centerContinuous" vertical="center"/>
    </xf>
    <xf numFmtId="0" fontId="52" fillId="10" borderId="25" xfId="0" applyFont="1" applyFill="1" applyBorder="1" applyAlignment="1">
      <alignment horizontal="center"/>
    </xf>
    <xf numFmtId="0" fontId="52" fillId="10" borderId="27" xfId="0" applyFont="1" applyFill="1" applyBorder="1" applyAlignment="1">
      <alignment/>
    </xf>
    <xf numFmtId="0" fontId="52" fillId="10" borderId="28" xfId="0" applyFont="1" applyFill="1" applyBorder="1" applyAlignment="1">
      <alignment horizontal="center"/>
    </xf>
    <xf numFmtId="0" fontId="52" fillId="10" borderId="7" xfId="0" applyFont="1" applyFill="1" applyBorder="1" applyAlignment="1">
      <alignment/>
    </xf>
    <xf numFmtId="168" fontId="52" fillId="10" borderId="28" xfId="0" applyNumberFormat="1" applyFont="1" applyFill="1" applyBorder="1" applyAlignment="1" applyProtection="1" quotePrefix="1">
      <alignment horizontal="center"/>
      <protection/>
    </xf>
    <xf numFmtId="168" fontId="52" fillId="10" borderId="10" xfId="0" applyNumberFormat="1" applyFont="1" applyFill="1" applyBorder="1" applyAlignment="1" applyProtection="1" quotePrefix="1">
      <alignment horizontal="center"/>
      <protection/>
    </xf>
    <xf numFmtId="7" fontId="52" fillId="10" borderId="19" xfId="0" applyNumberFormat="1" applyFont="1" applyFill="1" applyBorder="1" applyAlignment="1">
      <alignment horizontal="center"/>
    </xf>
    <xf numFmtId="0" fontId="53" fillId="3" borderId="21" xfId="0" applyFont="1" applyFill="1" applyBorder="1" applyAlignment="1" applyProtection="1">
      <alignment horizontal="centerContinuous" vertical="center" wrapText="1"/>
      <protection/>
    </xf>
    <xf numFmtId="0" fontId="53" fillId="3" borderId="22" xfId="0" applyFont="1" applyFill="1" applyBorder="1" applyAlignment="1">
      <alignment horizontal="centerContinuous" vertical="center"/>
    </xf>
    <xf numFmtId="0" fontId="52" fillId="3" borderId="25" xfId="0" applyFont="1" applyFill="1" applyBorder="1" applyAlignment="1">
      <alignment horizontal="center"/>
    </xf>
    <xf numFmtId="0" fontId="52" fillId="3" borderId="27" xfId="0" applyFont="1" applyFill="1" applyBorder="1" applyAlignment="1">
      <alignment/>
    </xf>
    <xf numFmtId="0" fontId="52" fillId="3" borderId="28" xfId="0" applyFont="1" applyFill="1" applyBorder="1" applyAlignment="1">
      <alignment horizontal="center"/>
    </xf>
    <xf numFmtId="0" fontId="52" fillId="3" borderId="7" xfId="0" applyFont="1" applyFill="1" applyBorder="1" applyAlignment="1">
      <alignment/>
    </xf>
    <xf numFmtId="168" fontId="52" fillId="3" borderId="28" xfId="0" applyNumberFormat="1" applyFont="1" applyFill="1" applyBorder="1" applyAlignment="1" applyProtection="1" quotePrefix="1">
      <alignment horizontal="center"/>
      <protection/>
    </xf>
    <xf numFmtId="168" fontId="52" fillId="3" borderId="10" xfId="0" applyNumberFormat="1" applyFont="1" applyFill="1" applyBorder="1" applyAlignment="1" applyProtection="1" quotePrefix="1">
      <alignment horizontal="center"/>
      <protection/>
    </xf>
    <xf numFmtId="7" fontId="52" fillId="3" borderId="19" xfId="0" applyNumberFormat="1" applyFont="1" applyFill="1" applyBorder="1" applyAlignment="1">
      <alignment horizontal="center"/>
    </xf>
    <xf numFmtId="0" fontId="49" fillId="5" borderId="19" xfId="0" applyFont="1" applyFill="1" applyBorder="1" applyAlignment="1">
      <alignment horizontal="center" vertical="center" wrapText="1"/>
    </xf>
    <xf numFmtId="0" fontId="50" fillId="5" borderId="6" xfId="0" applyFont="1" applyFill="1" applyBorder="1" applyAlignment="1">
      <alignment/>
    </xf>
    <xf numFmtId="0" fontId="50" fillId="5" borderId="3" xfId="0" applyFont="1" applyFill="1" applyBorder="1" applyAlignment="1">
      <alignment/>
    </xf>
    <xf numFmtId="168" fontId="50" fillId="5" borderId="3" xfId="0" applyNumberFormat="1" applyFont="1" applyFill="1" applyBorder="1" applyAlignment="1" applyProtection="1" quotePrefix="1">
      <alignment horizontal="center"/>
      <protection/>
    </xf>
    <xf numFmtId="0" fontId="50" fillId="5" borderId="4" xfId="0" applyFont="1" applyFill="1" applyBorder="1" applyAlignment="1">
      <alignment/>
    </xf>
    <xf numFmtId="7" fontId="50" fillId="5" borderId="19" xfId="0" applyNumberFormat="1" applyFont="1" applyFill="1" applyBorder="1" applyAlignment="1">
      <alignment horizontal="center"/>
    </xf>
    <xf numFmtId="0" fontId="27" fillId="6" borderId="19" xfId="0" applyFont="1" applyFill="1" applyBorder="1" applyAlignment="1">
      <alignment horizontal="center" vertical="center" wrapText="1"/>
    </xf>
    <xf numFmtId="0" fontId="56" fillId="6" borderId="6" xfId="0" applyFont="1" applyFill="1" applyBorder="1" applyAlignment="1">
      <alignment/>
    </xf>
    <xf numFmtId="0" fontId="56" fillId="6" borderId="3" xfId="0" applyFont="1" applyFill="1" applyBorder="1" applyAlignment="1">
      <alignment/>
    </xf>
    <xf numFmtId="168" fontId="56" fillId="6" borderId="3" xfId="0" applyNumberFormat="1" applyFont="1" applyFill="1" applyBorder="1" applyAlignment="1" applyProtection="1" quotePrefix="1">
      <alignment horizontal="center"/>
      <protection/>
    </xf>
    <xf numFmtId="0" fontId="56" fillId="6" borderId="4" xfId="0" applyFont="1" applyFill="1" applyBorder="1" applyAlignment="1">
      <alignment/>
    </xf>
    <xf numFmtId="7" fontId="56" fillId="6" borderId="19" xfId="0" applyNumberFormat="1" applyFont="1" applyFill="1" applyBorder="1" applyAlignment="1">
      <alignment horizontal="center"/>
    </xf>
    <xf numFmtId="0" fontId="52" fillId="10" borderId="30" xfId="0" applyFont="1" applyFill="1" applyBorder="1" applyAlignment="1">
      <alignment/>
    </xf>
    <xf numFmtId="0" fontId="52" fillId="10" borderId="31" xfId="0" applyFont="1" applyFill="1" applyBorder="1" applyAlignment="1">
      <alignment/>
    </xf>
    <xf numFmtId="0" fontId="52" fillId="3" borderId="30" xfId="0" applyFont="1" applyFill="1" applyBorder="1" applyAlignment="1">
      <alignment/>
    </xf>
    <xf numFmtId="0" fontId="52" fillId="3" borderId="31" xfId="0" applyFont="1" applyFill="1" applyBorder="1" applyAlignment="1">
      <alignment/>
    </xf>
    <xf numFmtId="0" fontId="57" fillId="0" borderId="11" xfId="0" applyFont="1" applyBorder="1" applyAlignment="1">
      <alignment/>
    </xf>
    <xf numFmtId="0" fontId="53" fillId="6" borderId="19" xfId="0" applyFont="1" applyFill="1" applyBorder="1" applyAlignment="1" applyProtection="1">
      <alignment horizontal="center" vertical="center"/>
      <protection/>
    </xf>
    <xf numFmtId="164" fontId="52" fillId="6" borderId="3" xfId="0" applyNumberFormat="1" applyFont="1" applyFill="1" applyBorder="1" applyAlignment="1" applyProtection="1">
      <alignment horizontal="center"/>
      <protection/>
    </xf>
    <xf numFmtId="168" fontId="7" fillId="0" borderId="27" xfId="0" applyNumberFormat="1" applyFont="1" applyFill="1" applyBorder="1" applyAlignment="1" applyProtection="1">
      <alignment horizontal="center"/>
      <protection/>
    </xf>
    <xf numFmtId="164" fontId="52" fillId="6" borderId="6" xfId="0" applyNumberFormat="1" applyFont="1" applyFill="1" applyBorder="1" applyAlignment="1" applyProtection="1">
      <alignment horizontal="center"/>
      <protection/>
    </xf>
    <xf numFmtId="168" fontId="10" fillId="0" borderId="6" xfId="0" applyNumberFormat="1" applyFont="1" applyFill="1" applyBorder="1" applyAlignment="1">
      <alignment horizontal="center"/>
    </xf>
    <xf numFmtId="2" fontId="56" fillId="5" borderId="6" xfId="0" applyNumberFormat="1" applyFont="1" applyFill="1" applyBorder="1" applyAlignment="1">
      <alignment horizontal="center"/>
    </xf>
    <xf numFmtId="2" fontId="56" fillId="5" borderId="3" xfId="0" applyNumberFormat="1" applyFont="1" applyFill="1" applyBorder="1" applyAlignment="1">
      <alignment horizontal="center"/>
    </xf>
    <xf numFmtId="168" fontId="52" fillId="3" borderId="25" xfId="0" applyNumberFormat="1" applyFont="1" applyFill="1" applyBorder="1" applyAlignment="1" applyProtection="1" quotePrefix="1">
      <alignment horizontal="center"/>
      <protection/>
    </xf>
    <xf numFmtId="168" fontId="52" fillId="3" borderId="32" xfId="0" applyNumberFormat="1" applyFont="1" applyFill="1" applyBorder="1" applyAlignment="1" applyProtection="1" quotePrefix="1">
      <alignment horizontal="center"/>
      <protection/>
    </xf>
    <xf numFmtId="168" fontId="7" fillId="0" borderId="6" xfId="0" applyNumberFormat="1" applyFont="1" applyFill="1" applyBorder="1" applyAlignment="1" applyProtection="1">
      <alignment horizontal="center"/>
      <protection/>
    </xf>
    <xf numFmtId="0" fontId="53" fillId="8" borderId="19" xfId="0" applyFont="1" applyFill="1" applyBorder="1" applyAlignment="1" applyProtection="1">
      <alignment horizontal="centerContinuous" vertical="center" wrapText="1"/>
      <protection/>
    </xf>
    <xf numFmtId="168" fontId="52" fillId="8" borderId="6" xfId="0" applyNumberFormat="1" applyFont="1" applyFill="1" applyBorder="1" applyAlignment="1" applyProtection="1" quotePrefix="1">
      <alignment horizontal="center"/>
      <protection/>
    </xf>
    <xf numFmtId="168" fontId="52" fillId="8" borderId="3" xfId="0" applyNumberFormat="1" applyFont="1" applyFill="1" applyBorder="1" applyAlignment="1" applyProtection="1" quotePrefix="1">
      <alignment horizontal="center"/>
      <protection/>
    </xf>
    <xf numFmtId="2" fontId="56" fillId="5" borderId="19" xfId="0" applyNumberFormat="1" applyFont="1" applyFill="1" applyBorder="1" applyAlignment="1">
      <alignment horizontal="center"/>
    </xf>
    <xf numFmtId="2" fontId="52" fillId="8" borderId="19" xfId="0" applyNumberFormat="1" applyFont="1" applyFill="1" applyBorder="1" applyAlignment="1">
      <alignment horizontal="center"/>
    </xf>
    <xf numFmtId="0" fontId="58" fillId="2" borderId="6" xfId="0" applyFont="1" applyFill="1" applyBorder="1" applyAlignment="1">
      <alignment/>
    </xf>
    <xf numFmtId="0" fontId="58" fillId="2" borderId="3" xfId="0" applyFont="1" applyFill="1" applyBorder="1" applyAlignment="1">
      <alignment/>
    </xf>
    <xf numFmtId="168" fontId="59" fillId="2" borderId="3" xfId="0" applyNumberFormat="1" applyFont="1" applyFill="1" applyBorder="1" applyAlignment="1" applyProtection="1">
      <alignment horizontal="center"/>
      <protection/>
    </xf>
    <xf numFmtId="168" fontId="59" fillId="2" borderId="4" xfId="0" applyNumberFormat="1" applyFont="1" applyFill="1" applyBorder="1" applyAlignment="1" applyProtection="1">
      <alignment horizontal="center"/>
      <protection/>
    </xf>
    <xf numFmtId="2" fontId="7" fillId="0" borderId="2" xfId="0" applyNumberFormat="1" applyFont="1" applyFill="1" applyBorder="1" applyAlignment="1">
      <alignment/>
    </xf>
    <xf numFmtId="172" fontId="7" fillId="0" borderId="3" xfId="0" applyNumberFormat="1" applyFont="1" applyFill="1" applyBorder="1" applyAlignment="1" applyProtection="1">
      <alignment horizontal="center"/>
      <protection/>
    </xf>
    <xf numFmtId="173" fontId="10" fillId="0" borderId="0" xfId="0" applyNumberFormat="1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17" xfId="0" applyBorder="1" applyAlignment="1">
      <alignment horizontal="center"/>
    </xf>
    <xf numFmtId="7" fontId="0" fillId="0" borderId="6" xfId="0" applyNumberFormat="1" applyBorder="1" applyAlignment="1">
      <alignment/>
    </xf>
    <xf numFmtId="7" fontId="10" fillId="0" borderId="6" xfId="0" applyNumberFormat="1" applyFont="1" applyFill="1" applyBorder="1" applyAlignment="1">
      <alignment horizontal="center"/>
    </xf>
    <xf numFmtId="0" fontId="60" fillId="0" borderId="0" xfId="0" applyFont="1" applyAlignment="1">
      <alignment horizontal="right" vertical="top"/>
    </xf>
    <xf numFmtId="0" fontId="29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6" fillId="0" borderId="1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2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33" xfId="0" applyFont="1" applyBorder="1" applyAlignment="1" applyProtection="1">
      <alignment horizontal="left"/>
      <protection/>
    </xf>
    <xf numFmtId="171" fontId="0" fillId="0" borderId="34" xfId="0" applyNumberFormat="1" applyFont="1" applyBorder="1" applyAlignment="1" applyProtection="1">
      <alignment horizontal="centerContinuous"/>
      <protection/>
    </xf>
    <xf numFmtId="0" fontId="10" fillId="0" borderId="35" xfId="0" applyFont="1" applyBorder="1" applyAlignment="1">
      <alignment horizontal="centerContinuous"/>
    </xf>
    <xf numFmtId="0" fontId="10" fillId="0" borderId="36" xfId="0" applyFont="1" applyFill="1" applyBorder="1" applyAlignment="1">
      <alignment/>
    </xf>
    <xf numFmtId="0" fontId="10" fillId="0" borderId="37" xfId="0" applyFont="1" applyBorder="1" applyAlignment="1" applyProtection="1">
      <alignment horizontal="right"/>
      <protection/>
    </xf>
    <xf numFmtId="173" fontId="1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/>
    </xf>
    <xf numFmtId="171" fontId="25" fillId="0" borderId="40" xfId="0" applyNumberFormat="1" applyFont="1" applyBorder="1" applyAlignment="1">
      <alignment horizontal="centerContinuous"/>
    </xf>
    <xf numFmtId="0" fontId="10" fillId="0" borderId="41" xfId="0" applyFont="1" applyBorder="1" applyAlignment="1">
      <alignment horizontal="centerContinuous"/>
    </xf>
    <xf numFmtId="0" fontId="10" fillId="0" borderId="42" xfId="0" applyFont="1" applyFill="1" applyBorder="1" applyAlignment="1">
      <alignment/>
    </xf>
    <xf numFmtId="168" fontId="10" fillId="0" borderId="43" xfId="0" applyNumberFormat="1" applyFont="1" applyBorder="1" applyAlignment="1" applyProtection="1">
      <alignment horizontal="right"/>
      <protection/>
    </xf>
    <xf numFmtId="171" fontId="10" fillId="0" borderId="44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45" xfId="0" applyFont="1" applyBorder="1" applyAlignment="1">
      <alignment horizontal="left"/>
    </xf>
    <xf numFmtId="171" fontId="25" fillId="0" borderId="43" xfId="0" applyNumberFormat="1" applyFont="1" applyBorder="1" applyAlignment="1">
      <alignment horizontal="centerContinuous"/>
    </xf>
    <xf numFmtId="0" fontId="10" fillId="0" borderId="46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47" xfId="0" applyNumberFormat="1" applyFont="1" applyBorder="1" applyAlignment="1">
      <alignment horizontal="center"/>
    </xf>
    <xf numFmtId="0" fontId="8" fillId="0" borderId="21" xfId="0" applyFont="1" applyBorder="1" applyAlignment="1" applyProtection="1">
      <alignment horizontal="center"/>
      <protection/>
    </xf>
    <xf numFmtId="0" fontId="10" fillId="0" borderId="48" xfId="0" applyFont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horizontal="center"/>
      <protection/>
    </xf>
    <xf numFmtId="2" fontId="10" fillId="0" borderId="40" xfId="0" applyNumberFormat="1" applyFont="1" applyBorder="1" applyAlignment="1" applyProtection="1">
      <alignment horizontal="center"/>
      <protection/>
    </xf>
    <xf numFmtId="168" fontId="10" fillId="0" borderId="40" xfId="0" applyNumberFormat="1" applyFont="1" applyBorder="1" applyAlignment="1" applyProtection="1">
      <alignment horizontal="center"/>
      <protection/>
    </xf>
    <xf numFmtId="0" fontId="0" fillId="0" borderId="40" xfId="0" applyBorder="1" applyAlignment="1">
      <alignment horizontal="centerContinuous"/>
    </xf>
    <xf numFmtId="0" fontId="0" fillId="0" borderId="40" xfId="0" applyBorder="1" applyAlignment="1">
      <alignment/>
    </xf>
    <xf numFmtId="7" fontId="19" fillId="0" borderId="49" xfId="0" applyNumberFormat="1" applyFont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/>
    </xf>
    <xf numFmtId="0" fontId="10" fillId="0" borderId="51" xfId="0" applyFont="1" applyBorder="1" applyAlignment="1" applyProtection="1">
      <alignment horizontal="center"/>
      <protection/>
    </xf>
    <xf numFmtId="2" fontId="10" fillId="0" borderId="51" xfId="0" applyNumberFormat="1" applyFont="1" applyBorder="1" applyAlignment="1" applyProtection="1">
      <alignment horizontal="center"/>
      <protection/>
    </xf>
    <xf numFmtId="168" fontId="10" fillId="0" borderId="51" xfId="0" applyNumberFormat="1" applyFont="1" applyBorder="1" applyAlignment="1" applyProtection="1">
      <alignment horizontal="center"/>
      <protection/>
    </xf>
    <xf numFmtId="7" fontId="10" fillId="0" borderId="51" xfId="0" applyNumberFormat="1" applyFont="1" applyBorder="1" applyAlignment="1" applyProtection="1">
      <alignment horizontal="center"/>
      <protection/>
    </xf>
    <xf numFmtId="7" fontId="10" fillId="0" borderId="51" xfId="0" applyNumberFormat="1" applyFont="1" applyBorder="1" applyAlignment="1" applyProtection="1">
      <alignment horizontal="centerContinuous"/>
      <protection/>
    </xf>
    <xf numFmtId="0" fontId="10" fillId="0" borderId="51" xfId="0" applyFont="1" applyBorder="1" applyAlignment="1" applyProtection="1">
      <alignment horizontal="centerContinuous"/>
      <protection/>
    </xf>
    <xf numFmtId="0" fontId="10" fillId="0" borderId="51" xfId="0" applyFont="1" applyBorder="1" applyAlignment="1" applyProtection="1">
      <alignment horizontal="right"/>
      <protection/>
    </xf>
    <xf numFmtId="7" fontId="10" fillId="0" borderId="52" xfId="0" applyNumberFormat="1" applyFont="1" applyBorder="1" applyAlignment="1" applyProtection="1">
      <alignment horizontal="center"/>
      <protection/>
    </xf>
    <xf numFmtId="0" fontId="10" fillId="0" borderId="53" xfId="0" applyFont="1" applyBorder="1" applyAlignment="1" applyProtection="1">
      <alignment horizontal="center"/>
      <protection/>
    </xf>
    <xf numFmtId="0" fontId="10" fillId="0" borderId="47" xfId="0" applyFont="1" applyBorder="1" applyAlignment="1" applyProtection="1">
      <alignment horizontal="center"/>
      <protection/>
    </xf>
    <xf numFmtId="2" fontId="10" fillId="0" borderId="47" xfId="0" applyNumberFormat="1" applyFont="1" applyBorder="1" applyAlignment="1" applyProtection="1">
      <alignment horizontal="center"/>
      <protection/>
    </xf>
    <xf numFmtId="168" fontId="10" fillId="0" borderId="47" xfId="0" applyNumberFormat="1" applyFont="1" applyBorder="1" applyAlignment="1" applyProtection="1">
      <alignment horizontal="center"/>
      <protection/>
    </xf>
    <xf numFmtId="7" fontId="10" fillId="0" borderId="47" xfId="0" applyNumberFormat="1" applyFont="1" applyBorder="1" applyAlignment="1" applyProtection="1">
      <alignment horizontal="center"/>
      <protection/>
    </xf>
    <xf numFmtId="7" fontId="10" fillId="0" borderId="47" xfId="0" applyNumberFormat="1" applyFont="1" applyBorder="1" applyAlignment="1" applyProtection="1">
      <alignment horizontal="centerContinuous"/>
      <protection/>
    </xf>
    <xf numFmtId="0" fontId="10" fillId="0" borderId="47" xfId="0" applyFont="1" applyBorder="1" applyAlignment="1" applyProtection="1">
      <alignment horizontal="centerContinuous"/>
      <protection/>
    </xf>
    <xf numFmtId="0" fontId="10" fillId="0" borderId="47" xfId="0" applyFont="1" applyBorder="1" applyAlignment="1" applyProtection="1">
      <alignment horizontal="right"/>
      <protection/>
    </xf>
    <xf numFmtId="7" fontId="10" fillId="0" borderId="54" xfId="0" applyNumberFormat="1" applyFont="1" applyBorder="1" applyAlignment="1" applyProtection="1">
      <alignment horizontal="center"/>
      <protection/>
    </xf>
    <xf numFmtId="7" fontId="10" fillId="0" borderId="49" xfId="0" applyNumberFormat="1" applyFont="1" applyBorder="1" applyAlignment="1" applyProtection="1">
      <alignment horizontal="center"/>
      <protection/>
    </xf>
    <xf numFmtId="0" fontId="0" fillId="0" borderId="48" xfId="0" applyBorder="1" applyAlignment="1">
      <alignment horizontal="centerContinuous"/>
    </xf>
    <xf numFmtId="0" fontId="10" fillId="0" borderId="40" xfId="0" applyFont="1" applyBorder="1" applyAlignment="1" applyProtection="1">
      <alignment horizontal="centerContinuous"/>
      <protection/>
    </xf>
    <xf numFmtId="0" fontId="0" fillId="0" borderId="40" xfId="0" applyBorder="1" applyAlignment="1">
      <alignment horizontal="center"/>
    </xf>
    <xf numFmtId="168" fontId="10" fillId="0" borderId="48" xfId="0" applyNumberFormat="1" applyFont="1" applyBorder="1" applyAlignment="1" applyProtection="1">
      <alignment horizontal="centerContinuous"/>
      <protection/>
    </xf>
    <xf numFmtId="2" fontId="22" fillId="0" borderId="55" xfId="0" applyNumberFormat="1" applyFont="1" applyBorder="1" applyAlignment="1">
      <alignment horizontal="centerContinuous"/>
    </xf>
    <xf numFmtId="7" fontId="10" fillId="0" borderId="50" xfId="0" applyNumberFormat="1" applyFont="1" applyBorder="1" applyAlignment="1">
      <alignment horizontal="centerContinuous"/>
    </xf>
    <xf numFmtId="168" fontId="10" fillId="0" borderId="51" xfId="0" applyNumberFormat="1" applyFont="1" applyBorder="1" applyAlignment="1" applyProtection="1" quotePrefix="1">
      <alignment horizontal="center"/>
      <protection/>
    </xf>
    <xf numFmtId="7" fontId="10" fillId="0" borderId="50" xfId="0" applyNumberFormat="1" applyFont="1" applyBorder="1" applyAlignment="1" applyProtection="1">
      <alignment horizontal="centerContinuous"/>
      <protection/>
    </xf>
    <xf numFmtId="2" fontId="22" fillId="0" borderId="56" xfId="0" applyNumberFormat="1" applyFont="1" applyBorder="1" applyAlignment="1">
      <alignment horizontal="centerContinuous"/>
    </xf>
    <xf numFmtId="0" fontId="10" fillId="0" borderId="57" xfId="0" applyFont="1" applyBorder="1" applyAlignment="1" applyProtection="1">
      <alignment horizontal="center"/>
      <protection/>
    </xf>
    <xf numFmtId="7" fontId="10" fillId="0" borderId="58" xfId="0" applyNumberFormat="1" applyFont="1" applyBorder="1" applyAlignment="1" applyProtection="1">
      <alignment horizontal="center"/>
      <protection/>
    </xf>
    <xf numFmtId="7" fontId="10" fillId="0" borderId="57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57" xfId="0" applyNumberFormat="1" applyFont="1" applyBorder="1" applyAlignment="1" applyProtection="1">
      <alignment horizontal="centerContinuous"/>
      <protection/>
    </xf>
    <xf numFmtId="2" fontId="22" fillId="0" borderId="59" xfId="0" applyNumberFormat="1" applyFont="1" applyBorder="1" applyAlignment="1">
      <alignment horizontal="centerContinuous"/>
    </xf>
    <xf numFmtId="7" fontId="10" fillId="0" borderId="53" xfId="0" applyNumberFormat="1" applyFont="1" applyBorder="1" applyAlignment="1">
      <alignment horizontal="centerContinuous"/>
    </xf>
    <xf numFmtId="168" fontId="10" fillId="0" borderId="47" xfId="0" applyNumberFormat="1" applyFont="1" applyBorder="1" applyAlignment="1" applyProtection="1" quotePrefix="1">
      <alignment horizontal="center"/>
      <protection/>
    </xf>
    <xf numFmtId="7" fontId="10" fillId="0" borderId="53" xfId="0" applyNumberFormat="1" applyFont="1" applyBorder="1" applyAlignment="1" applyProtection="1">
      <alignment horizontal="centerContinuous"/>
      <protection/>
    </xf>
    <xf numFmtId="2" fontId="22" fillId="0" borderId="29" xfId="0" applyNumberFormat="1" applyFont="1" applyBorder="1" applyAlignment="1">
      <alignment horizontal="centerContinuous"/>
    </xf>
    <xf numFmtId="7" fontId="10" fillId="0" borderId="48" xfId="0" applyNumberFormat="1" applyFont="1" applyBorder="1" applyAlignment="1" applyProtection="1">
      <alignment horizontal="centerContinuous"/>
      <protection/>
    </xf>
    <xf numFmtId="5" fontId="8" fillId="0" borderId="21" xfId="0" applyNumberFormat="1" applyFont="1" applyBorder="1" applyAlignment="1" applyProtection="1">
      <alignment horizontal="center"/>
      <protection/>
    </xf>
    <xf numFmtId="7" fontId="8" fillId="0" borderId="22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4" fillId="0" borderId="2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22" xfId="0" applyNumberFormat="1" applyFont="1" applyBorder="1" applyAlignment="1" applyProtection="1">
      <alignment horizontal="center"/>
      <protection/>
    </xf>
    <xf numFmtId="2" fontId="10" fillId="0" borderId="40" xfId="0" applyNumberFormat="1" applyFont="1" applyBorder="1" applyAlignment="1" applyProtection="1">
      <alignment horizontal="centerContinuous"/>
      <protection/>
    </xf>
    <xf numFmtId="2" fontId="10" fillId="0" borderId="55" xfId="0" applyNumberFormat="1" applyFont="1" applyBorder="1" applyAlignment="1" applyProtection="1">
      <alignment horizontal="centerContinuous"/>
      <protection/>
    </xf>
    <xf numFmtId="2" fontId="10" fillId="0" borderId="51" xfId="0" applyNumberFormat="1" applyFont="1" applyBorder="1" applyAlignment="1" applyProtection="1">
      <alignment horizontal="centerContinuous"/>
      <protection/>
    </xf>
    <xf numFmtId="2" fontId="10" fillId="0" borderId="56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59" xfId="0" applyNumberFormat="1" applyFont="1" applyBorder="1" applyAlignment="1" applyProtection="1">
      <alignment horizontal="centerContinuous"/>
      <protection/>
    </xf>
    <xf numFmtId="2" fontId="10" fillId="0" borderId="47" xfId="0" applyNumberFormat="1" applyFont="1" applyBorder="1" applyAlignment="1" applyProtection="1">
      <alignment horizontal="centerContinuous"/>
      <protection/>
    </xf>
    <xf numFmtId="2" fontId="10" fillId="0" borderId="29" xfId="0" applyNumberFormat="1" applyFont="1" applyBorder="1" applyAlignment="1" applyProtection="1">
      <alignment horizontal="centerContinuous"/>
      <protection/>
    </xf>
    <xf numFmtId="0" fontId="60" fillId="0" borderId="0" xfId="0" applyFont="1" applyFill="1" applyAlignment="1">
      <alignment horizontal="right" vertical="top"/>
    </xf>
    <xf numFmtId="0" fontId="0" fillId="0" borderId="21" xfId="0" applyFont="1" applyBorder="1" applyAlignment="1" applyProtection="1">
      <alignment horizontal="center" vertical="center"/>
      <protection/>
    </xf>
    <xf numFmtId="173" fontId="0" fillId="0" borderId="21" xfId="0" applyNumberFormat="1" applyFont="1" applyBorder="1" applyAlignment="1">
      <alignment horizontal="centerContinuous" vertical="center"/>
    </xf>
    <xf numFmtId="0" fontId="1" fillId="0" borderId="22" xfId="0" applyFont="1" applyBorder="1" applyAlignment="1" applyProtection="1">
      <alignment horizontal="centerContinuous" vertical="center"/>
      <protection/>
    </xf>
    <xf numFmtId="167" fontId="0" fillId="0" borderId="22" xfId="0" applyNumberFormat="1" applyFont="1" applyBorder="1" applyAlignment="1">
      <alignment horizontal="centerContinuous" vertical="center"/>
    </xf>
    <xf numFmtId="0" fontId="0" fillId="7" borderId="0" xfId="0" applyFill="1" applyAlignment="1">
      <alignment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0" fontId="7" fillId="0" borderId="62" xfId="0" applyFont="1" applyBorder="1" applyAlignment="1" applyProtection="1">
      <alignment/>
      <protection locked="0"/>
    </xf>
    <xf numFmtId="0" fontId="7" fillId="0" borderId="63" xfId="0" applyFont="1" applyBorder="1" applyAlignment="1" applyProtection="1">
      <alignment horizontal="center"/>
      <protection locked="0"/>
    </xf>
    <xf numFmtId="2" fontId="7" fillId="0" borderId="63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22" fontId="7" fillId="0" borderId="3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 quotePrefix="1">
      <alignment horizontal="center"/>
      <protection locked="0"/>
    </xf>
    <xf numFmtId="2" fontId="52" fillId="3" borderId="3" xfId="0" applyNumberFormat="1" applyFont="1" applyFill="1" applyBorder="1" applyAlignment="1" applyProtection="1">
      <alignment horizontal="center"/>
      <protection locked="0"/>
    </xf>
    <xf numFmtId="2" fontId="52" fillId="4" borderId="3" xfId="0" applyNumberFormat="1" applyFont="1" applyFill="1" applyBorder="1" applyAlignment="1" applyProtection="1">
      <alignment horizontal="center"/>
      <protection locked="0"/>
    </xf>
    <xf numFmtId="168" fontId="56" fillId="5" borderId="28" xfId="0" applyNumberFormat="1" applyFont="1" applyFill="1" applyBorder="1" applyAlignment="1" applyProtection="1" quotePrefix="1">
      <alignment horizontal="center"/>
      <protection locked="0"/>
    </xf>
    <xf numFmtId="168" fontId="56" fillId="5" borderId="29" xfId="0" applyNumberFormat="1" applyFont="1" applyFill="1" applyBorder="1" applyAlignment="1" applyProtection="1" quotePrefix="1">
      <alignment horizontal="center"/>
      <protection locked="0"/>
    </xf>
    <xf numFmtId="4" fontId="56" fillId="5" borderId="7" xfId="0" applyNumberFormat="1" applyFont="1" applyFill="1" applyBorder="1" applyAlignment="1" applyProtection="1">
      <alignment horizontal="center"/>
      <protection locked="0"/>
    </xf>
    <xf numFmtId="168" fontId="56" fillId="6" borderId="28" xfId="0" applyNumberFormat="1" applyFont="1" applyFill="1" applyBorder="1" applyAlignment="1" applyProtection="1" quotePrefix="1">
      <alignment horizontal="center"/>
      <protection locked="0"/>
    </xf>
    <xf numFmtId="168" fontId="56" fillId="6" borderId="29" xfId="0" applyNumberFormat="1" applyFont="1" applyFill="1" applyBorder="1" applyAlignment="1" applyProtection="1" quotePrefix="1">
      <alignment horizontal="center"/>
      <protection locked="0"/>
    </xf>
    <xf numFmtId="4" fontId="56" fillId="6" borderId="7" xfId="0" applyNumberFormat="1" applyFont="1" applyFill="1" applyBorder="1" applyAlignment="1" applyProtection="1">
      <alignment horizontal="center"/>
      <protection locked="0"/>
    </xf>
    <xf numFmtId="4" fontId="56" fillId="7" borderId="3" xfId="0" applyNumberFormat="1" applyFont="1" applyFill="1" applyBorder="1" applyAlignment="1" applyProtection="1">
      <alignment horizontal="center"/>
      <protection locked="0"/>
    </xf>
    <xf numFmtId="4" fontId="52" fillId="8" borderId="3" xfId="0" applyNumberFormat="1" applyFont="1" applyFill="1" applyBorder="1" applyAlignment="1" applyProtection="1">
      <alignment horizontal="center"/>
      <protection locked="0"/>
    </xf>
    <xf numFmtId="4" fontId="7" fillId="0" borderId="3" xfId="0" applyNumberFormat="1" applyFont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168" fontId="52" fillId="3" borderId="4" xfId="0" applyNumberFormat="1" applyFont="1" applyFill="1" applyBorder="1" applyAlignment="1" applyProtection="1" quotePrefix="1">
      <alignment horizontal="center"/>
      <protection locked="0"/>
    </xf>
    <xf numFmtId="168" fontId="52" fillId="4" borderId="4" xfId="0" applyNumberFormat="1" applyFont="1" applyFill="1" applyBorder="1" applyAlignment="1" applyProtection="1" quotePrefix="1">
      <alignment horizontal="center"/>
      <protection locked="0"/>
    </xf>
    <xf numFmtId="168" fontId="56" fillId="5" borderId="30" xfId="0" applyNumberFormat="1" applyFont="1" applyFill="1" applyBorder="1" applyAlignment="1" applyProtection="1" quotePrefix="1">
      <alignment horizontal="center"/>
      <protection locked="0"/>
    </xf>
    <xf numFmtId="4" fontId="56" fillId="5" borderId="64" xfId="0" applyNumberFormat="1" applyFont="1" applyFill="1" applyBorder="1" applyAlignment="1" applyProtection="1">
      <alignment horizontal="center"/>
      <protection locked="0"/>
    </xf>
    <xf numFmtId="4" fontId="56" fillId="5" borderId="65" xfId="0" applyNumberFormat="1" applyFont="1" applyFill="1" applyBorder="1" applyAlignment="1" applyProtection="1">
      <alignment horizontal="center"/>
      <protection locked="0"/>
    </xf>
    <xf numFmtId="168" fontId="56" fillId="6" borderId="30" xfId="0" applyNumberFormat="1" applyFont="1" applyFill="1" applyBorder="1" applyAlignment="1" applyProtection="1" quotePrefix="1">
      <alignment horizontal="center"/>
      <protection locked="0"/>
    </xf>
    <xf numFmtId="4" fontId="56" fillId="6" borderId="64" xfId="0" applyNumberFormat="1" applyFont="1" applyFill="1" applyBorder="1" applyAlignment="1" applyProtection="1">
      <alignment horizontal="center"/>
      <protection locked="0"/>
    </xf>
    <xf numFmtId="4" fontId="56" fillId="6" borderId="65" xfId="0" applyNumberFormat="1" applyFont="1" applyFill="1" applyBorder="1" applyAlignment="1" applyProtection="1">
      <alignment horizontal="center"/>
      <protection locked="0"/>
    </xf>
    <xf numFmtId="4" fontId="56" fillId="7" borderId="4" xfId="0" applyNumberFormat="1" applyFont="1" applyFill="1" applyBorder="1" applyAlignment="1" applyProtection="1">
      <alignment horizontal="center"/>
      <protection locked="0"/>
    </xf>
    <xf numFmtId="4" fontId="52" fillId="8" borderId="4" xfId="0" applyNumberFormat="1" applyFont="1" applyFill="1" applyBorder="1" applyAlignment="1" applyProtection="1">
      <alignment horizontal="center"/>
      <protection locked="0"/>
    </xf>
    <xf numFmtId="4" fontId="7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54" fillId="3" borderId="3" xfId="0" applyFont="1" applyFill="1" applyBorder="1" applyAlignment="1" applyProtection="1">
      <alignment/>
      <protection locked="0"/>
    </xf>
    <xf numFmtId="0" fontId="54" fillId="4" borderId="3" xfId="0" applyFont="1" applyFill="1" applyBorder="1" applyAlignment="1" applyProtection="1">
      <alignment/>
      <protection locked="0"/>
    </xf>
    <xf numFmtId="0" fontId="55" fillId="5" borderId="28" xfId="0" applyFont="1" applyFill="1" applyBorder="1" applyAlignment="1" applyProtection="1">
      <alignment horizontal="center"/>
      <protection locked="0"/>
    </xf>
    <xf numFmtId="0" fontId="55" fillId="5" borderId="29" xfId="0" applyFont="1" applyFill="1" applyBorder="1" applyAlignment="1" applyProtection="1">
      <alignment/>
      <protection locked="0"/>
    </xf>
    <xf numFmtId="0" fontId="55" fillId="5" borderId="7" xfId="0" applyFont="1" applyFill="1" applyBorder="1" applyAlignment="1" applyProtection="1">
      <alignment/>
      <protection locked="0"/>
    </xf>
    <xf numFmtId="0" fontId="55" fillId="6" borderId="28" xfId="0" applyFont="1" applyFill="1" applyBorder="1" applyAlignment="1" applyProtection="1">
      <alignment horizontal="center"/>
      <protection locked="0"/>
    </xf>
    <xf numFmtId="0" fontId="55" fillId="6" borderId="29" xfId="0" applyFont="1" applyFill="1" applyBorder="1" applyAlignment="1" applyProtection="1">
      <alignment/>
      <protection locked="0"/>
    </xf>
    <xf numFmtId="0" fontId="55" fillId="6" borderId="7" xfId="0" applyFont="1" applyFill="1" applyBorder="1" applyAlignment="1" applyProtection="1">
      <alignment/>
      <protection locked="0"/>
    </xf>
    <xf numFmtId="0" fontId="55" fillId="7" borderId="3" xfId="0" applyFont="1" applyFill="1" applyBorder="1" applyAlignment="1" applyProtection="1">
      <alignment/>
      <protection locked="0"/>
    </xf>
    <xf numFmtId="0" fontId="54" fillId="8" borderId="3" xfId="0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Continuous"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 horizontal="centerContinuous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2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2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" xfId="0" applyFont="1" applyFill="1" applyBorder="1" applyAlignment="1" applyProtection="1">
      <alignment/>
      <protection/>
    </xf>
    <xf numFmtId="0" fontId="27" fillId="7" borderId="19" xfId="0" applyFont="1" applyFill="1" applyBorder="1" applyAlignment="1" applyProtection="1">
      <alignment horizontal="center" vertical="center" wrapText="1"/>
      <protection/>
    </xf>
    <xf numFmtId="0" fontId="27" fillId="9" borderId="19" xfId="0" applyFont="1" applyFill="1" applyBorder="1" applyAlignment="1" applyProtection="1">
      <alignment horizontal="center" vertical="center" wrapText="1"/>
      <protection/>
    </xf>
    <xf numFmtId="0" fontId="53" fillId="10" borderId="22" xfId="0" applyFont="1" applyFill="1" applyBorder="1" applyAlignment="1" applyProtection="1">
      <alignment horizontal="centerContinuous" vertical="center"/>
      <protection/>
    </xf>
    <xf numFmtId="0" fontId="53" fillId="3" borderId="22" xfId="0" applyFont="1" applyFill="1" applyBorder="1" applyAlignment="1" applyProtection="1">
      <alignment horizontal="centerContinuous" vertical="center"/>
      <protection/>
    </xf>
    <xf numFmtId="0" fontId="49" fillId="5" borderId="19" xfId="0" applyFont="1" applyFill="1" applyBorder="1" applyAlignment="1" applyProtection="1">
      <alignment horizontal="center" vertical="center" wrapText="1"/>
      <protection/>
    </xf>
    <xf numFmtId="0" fontId="27" fillId="6" borderId="19" xfId="0" applyFont="1" applyFill="1" applyBorder="1" applyAlignment="1" applyProtection="1">
      <alignment horizontal="center" vertical="center" wrapText="1"/>
      <protection/>
    </xf>
    <xf numFmtId="0" fontId="26" fillId="0" borderId="2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/>
      <protection/>
    </xf>
    <xf numFmtId="0" fontId="48" fillId="2" borderId="6" xfId="0" applyFont="1" applyFill="1" applyBorder="1" applyAlignment="1" applyProtection="1">
      <alignment/>
      <protection/>
    </xf>
    <xf numFmtId="0" fontId="52" fillId="8" borderId="6" xfId="0" applyFont="1" applyFill="1" applyBorder="1" applyAlignment="1" applyProtection="1">
      <alignment/>
      <protection/>
    </xf>
    <xf numFmtId="0" fontId="56" fillId="7" borderId="6" xfId="0" applyFont="1" applyFill="1" applyBorder="1" applyAlignment="1" applyProtection="1">
      <alignment/>
      <protection/>
    </xf>
    <xf numFmtId="0" fontId="56" fillId="9" borderId="6" xfId="0" applyFont="1" applyFill="1" applyBorder="1" applyAlignment="1" applyProtection="1">
      <alignment/>
      <protection/>
    </xf>
    <xf numFmtId="0" fontId="52" fillId="10" borderId="25" xfId="0" applyFont="1" applyFill="1" applyBorder="1" applyAlignment="1" applyProtection="1">
      <alignment horizontal="center"/>
      <protection/>
    </xf>
    <xf numFmtId="0" fontId="52" fillId="10" borderId="27" xfId="0" applyFont="1" applyFill="1" applyBorder="1" applyAlignment="1" applyProtection="1">
      <alignment/>
      <protection/>
    </xf>
    <xf numFmtId="0" fontId="52" fillId="3" borderId="25" xfId="0" applyFont="1" applyFill="1" applyBorder="1" applyAlignment="1" applyProtection="1">
      <alignment horizontal="center"/>
      <protection/>
    </xf>
    <xf numFmtId="0" fontId="52" fillId="3" borderId="27" xfId="0" applyFont="1" applyFill="1" applyBorder="1" applyAlignment="1" applyProtection="1">
      <alignment/>
      <protection/>
    </xf>
    <xf numFmtId="0" fontId="50" fillId="5" borderId="6" xfId="0" applyFont="1" applyFill="1" applyBorder="1" applyAlignment="1" applyProtection="1">
      <alignment/>
      <protection/>
    </xf>
    <xf numFmtId="0" fontId="56" fillId="6" borderId="6" xfId="0" applyFont="1" applyFill="1" applyBorder="1" applyAlignment="1" applyProtection="1">
      <alignment/>
      <protection/>
    </xf>
    <xf numFmtId="7" fontId="10" fillId="0" borderId="6" xfId="0" applyNumberFormat="1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0" fontId="48" fillId="2" borderId="3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52" fillId="8" borderId="3" xfId="0" applyFont="1" applyFill="1" applyBorder="1" applyAlignment="1" applyProtection="1">
      <alignment/>
      <protection/>
    </xf>
    <xf numFmtId="0" fontId="56" fillId="7" borderId="3" xfId="0" applyFont="1" applyFill="1" applyBorder="1" applyAlignment="1" applyProtection="1">
      <alignment/>
      <protection/>
    </xf>
    <xf numFmtId="0" fontId="56" fillId="9" borderId="3" xfId="0" applyFont="1" applyFill="1" applyBorder="1" applyAlignment="1" applyProtection="1">
      <alignment/>
      <protection/>
    </xf>
    <xf numFmtId="0" fontId="52" fillId="10" borderId="28" xfId="0" applyFont="1" applyFill="1" applyBorder="1" applyAlignment="1" applyProtection="1">
      <alignment horizontal="center"/>
      <protection/>
    </xf>
    <xf numFmtId="0" fontId="52" fillId="10" borderId="7" xfId="0" applyFont="1" applyFill="1" applyBorder="1" applyAlignment="1" applyProtection="1">
      <alignment/>
      <protection/>
    </xf>
    <xf numFmtId="0" fontId="52" fillId="3" borderId="28" xfId="0" applyFont="1" applyFill="1" applyBorder="1" applyAlignment="1" applyProtection="1">
      <alignment horizontal="center"/>
      <protection/>
    </xf>
    <xf numFmtId="0" fontId="52" fillId="3" borderId="7" xfId="0" applyFont="1" applyFill="1" applyBorder="1" applyAlignment="1" applyProtection="1">
      <alignment/>
      <protection/>
    </xf>
    <xf numFmtId="0" fontId="50" fillId="5" borderId="3" xfId="0" applyFont="1" applyFill="1" applyBorder="1" applyAlignment="1" applyProtection="1">
      <alignment/>
      <protection/>
    </xf>
    <xf numFmtId="0" fontId="56" fillId="6" borderId="3" xfId="0" applyFont="1" applyFill="1" applyBorder="1" applyAlignment="1" applyProtection="1">
      <alignment/>
      <protection/>
    </xf>
    <xf numFmtId="0" fontId="10" fillId="0" borderId="7" xfId="0" applyFont="1" applyFill="1" applyBorder="1" applyAlignment="1" applyProtection="1">
      <alignment/>
      <protection/>
    </xf>
    <xf numFmtId="168" fontId="10" fillId="0" borderId="7" xfId="0" applyNumberFormat="1" applyFont="1" applyFill="1" applyBorder="1" applyAlignment="1" applyProtection="1">
      <alignment horizontal="right"/>
      <protection/>
    </xf>
    <xf numFmtId="2" fontId="7" fillId="0" borderId="2" xfId="0" applyNumberFormat="1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48" fillId="2" borderId="4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0" fontId="39" fillId="0" borderId="23" xfId="0" applyFont="1" applyBorder="1" applyAlignment="1" applyProtection="1">
      <alignment horizontal="center"/>
      <protection/>
    </xf>
    <xf numFmtId="7" fontId="56" fillId="7" borderId="19" xfId="0" applyNumberFormat="1" applyFont="1" applyFill="1" applyBorder="1" applyAlignment="1" applyProtection="1">
      <alignment horizontal="center"/>
      <protection/>
    </xf>
    <xf numFmtId="7" fontId="56" fillId="9" borderId="19" xfId="0" applyNumberFormat="1" applyFont="1" applyFill="1" applyBorder="1" applyAlignment="1" applyProtection="1">
      <alignment horizontal="center"/>
      <protection/>
    </xf>
    <xf numFmtId="7" fontId="52" fillId="10" borderId="19" xfId="0" applyNumberFormat="1" applyFont="1" applyFill="1" applyBorder="1" applyAlignment="1" applyProtection="1">
      <alignment horizontal="center"/>
      <protection/>
    </xf>
    <xf numFmtId="7" fontId="52" fillId="3" borderId="19" xfId="0" applyNumberFormat="1" applyFont="1" applyFill="1" applyBorder="1" applyAlignment="1" applyProtection="1">
      <alignment horizontal="center"/>
      <protection/>
    </xf>
    <xf numFmtId="7" fontId="50" fillId="5" borderId="19" xfId="0" applyNumberFormat="1" applyFont="1" applyFill="1" applyBorder="1" applyAlignment="1" applyProtection="1">
      <alignment horizontal="center"/>
      <protection/>
    </xf>
    <xf numFmtId="7" fontId="56" fillId="6" borderId="19" xfId="0" applyNumberFormat="1" applyFont="1" applyFill="1" applyBorder="1" applyAlignment="1" applyProtection="1">
      <alignment horizontal="center"/>
      <protection/>
    </xf>
    <xf numFmtId="0" fontId="7" fillId="0" borderId="8" xfId="0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39" fillId="0" borderId="1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7" fontId="39" fillId="0" borderId="0" xfId="0" applyNumberFormat="1" applyFont="1" applyFill="1" applyBorder="1" applyAlignment="1" applyProtection="1">
      <alignment horizontal="center"/>
      <protection/>
    </xf>
    <xf numFmtId="7" fontId="45" fillId="0" borderId="0" xfId="0" applyNumberFormat="1" applyFont="1" applyFill="1" applyBorder="1" applyAlignment="1" applyProtection="1">
      <alignment horizontal="right"/>
      <protection/>
    </xf>
    <xf numFmtId="0" fontId="39" fillId="0" borderId="2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 locked="0"/>
    </xf>
    <xf numFmtId="165" fontId="7" fillId="0" borderId="9" xfId="0" applyNumberFormat="1" applyFont="1" applyBorder="1" applyAlignment="1" applyProtection="1" quotePrefix="1">
      <alignment horizontal="center"/>
      <protection locked="0"/>
    </xf>
    <xf numFmtId="2" fontId="7" fillId="0" borderId="9" xfId="0" applyNumberFormat="1" applyFont="1" applyBorder="1" applyAlignment="1" applyProtection="1" quotePrefix="1">
      <alignment horizontal="center"/>
      <protection locked="0"/>
    </xf>
    <xf numFmtId="0" fontId="7" fillId="0" borderId="4" xfId="0" applyFont="1" applyFill="1" applyBorder="1" applyAlignment="1" applyProtection="1">
      <alignment/>
      <protection locked="0"/>
    </xf>
    <xf numFmtId="22" fontId="7" fillId="0" borderId="3" xfId="0" applyNumberFormat="1" applyFont="1" applyFill="1" applyBorder="1" applyAlignment="1" applyProtection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168" fontId="7" fillId="0" borderId="3" xfId="0" applyNumberFormat="1" applyFont="1" applyFill="1" applyBorder="1" applyAlignment="1" applyProtection="1" quotePrefix="1">
      <alignment horizontal="center"/>
      <protection locked="0"/>
    </xf>
    <xf numFmtId="4" fontId="52" fillId="8" borderId="3" xfId="0" applyNumberFormat="1" applyFont="1" applyFill="1" applyBorder="1" applyAlignment="1" applyProtection="1">
      <alignment horizontal="center"/>
      <protection locked="0"/>
    </xf>
    <xf numFmtId="2" fontId="56" fillId="7" borderId="3" xfId="0" applyNumberFormat="1" applyFont="1" applyFill="1" applyBorder="1" applyAlignment="1" applyProtection="1">
      <alignment horizontal="center"/>
      <protection locked="0"/>
    </xf>
    <xf numFmtId="2" fontId="56" fillId="9" borderId="3" xfId="0" applyNumberFormat="1" applyFont="1" applyFill="1" applyBorder="1" applyAlignment="1" applyProtection="1">
      <alignment horizontal="center"/>
      <protection locked="0"/>
    </xf>
    <xf numFmtId="168" fontId="52" fillId="10" borderId="28" xfId="0" applyNumberFormat="1" applyFont="1" applyFill="1" applyBorder="1" applyAlignment="1" applyProtection="1" quotePrefix="1">
      <alignment horizontal="center"/>
      <protection locked="0"/>
    </xf>
    <xf numFmtId="168" fontId="52" fillId="10" borderId="10" xfId="0" applyNumberFormat="1" applyFont="1" applyFill="1" applyBorder="1" applyAlignment="1" applyProtection="1" quotePrefix="1">
      <alignment horizontal="center"/>
      <protection locked="0"/>
    </xf>
    <xf numFmtId="168" fontId="52" fillId="3" borderId="28" xfId="0" applyNumberFormat="1" applyFont="1" applyFill="1" applyBorder="1" applyAlignment="1" applyProtection="1" quotePrefix="1">
      <alignment horizontal="center"/>
      <protection locked="0"/>
    </xf>
    <xf numFmtId="168" fontId="52" fillId="3" borderId="10" xfId="0" applyNumberFormat="1" applyFont="1" applyFill="1" applyBorder="1" applyAlignment="1" applyProtection="1" quotePrefix="1">
      <alignment horizontal="center"/>
      <protection locked="0"/>
    </xf>
    <xf numFmtId="168" fontId="50" fillId="5" borderId="3" xfId="0" applyNumberFormat="1" applyFont="1" applyFill="1" applyBorder="1" applyAlignment="1" applyProtection="1" quotePrefix="1">
      <alignment horizontal="center"/>
      <protection locked="0"/>
    </xf>
    <xf numFmtId="168" fontId="56" fillId="6" borderId="3" xfId="0" applyNumberFormat="1" applyFont="1" applyFill="1" applyBorder="1" applyAlignment="1" applyProtection="1" quotePrefix="1">
      <alignment horizontal="center"/>
      <protection locked="0"/>
    </xf>
    <xf numFmtId="0" fontId="52" fillId="8" borderId="4" xfId="0" applyFont="1" applyFill="1" applyBorder="1" applyAlignment="1" applyProtection="1">
      <alignment/>
      <protection locked="0"/>
    </xf>
    <xf numFmtId="0" fontId="56" fillId="7" borderId="4" xfId="0" applyFont="1" applyFill="1" applyBorder="1" applyAlignment="1" applyProtection="1">
      <alignment/>
      <protection locked="0"/>
    </xf>
    <xf numFmtId="0" fontId="56" fillId="9" borderId="4" xfId="0" applyFont="1" applyFill="1" applyBorder="1" applyAlignment="1" applyProtection="1">
      <alignment/>
      <protection locked="0"/>
    </xf>
    <xf numFmtId="0" fontId="52" fillId="10" borderId="30" xfId="0" applyFont="1" applyFill="1" applyBorder="1" applyAlignment="1" applyProtection="1">
      <alignment/>
      <protection locked="0"/>
    </xf>
    <xf numFmtId="0" fontId="52" fillId="10" borderId="31" xfId="0" applyFont="1" applyFill="1" applyBorder="1" applyAlignment="1" applyProtection="1">
      <alignment/>
      <protection locked="0"/>
    </xf>
    <xf numFmtId="0" fontId="52" fillId="3" borderId="30" xfId="0" applyFont="1" applyFill="1" applyBorder="1" applyAlignment="1" applyProtection="1">
      <alignment/>
      <protection locked="0"/>
    </xf>
    <xf numFmtId="0" fontId="52" fillId="3" borderId="31" xfId="0" applyFont="1" applyFill="1" applyBorder="1" applyAlignment="1" applyProtection="1">
      <alignment/>
      <protection locked="0"/>
    </xf>
    <xf numFmtId="0" fontId="50" fillId="5" borderId="4" xfId="0" applyFont="1" applyFill="1" applyBorder="1" applyAlignment="1" applyProtection="1">
      <alignment/>
      <protection locked="0"/>
    </xf>
    <xf numFmtId="0" fontId="56" fillId="6" borderId="4" xfId="0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172" fontId="7" fillId="0" borderId="3" xfId="0" applyNumberFormat="1" applyFont="1" applyFill="1" applyBorder="1" applyAlignment="1" applyProtection="1">
      <alignment horizontal="center"/>
      <protection locked="0"/>
    </xf>
    <xf numFmtId="22" fontId="7" fillId="0" borderId="9" xfId="0" applyNumberFormat="1" applyFont="1" applyFill="1" applyBorder="1" applyAlignment="1" applyProtection="1">
      <alignment horizontal="center"/>
      <protection locked="0"/>
    </xf>
    <xf numFmtId="22" fontId="7" fillId="0" borderId="10" xfId="0" applyNumberFormat="1" applyFont="1" applyFill="1" applyBorder="1" applyAlignment="1" applyProtection="1">
      <alignment horizontal="center"/>
      <protection locked="0"/>
    </xf>
    <xf numFmtId="168" fontId="7" fillId="0" borderId="7" xfId="0" applyNumberFormat="1" applyFont="1" applyFill="1" applyBorder="1" applyAlignment="1" applyProtection="1">
      <alignment horizontal="center"/>
      <protection locked="0"/>
    </xf>
    <xf numFmtId="164" fontId="52" fillId="6" borderId="3" xfId="0" applyNumberFormat="1" applyFont="1" applyFill="1" applyBorder="1" applyAlignment="1" applyProtection="1">
      <alignment horizontal="center"/>
      <protection locked="0"/>
    </xf>
    <xf numFmtId="2" fontId="56" fillId="5" borderId="3" xfId="0" applyNumberFormat="1" applyFont="1" applyFill="1" applyBorder="1" applyAlignment="1" applyProtection="1">
      <alignment horizontal="center"/>
      <protection locked="0"/>
    </xf>
    <xf numFmtId="168" fontId="52" fillId="8" borderId="3" xfId="0" applyNumberFormat="1" applyFont="1" applyFill="1" applyBorder="1" applyAlignment="1" applyProtection="1" quotePrefix="1">
      <alignment horizontal="center"/>
      <protection locked="0"/>
    </xf>
    <xf numFmtId="0" fontId="52" fillId="6" borderId="4" xfId="0" applyFont="1" applyFill="1" applyBorder="1" applyAlignment="1" applyProtection="1">
      <alignment/>
      <protection locked="0"/>
    </xf>
    <xf numFmtId="0" fontId="56" fillId="5" borderId="4" xfId="0" applyFont="1" applyFill="1" applyBorder="1" applyAlignment="1" applyProtection="1">
      <alignment/>
      <protection locked="0"/>
    </xf>
    <xf numFmtId="172" fontId="9" fillId="0" borderId="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5" fillId="0" borderId="0" xfId="0" applyNumberFormat="1" applyFont="1" applyBorder="1" applyAlignment="1">
      <alignment horizontal="left"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66" fillId="0" borderId="0" xfId="15" applyFill="1" applyBorder="1" applyAlignment="1">
      <alignment/>
    </xf>
    <xf numFmtId="168" fontId="11" fillId="0" borderId="40" xfId="0" applyNumberFormat="1" applyFont="1" applyBorder="1" applyAlignment="1" applyProtection="1">
      <alignment horizontal="center"/>
      <protection/>
    </xf>
    <xf numFmtId="168" fontId="63" fillId="0" borderId="0" xfId="0" applyNumberFormat="1" applyFont="1" applyBorder="1" applyAlignment="1" applyProtection="1" quotePrefix="1">
      <alignment horizontal="left"/>
      <protection/>
    </xf>
    <xf numFmtId="168" fontId="63" fillId="0" borderId="51" xfId="0" applyNumberFormat="1" applyFont="1" applyBorder="1" applyAlignment="1" applyProtection="1" quotePrefix="1">
      <alignment horizontal="left"/>
      <protection/>
    </xf>
    <xf numFmtId="168" fontId="63" fillId="0" borderId="47" xfId="0" applyNumberFormat="1" applyFont="1" applyBorder="1" applyAlignment="1" applyProtection="1" quotePrefix="1">
      <alignment horizontal="left"/>
      <protection/>
    </xf>
    <xf numFmtId="168" fontId="11" fillId="0" borderId="40" xfId="0" applyNumberFormat="1" applyFont="1" applyBorder="1" applyAlignment="1" applyProtection="1">
      <alignment horizontal="left"/>
      <protection/>
    </xf>
    <xf numFmtId="177" fontId="11" fillId="0" borderId="40" xfId="0" applyNumberFormat="1" applyFont="1" applyBorder="1" applyAlignment="1" applyProtection="1">
      <alignment horizontal="right"/>
      <protection/>
    </xf>
    <xf numFmtId="177" fontId="11" fillId="0" borderId="49" xfId="0" applyNumberFormat="1" applyFont="1" applyBorder="1" applyAlignment="1" applyProtection="1">
      <alignment horizontal="right"/>
      <protection/>
    </xf>
    <xf numFmtId="0" fontId="70" fillId="0" borderId="51" xfId="0" applyFont="1" applyBorder="1" applyAlignment="1" applyProtection="1">
      <alignment horizontal="centerContinuous"/>
      <protection/>
    </xf>
    <xf numFmtId="168" fontId="70" fillId="0" borderId="51" xfId="0" applyNumberFormat="1" applyFont="1" applyBorder="1" applyAlignment="1" applyProtection="1">
      <alignment horizontal="center"/>
      <protection/>
    </xf>
    <xf numFmtId="0" fontId="70" fillId="0" borderId="0" xfId="0" applyFont="1" applyBorder="1" applyAlignment="1" applyProtection="1">
      <alignment horizontal="centerContinuous"/>
      <protection/>
    </xf>
    <xf numFmtId="168" fontId="70" fillId="0" borderId="0" xfId="0" applyNumberFormat="1" applyFont="1" applyBorder="1" applyAlignment="1" applyProtection="1">
      <alignment horizontal="center"/>
      <protection/>
    </xf>
    <xf numFmtId="7" fontId="70" fillId="0" borderId="50" xfId="0" applyNumberFormat="1" applyFont="1" applyBorder="1" applyAlignment="1">
      <alignment horizontal="left"/>
    </xf>
    <xf numFmtId="7" fontId="70" fillId="0" borderId="57" xfId="0" applyNumberFormat="1" applyFont="1" applyBorder="1" applyAlignment="1">
      <alignment horizontal="left"/>
    </xf>
    <xf numFmtId="168" fontId="10" fillId="0" borderId="55" xfId="0" applyNumberFormat="1" applyFont="1" applyBorder="1" applyAlignment="1" applyProtection="1">
      <alignment horizontal="center"/>
      <protection/>
    </xf>
    <xf numFmtId="168" fontId="10" fillId="0" borderId="50" xfId="0" applyNumberFormat="1" applyFont="1" applyBorder="1" applyAlignment="1" applyProtection="1">
      <alignment horizontal="center"/>
      <protection/>
    </xf>
    <xf numFmtId="7" fontId="10" fillId="0" borderId="56" xfId="0" applyNumberFormat="1" applyFont="1" applyBorder="1" applyAlignment="1" applyProtection="1">
      <alignment horizontal="center"/>
      <protection/>
    </xf>
    <xf numFmtId="168" fontId="10" fillId="0" borderId="53" xfId="0" applyNumberFormat="1" applyFont="1" applyBorder="1" applyAlignment="1" applyProtection="1">
      <alignment horizontal="center"/>
      <protection/>
    </xf>
    <xf numFmtId="7" fontId="10" fillId="0" borderId="59" xfId="0" applyNumberFormat="1" applyFont="1" applyBorder="1" applyAlignment="1" applyProtection="1">
      <alignment horizontal="center"/>
      <protection/>
    </xf>
    <xf numFmtId="7" fontId="0" fillId="0" borderId="55" xfId="0" applyNumberFormat="1" applyBorder="1" applyAlignment="1">
      <alignment horizontal="center"/>
    </xf>
    <xf numFmtId="177" fontId="11" fillId="0" borderId="4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171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" fontId="11" fillId="0" borderId="66" xfId="0" applyNumberFormat="1" applyFont="1" applyBorder="1" applyAlignment="1">
      <alignment horizontal="right"/>
    </xf>
    <xf numFmtId="7" fontId="11" fillId="0" borderId="66" xfId="0" applyNumberFormat="1" applyFont="1" applyFill="1" applyBorder="1" applyAlignment="1" applyProtection="1">
      <alignment horizontal="right"/>
      <protection/>
    </xf>
    <xf numFmtId="0" fontId="0" fillId="0" borderId="9" xfId="0" applyBorder="1" applyAlignment="1">
      <alignment/>
    </xf>
    <xf numFmtId="0" fontId="0" fillId="0" borderId="60" xfId="0" applyBorder="1" applyAlignment="1">
      <alignment/>
    </xf>
    <xf numFmtId="0" fontId="0" fillId="0" borderId="67" xfId="0" applyBorder="1" applyAlignment="1">
      <alignment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2" fillId="0" borderId="0" xfId="0" applyFont="1" applyBorder="1" applyAlignment="1">
      <alignment horizontal="centerContinuous"/>
    </xf>
    <xf numFmtId="0" fontId="73" fillId="0" borderId="0" xfId="0" applyFont="1" applyBorder="1" applyAlignment="1" applyProtection="1">
      <alignment horizontal="left"/>
      <protection/>
    </xf>
    <xf numFmtId="0" fontId="74" fillId="0" borderId="0" xfId="0" applyFont="1" applyBorder="1" applyAlignment="1" applyProtection="1">
      <alignment horizontal="centerContinuous"/>
      <protection/>
    </xf>
    <xf numFmtId="0" fontId="74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5" fillId="0" borderId="12" xfId="0" applyFont="1" applyBorder="1" applyAlignment="1">
      <alignment/>
    </xf>
    <xf numFmtId="0" fontId="0" fillId="0" borderId="13" xfId="0" applyBorder="1" applyAlignment="1">
      <alignment/>
    </xf>
    <xf numFmtId="0" fontId="7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68" xfId="0" applyBorder="1" applyAlignment="1">
      <alignment/>
    </xf>
    <xf numFmtId="0" fontId="75" fillId="0" borderId="0" xfId="0" applyFont="1" applyBorder="1" applyAlignment="1" applyProtection="1">
      <alignment horizontal="center"/>
      <protection/>
    </xf>
    <xf numFmtId="0" fontId="75" fillId="0" borderId="0" xfId="0" applyFont="1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13" borderId="62" xfId="0" applyFont="1" applyFill="1" applyBorder="1" applyAlignment="1">
      <alignment horizontal="centerContinuous" vertical="center"/>
    </xf>
    <xf numFmtId="0" fontId="76" fillId="13" borderId="69" xfId="0" applyFont="1" applyFill="1" applyBorder="1" applyAlignment="1" applyProtection="1">
      <alignment horizontal="centerContinuous" vertical="center"/>
      <protection/>
    </xf>
    <xf numFmtId="0" fontId="76" fillId="13" borderId="69" xfId="0" applyFont="1" applyFill="1" applyBorder="1" applyAlignment="1" applyProtection="1">
      <alignment horizontal="centerContinuous" vertical="center" wrapText="1"/>
      <protection/>
    </xf>
    <xf numFmtId="168" fontId="76" fillId="13" borderId="19" xfId="0" applyNumberFormat="1" applyFont="1" applyFill="1" applyBorder="1" applyAlignment="1" applyProtection="1">
      <alignment horizontal="centerContinuous" vertical="center" wrapText="1"/>
      <protection/>
    </xf>
    <xf numFmtId="17" fontId="76" fillId="13" borderId="19" xfId="0" applyNumberFormat="1" applyFont="1" applyFill="1" applyBorder="1" applyAlignment="1">
      <alignment horizontal="center" vertical="center"/>
    </xf>
    <xf numFmtId="17" fontId="7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14" borderId="5" xfId="0" applyFont="1" applyFill="1" applyBorder="1" applyAlignment="1">
      <alignment/>
    </xf>
    <xf numFmtId="0" fontId="75" fillId="14" borderId="70" xfId="0" applyFont="1" applyFill="1" applyBorder="1" applyAlignment="1">
      <alignment/>
    </xf>
    <xf numFmtId="0" fontId="75" fillId="14" borderId="71" xfId="0" applyFont="1" applyFill="1" applyBorder="1" applyAlignment="1">
      <alignment/>
    </xf>
    <xf numFmtId="0" fontId="0" fillId="15" borderId="72" xfId="0" applyFont="1" applyFill="1" applyBorder="1" applyAlignment="1">
      <alignment/>
    </xf>
    <xf numFmtId="0" fontId="0" fillId="14" borderId="72" xfId="0" applyFont="1" applyFill="1" applyBorder="1" applyAlignment="1">
      <alignment/>
    </xf>
    <xf numFmtId="0" fontId="7" fillId="14" borderId="5" xfId="0" applyFont="1" applyFill="1" applyBorder="1" applyAlignment="1">
      <alignment horizontal="center"/>
    </xf>
    <xf numFmtId="0" fontId="7" fillId="14" borderId="73" xfId="0" applyFont="1" applyFill="1" applyBorder="1" applyAlignment="1" applyProtection="1">
      <alignment horizontal="center"/>
      <protection/>
    </xf>
    <xf numFmtId="2" fontId="7" fillId="14" borderId="9" xfId="0" applyNumberFormat="1" applyFont="1" applyFill="1" applyBorder="1" applyAlignment="1" applyProtection="1">
      <alignment horizontal="center"/>
      <protection/>
    </xf>
    <xf numFmtId="1" fontId="7" fillId="15" borderId="74" xfId="0" applyNumberFormat="1" applyFont="1" applyFill="1" applyBorder="1" applyAlignment="1">
      <alignment horizontal="center"/>
    </xf>
    <xf numFmtId="1" fontId="0" fillId="14" borderId="71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7" fillId="16" borderId="5" xfId="0" applyFont="1" applyFill="1" applyBorder="1" applyAlignment="1">
      <alignment horizontal="center"/>
    </xf>
    <xf numFmtId="0" fontId="7" fillId="16" borderId="73" xfId="0" applyFont="1" applyFill="1" applyBorder="1" applyAlignment="1" applyProtection="1">
      <alignment horizontal="center"/>
      <protection/>
    </xf>
    <xf numFmtId="2" fontId="7" fillId="16" borderId="9" xfId="0" applyNumberFormat="1" applyFont="1" applyFill="1" applyBorder="1" applyAlignment="1" applyProtection="1">
      <alignment horizontal="center"/>
      <protection/>
    </xf>
    <xf numFmtId="1" fontId="77" fillId="14" borderId="71" xfId="0" applyNumberFormat="1" applyFont="1" applyFill="1" applyBorder="1" applyAlignment="1">
      <alignment horizontal="center"/>
    </xf>
    <xf numFmtId="0" fontId="7" fillId="14" borderId="62" xfId="0" applyFont="1" applyFill="1" applyBorder="1" applyAlignment="1">
      <alignment horizontal="center"/>
    </xf>
    <xf numFmtId="0" fontId="7" fillId="14" borderId="75" xfId="0" applyFont="1" applyFill="1" applyBorder="1" applyAlignment="1" applyProtection="1">
      <alignment horizontal="left"/>
      <protection/>
    </xf>
    <xf numFmtId="0" fontId="7" fillId="14" borderId="75" xfId="0" applyFont="1" applyFill="1" applyBorder="1" applyAlignment="1" applyProtection="1">
      <alignment horizontal="center"/>
      <protection/>
    </xf>
    <xf numFmtId="2" fontId="7" fillId="14" borderId="63" xfId="0" applyNumberFormat="1" applyFont="1" applyFill="1" applyBorder="1" applyAlignment="1" applyProtection="1">
      <alignment horizontal="center"/>
      <protection/>
    </xf>
    <xf numFmtId="1" fontId="7" fillId="15" borderId="63" xfId="0" applyNumberFormat="1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right"/>
      <protection/>
    </xf>
    <xf numFmtId="168" fontId="5" fillId="0" borderId="63" xfId="0" applyNumberFormat="1" applyFont="1" applyFill="1" applyBorder="1" applyAlignment="1" applyProtection="1">
      <alignment horizontal="center"/>
      <protection/>
    </xf>
    <xf numFmtId="1" fontId="0" fillId="14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14" borderId="19" xfId="0" applyNumberFormat="1" applyFont="1" applyFill="1" applyBorder="1" applyAlignment="1" applyProtection="1">
      <alignment horizontal="center"/>
      <protection/>
    </xf>
    <xf numFmtId="1" fontId="7" fillId="14" borderId="71" xfId="0" applyNumberFormat="1" applyFont="1" applyFill="1" applyBorder="1" applyAlignment="1" applyProtection="1">
      <alignment horizontal="center"/>
      <protection/>
    </xf>
    <xf numFmtId="1" fontId="75" fillId="0" borderId="2" xfId="0" applyNumberFormat="1" applyFont="1" applyBorder="1" applyAlignment="1" applyProtection="1">
      <alignment horizontal="center"/>
      <protection/>
    </xf>
    <xf numFmtId="17" fontId="5" fillId="0" borderId="0" xfId="0" applyNumberFormat="1" applyFont="1" applyFill="1" applyBorder="1" applyAlignment="1">
      <alignment horizontal="right"/>
    </xf>
    <xf numFmtId="2" fontId="11" fillId="15" borderId="19" xfId="0" applyNumberFormat="1" applyFont="1" applyFill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7" fillId="14" borderId="76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78" fillId="0" borderId="1" xfId="0" applyFont="1" applyBorder="1" applyAlignment="1">
      <alignment/>
    </xf>
    <xf numFmtId="0" fontId="0" fillId="15" borderId="7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20" xfId="0" applyFont="1" applyBorder="1" applyAlignment="1">
      <alignment/>
    </xf>
    <xf numFmtId="2" fontId="79" fillId="0" borderId="20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78" fillId="0" borderId="14" xfId="0" applyFont="1" applyBorder="1" applyAlignment="1">
      <alignment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0" fontId="10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048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771775"/>
          <a:ext cx="2771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57150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572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1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76200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45720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57150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572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1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76200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45720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57150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572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048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277177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A%20PROCESO%20AUT\Transener_V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A%20PROCESO%20AUT\Transpa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IENZO"/>
      <sheetName val="TOTAL"/>
      <sheetName val="MODELO L"/>
      <sheetName val="MODELO L YACYLEC"/>
      <sheetName val="MODELO L LITSA"/>
      <sheetName val="MODELO L IV"/>
      <sheetName val="MODELO L INTESAR "/>
      <sheetName val="MODELO L CUYANA"/>
      <sheetName val="MODELO T"/>
      <sheetName val="MODELO T LITSA"/>
      <sheetName val="MODELO T TIBA"/>
      <sheetName val="MODELO T ENECOR"/>
      <sheetName val="MODELO T INTESAR"/>
      <sheetName val="MODELO T CUYANA"/>
      <sheetName val="MODELO S"/>
      <sheetName val="MODELO S TIBA"/>
      <sheetName val="MODELO S ENECOR"/>
      <sheetName val="MODELO S TESA"/>
      <sheetName val="MODELO S CTM"/>
      <sheetName val="MODELO R"/>
      <sheetName val="RE-Res.01_03"/>
      <sheetName val="MODELO R YACYLEC"/>
      <sheetName val="MODELO R LITSA"/>
      <sheetName val="MODELO R IV"/>
      <sheetName val="SUP-YACYLEC"/>
      <sheetName val="SUP-LITSA"/>
      <sheetName val="SUP-TIBA"/>
      <sheetName val="SUP-ENECOR"/>
      <sheetName val="SUP-TESA"/>
      <sheetName val="SUP-CTM"/>
      <sheetName val="SUP-INTESAR"/>
      <sheetName val="SUP-CUYANA"/>
      <sheetName val="CONDICIONES CLIMATICAS 313"/>
      <sheetName val="DAG"/>
      <sheetName val="RES 142-94 AISL"/>
      <sheetName val="TIEMPOS ET"/>
      <sheetName val="LI (C CLIMA EN ET)"/>
      <sheetName val="REACT (C CLIMA EN  ET)"/>
      <sheetName val="CONDICIONES CLIMATICAS 313-01"/>
      <sheetName val="ATENTADO 313-01 "/>
      <sheetName val="DATO"/>
      <sheetName val="Transener_V5"/>
    </sheetNames>
    <definedNames>
      <definedName name="Actualizar_Referenci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TOTAL"/>
      <sheetName val="LINEAS"/>
      <sheetName val="LINEAS TI"/>
      <sheetName val="TRAFOS"/>
      <sheetName val="TRAFOS TI"/>
      <sheetName val="SALIDAS"/>
      <sheetName val="SALIDAS TI"/>
      <sheetName val="REACTIVO"/>
      <sheetName val="MODELO L"/>
      <sheetName val="MODELO LI"/>
      <sheetName val="MODELO T"/>
      <sheetName val="MODELO TI"/>
      <sheetName val="MODELO S"/>
      <sheetName val="MODELO SI"/>
      <sheetName val="MODELO R"/>
      <sheetName val="ATENTADO 313-01"/>
      <sheetName val="SUP-EDERSA"/>
      <sheetName val="SUP-SPSE"/>
      <sheetName val="Módulo1"/>
      <sheetName val="SUP-TRANSACUE"/>
      <sheetName val="condiciones climaticas 313-01"/>
      <sheetName val="atentado 313- (2)"/>
      <sheetName val="DATO"/>
    </sheetNames>
    <sheetDataSet>
      <sheetData sheetId="1">
        <row r="13">
          <cell r="B1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BY17" t="str">
            <v>XXXX</v>
          </cell>
          <cell r="BZ17" t="str">
            <v>XXXX</v>
          </cell>
          <cell r="CA17" t="str">
            <v>XXXX</v>
          </cell>
          <cell r="CB17" t="str">
            <v>XXXX</v>
          </cell>
          <cell r="CC17" t="str">
            <v>XXXX</v>
          </cell>
          <cell r="CD17" t="str">
            <v>XXXX</v>
          </cell>
          <cell r="CE17" t="str">
            <v>XXXX</v>
          </cell>
          <cell r="CF17" t="str">
            <v>XXXX</v>
          </cell>
          <cell r="CG17" t="str">
            <v>XXXX</v>
          </cell>
          <cell r="CH17" t="str">
            <v>XXXX</v>
          </cell>
          <cell r="CI17" t="str">
            <v>XXXX</v>
          </cell>
          <cell r="CJ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FI18">
            <v>1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28.41</v>
          </cell>
          <cell r="FM20">
            <v>5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9.43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  <cell r="FD22">
            <v>1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FB24">
            <v>1</v>
          </cell>
          <cell r="FH24">
            <v>1</v>
          </cell>
          <cell r="FJ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FG25">
            <v>1</v>
          </cell>
          <cell r="FL25">
            <v>1</v>
          </cell>
          <cell r="FM25">
            <v>1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  <cell r="FB26">
            <v>1</v>
          </cell>
          <cell r="FC26">
            <v>1</v>
          </cell>
          <cell r="FG26">
            <v>1</v>
          </cell>
          <cell r="FM26">
            <v>2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  <cell r="FM29">
            <v>1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  <cell r="FJ30">
            <v>1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FI32">
            <v>1</v>
          </cell>
          <cell r="FJ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FE33">
            <v>1</v>
          </cell>
          <cell r="FG33">
            <v>1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FB34" t="str">
            <v>XXXX</v>
          </cell>
          <cell r="FC34" t="str">
            <v>XXXX</v>
          </cell>
          <cell r="FD34" t="str">
            <v>XXXX</v>
          </cell>
          <cell r="FE34" t="str">
            <v>XXXX</v>
          </cell>
          <cell r="FF34" t="str">
            <v>XXXX</v>
          </cell>
          <cell r="FG34" t="str">
            <v>XXXX</v>
          </cell>
          <cell r="FH34" t="str">
            <v>XXXX</v>
          </cell>
          <cell r="FI34" t="str">
            <v>XXXX</v>
          </cell>
          <cell r="FJ34" t="str">
            <v>XXXX</v>
          </cell>
          <cell r="FK34" t="str">
            <v>XXXX</v>
          </cell>
          <cell r="FL34" t="str">
            <v>XXXX</v>
          </cell>
          <cell r="FM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FH35">
            <v>2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  <cell r="FM36">
            <v>1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  <cell r="FB37" t="str">
            <v>XXXX</v>
          </cell>
          <cell r="FC37" t="str">
            <v>XXXX</v>
          </cell>
          <cell r="FD37" t="str">
            <v>XXXX</v>
          </cell>
          <cell r="FE37" t="str">
            <v>XXXX</v>
          </cell>
          <cell r="FF37" t="str">
            <v>XXXX</v>
          </cell>
          <cell r="FG37" t="str">
            <v>XXXX</v>
          </cell>
          <cell r="FH37" t="str">
            <v>XXXX</v>
          </cell>
          <cell r="FI37" t="str">
            <v>XXXX</v>
          </cell>
          <cell r="FJ37" t="str">
            <v>XXXX</v>
          </cell>
          <cell r="FK37" t="str">
            <v>XXXX</v>
          </cell>
          <cell r="FL37" t="str">
            <v>XXXX</v>
          </cell>
          <cell r="FM37" t="str">
            <v>XXXX</v>
          </cell>
        </row>
        <row r="38">
          <cell r="D38" t="str">
            <v>TRELEW - RAWSON</v>
          </cell>
          <cell r="E38">
            <v>132</v>
          </cell>
          <cell r="F38">
            <v>21.8</v>
          </cell>
        </row>
        <row r="39">
          <cell r="C39">
            <v>19</v>
          </cell>
          <cell r="D39" t="str">
            <v>PUNTA COLORADA - SIERRA GRANDE</v>
          </cell>
          <cell r="E39">
            <v>132</v>
          </cell>
          <cell r="F39">
            <v>31</v>
          </cell>
        </row>
        <row r="40">
          <cell r="C40">
            <v>20</v>
          </cell>
          <cell r="D40" t="str">
            <v>CARMEN DE PATAGONES - VIEDMA</v>
          </cell>
          <cell r="E40">
            <v>132</v>
          </cell>
          <cell r="F40">
            <v>7</v>
          </cell>
        </row>
        <row r="41">
          <cell r="C41">
            <v>21</v>
          </cell>
          <cell r="D41" t="str">
            <v>SAN ANTONIO OESTE - SIERRA GRANDE</v>
          </cell>
          <cell r="E41">
            <v>132</v>
          </cell>
          <cell r="F41">
            <v>110.3</v>
          </cell>
        </row>
        <row r="42">
          <cell r="C42">
            <v>22</v>
          </cell>
          <cell r="D42" t="str">
            <v>SAN ANTONIO OESTE - VIEDMA</v>
          </cell>
          <cell r="E42">
            <v>132</v>
          </cell>
          <cell r="F42">
            <v>185.6</v>
          </cell>
        </row>
        <row r="44">
          <cell r="C44">
            <v>23</v>
          </cell>
          <cell r="D44" t="str">
            <v>PICO TRUNCADO I - PUERTO DESEADO</v>
          </cell>
          <cell r="E44">
            <v>132</v>
          </cell>
          <cell r="F44">
            <v>209</v>
          </cell>
        </row>
        <row r="46">
          <cell r="C46">
            <v>24</v>
          </cell>
          <cell r="D46" t="str">
            <v>E.T. PATAGONIA - PAMPA DEL CASTILLO</v>
          </cell>
          <cell r="E46">
            <v>132</v>
          </cell>
          <cell r="F46">
            <v>42.6</v>
          </cell>
        </row>
        <row r="47">
          <cell r="C47">
            <v>25</v>
          </cell>
          <cell r="D47" t="str">
            <v>PAMPA DEL CASTILLO - VALLE HERMOSO</v>
          </cell>
          <cell r="E47">
            <v>132</v>
          </cell>
          <cell r="F47">
            <v>33.6</v>
          </cell>
        </row>
        <row r="48">
          <cell r="C48">
            <v>26</v>
          </cell>
          <cell r="D48" t="str">
            <v>VALLE HERMOSO - CERRO NEGRO</v>
          </cell>
          <cell r="E48">
            <v>132</v>
          </cell>
          <cell r="F48">
            <v>41</v>
          </cell>
        </row>
        <row r="50">
          <cell r="C50">
            <v>27</v>
          </cell>
          <cell r="D50" t="str">
            <v>PAMPA DEL CASTILLO - EL TORDILLO</v>
          </cell>
          <cell r="E50">
            <v>132</v>
          </cell>
          <cell r="F50">
            <v>8.9</v>
          </cell>
          <cell r="FM50">
            <v>1</v>
          </cell>
        </row>
        <row r="60">
          <cell r="FB60">
            <v>0.62</v>
          </cell>
          <cell r="FC60">
            <v>0.69</v>
          </cell>
          <cell r="FD60">
            <v>0.62</v>
          </cell>
          <cell r="FE60">
            <v>0.62</v>
          </cell>
          <cell r="FF60">
            <v>0.66</v>
          </cell>
          <cell r="FG60">
            <v>0.55</v>
          </cell>
          <cell r="FH60">
            <v>0.62</v>
          </cell>
          <cell r="FI60">
            <v>0.69</v>
          </cell>
          <cell r="FJ60">
            <v>0.69</v>
          </cell>
          <cell r="FK60">
            <v>0.77</v>
          </cell>
          <cell r="FL60">
            <v>0.59</v>
          </cell>
          <cell r="FM60">
            <v>0.62</v>
          </cell>
          <cell r="FN60">
            <v>1.02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../../../AA%20PROCESO%20AUT/TRANSPA/FABIAN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53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10" customWidth="1"/>
    <col min="2" max="2" width="7.7109375" style="10" customWidth="1"/>
    <col min="3" max="3" width="9.8515625" style="10" customWidth="1"/>
    <col min="4" max="4" width="10.7109375" style="10" customWidth="1"/>
    <col min="5" max="5" width="10.57421875" style="10" customWidth="1"/>
    <col min="6" max="6" width="15.7109375" style="10" customWidth="1"/>
    <col min="7" max="7" width="24.28125" style="10" customWidth="1"/>
    <col min="8" max="8" width="11.00390625" style="10" customWidth="1"/>
    <col min="9" max="9" width="15.7109375" style="10" customWidth="1"/>
    <col min="10" max="10" width="15.003906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108" customFormat="1" ht="26.25">
      <c r="B1" s="109"/>
      <c r="K1" s="421"/>
    </row>
    <row r="2" spans="2:10" s="108" customFormat="1" ht="26.25">
      <c r="B2" s="109" t="s">
        <v>201</v>
      </c>
      <c r="C2" s="128"/>
      <c r="D2" s="110"/>
      <c r="E2" s="110"/>
      <c r="F2" s="110"/>
      <c r="G2" s="110"/>
      <c r="H2" s="110"/>
      <c r="I2" s="110"/>
      <c r="J2" s="110"/>
    </row>
    <row r="3" spans="3:19" ht="12.75">
      <c r="C3"/>
      <c r="D3" s="39"/>
      <c r="E3" s="39"/>
      <c r="F3" s="39"/>
      <c r="G3" s="39"/>
      <c r="H3" s="39"/>
      <c r="I3" s="39"/>
      <c r="J3" s="39"/>
      <c r="P3" s="8"/>
      <c r="Q3" s="8"/>
      <c r="R3" s="8"/>
      <c r="S3" s="8"/>
    </row>
    <row r="4" spans="1:19" s="111" customFormat="1" ht="11.25">
      <c r="A4" s="129" t="s">
        <v>28</v>
      </c>
      <c r="B4" s="130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</row>
    <row r="5" spans="1:19" s="111" customFormat="1" ht="11.25">
      <c r="A5" s="129" t="s">
        <v>29</v>
      </c>
      <c r="B5" s="130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2:19" s="108" customFormat="1" ht="26.25">
      <c r="B6" s="132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</row>
    <row r="7" spans="2:19" s="113" customFormat="1" ht="21">
      <c r="B7" s="169" t="s">
        <v>0</v>
      </c>
      <c r="C7" s="134"/>
      <c r="D7" s="135"/>
      <c r="E7" s="135"/>
      <c r="F7" s="136"/>
      <c r="G7" s="136"/>
      <c r="H7" s="136"/>
      <c r="I7" s="136"/>
      <c r="J7" s="136"/>
      <c r="K7" s="45"/>
      <c r="L7" s="45"/>
      <c r="M7" s="45"/>
      <c r="N7" s="45"/>
      <c r="O7" s="45"/>
      <c r="P7" s="45"/>
      <c r="Q7" s="45"/>
      <c r="R7" s="45"/>
      <c r="S7" s="45"/>
    </row>
    <row r="8" spans="9:19" ht="12.75"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s="113" customFormat="1" ht="21">
      <c r="B9" s="169" t="s">
        <v>1</v>
      </c>
      <c r="C9" s="134"/>
      <c r="D9" s="135"/>
      <c r="E9" s="135"/>
      <c r="F9" s="135"/>
      <c r="G9" s="135"/>
      <c r="H9" s="135"/>
      <c r="I9" s="136"/>
      <c r="J9" s="136"/>
      <c r="K9" s="45"/>
      <c r="L9" s="45"/>
      <c r="M9" s="45"/>
      <c r="N9" s="45"/>
      <c r="O9" s="45"/>
      <c r="P9" s="45"/>
      <c r="Q9" s="45"/>
      <c r="R9" s="45"/>
      <c r="S9" s="45"/>
    </row>
    <row r="10" spans="4:19" ht="12.75">
      <c r="D10" s="137"/>
      <c r="E10" s="13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s="113" customFormat="1" ht="20.25">
      <c r="B11" s="169" t="s">
        <v>197</v>
      </c>
      <c r="C11" s="85"/>
      <c r="D11" s="40"/>
      <c r="E11" s="40"/>
      <c r="F11" s="135"/>
      <c r="G11" s="135"/>
      <c r="H11" s="135"/>
      <c r="I11" s="136"/>
      <c r="J11" s="136"/>
      <c r="K11" s="45"/>
      <c r="L11" s="45"/>
      <c r="M11" s="45"/>
      <c r="N11" s="45"/>
      <c r="O11" s="45"/>
      <c r="P11" s="45"/>
      <c r="Q11" s="45"/>
      <c r="R11" s="45"/>
      <c r="S11" s="45"/>
    </row>
    <row r="12" spans="4:19" s="138" customFormat="1" ht="16.5" thickBot="1">
      <c r="D12" s="7"/>
      <c r="E12" s="7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2:19" s="138" customFormat="1" ht="16.5" thickTop="1">
      <c r="B13" s="394">
        <v>1</v>
      </c>
      <c r="C13" s="417"/>
      <c r="D13" s="140"/>
      <c r="E13" s="140"/>
      <c r="F13" s="140"/>
      <c r="G13" s="140"/>
      <c r="H13" s="140"/>
      <c r="I13" s="140"/>
      <c r="J13" s="141"/>
      <c r="K13" s="139"/>
      <c r="L13" s="139"/>
      <c r="M13" s="139"/>
      <c r="N13" s="139"/>
      <c r="O13" s="139"/>
      <c r="P13" s="139"/>
      <c r="Q13" s="139"/>
      <c r="R13" s="139"/>
      <c r="S13" s="139"/>
    </row>
    <row r="14" spans="2:19" s="120" customFormat="1" ht="19.5">
      <c r="B14" s="241" t="str">
        <f>CONCATENATE("Desde el 01 al ",DATO!$H$4," de ",DATO!$G$4," de ",DATO!$G$6)</f>
        <v>Desde el 01 al 30 de junio de 2008</v>
      </c>
      <c r="C14" s="142"/>
      <c r="D14" s="143"/>
      <c r="E14" s="144"/>
      <c r="F14" s="144"/>
      <c r="G14" s="144"/>
      <c r="H14" s="144"/>
      <c r="I14" s="116"/>
      <c r="J14" s="119"/>
      <c r="K14" s="47"/>
      <c r="L14" s="47"/>
      <c r="M14" s="47"/>
      <c r="N14" s="47"/>
      <c r="O14" s="47"/>
      <c r="P14" s="47"/>
      <c r="Q14" s="47"/>
      <c r="R14" s="47"/>
      <c r="S14" s="47"/>
    </row>
    <row r="15" spans="2:19" s="120" customFormat="1" ht="19.5">
      <c r="B15" s="145"/>
      <c r="C15" s="146"/>
      <c r="D15" s="146"/>
      <c r="E15" s="47"/>
      <c r="F15" s="147"/>
      <c r="G15" s="147"/>
      <c r="H15" s="147"/>
      <c r="I15" s="47"/>
      <c r="J15" s="148"/>
      <c r="K15" s="47"/>
      <c r="L15" s="47"/>
      <c r="M15" s="47"/>
      <c r="N15" s="47"/>
      <c r="O15" s="47"/>
      <c r="P15" s="47"/>
      <c r="Q15" s="47"/>
      <c r="R15" s="47"/>
      <c r="S15" s="47"/>
    </row>
    <row r="16" spans="2:18" s="120" customFormat="1" ht="19.5">
      <c r="B16" s="241">
        <f>IF(B13=2,"Sanciones duplicadas por tasa de falla &gt; 4 Sal. x año/100km.","")</f>
      </c>
      <c r="C16" s="245"/>
      <c r="D16" s="245"/>
      <c r="E16" s="116"/>
      <c r="F16" s="144"/>
      <c r="G16" s="144"/>
      <c r="H16" s="116"/>
      <c r="I16" s="85"/>
      <c r="J16" s="119"/>
      <c r="K16" s="47"/>
      <c r="L16" s="47"/>
      <c r="M16" s="47"/>
      <c r="N16" s="47"/>
      <c r="O16" s="47"/>
      <c r="P16" s="47"/>
      <c r="Q16" s="47"/>
      <c r="R16" s="47"/>
    </row>
    <row r="17" spans="2:18" s="120" customFormat="1" ht="19.5">
      <c r="B17" s="145"/>
      <c r="C17" s="146"/>
      <c r="D17" s="146"/>
      <c r="E17" s="47"/>
      <c r="F17" s="147"/>
      <c r="G17" s="147"/>
      <c r="H17" s="47"/>
      <c r="I17"/>
      <c r="J17" s="148"/>
      <c r="K17" s="47"/>
      <c r="L17" s="47"/>
      <c r="M17" s="47"/>
      <c r="N17" s="47"/>
      <c r="O17" s="47"/>
      <c r="P17" s="47"/>
      <c r="Q17" s="47"/>
      <c r="R17" s="47"/>
    </row>
    <row r="18" spans="2:19" s="120" customFormat="1" ht="19.5">
      <c r="B18" s="145"/>
      <c r="C18" s="149" t="s">
        <v>30</v>
      </c>
      <c r="D18" s="150" t="s">
        <v>31</v>
      </c>
      <c r="E18" s="47"/>
      <c r="F18" s="147"/>
      <c r="G18" s="147"/>
      <c r="H18" s="147"/>
      <c r="I18" s="46"/>
      <c r="J18" s="148"/>
      <c r="K18" s="47"/>
      <c r="L18" s="47"/>
      <c r="M18" s="47"/>
      <c r="N18" s="47"/>
      <c r="O18" s="47"/>
      <c r="P18" s="47"/>
      <c r="Q18" s="47"/>
      <c r="R18" s="47"/>
      <c r="S18" s="47"/>
    </row>
    <row r="19" spans="2:19" s="120" customFormat="1" ht="19.5">
      <c r="B19" s="145"/>
      <c r="C19"/>
      <c r="D19" s="149" t="s">
        <v>32</v>
      </c>
      <c r="E19" s="150" t="s">
        <v>33</v>
      </c>
      <c r="F19" s="147"/>
      <c r="G19" s="147"/>
      <c r="H19" s="147"/>
      <c r="I19" s="46">
        <f>ROUND('LI-0806'!Y43,2)</f>
        <v>610.95</v>
      </c>
      <c r="J19" s="148"/>
      <c r="K19" s="47"/>
      <c r="L19" s="47"/>
      <c r="M19" s="47"/>
      <c r="N19" s="47"/>
      <c r="O19" s="47"/>
      <c r="P19" s="47"/>
      <c r="Q19" s="47"/>
      <c r="R19" s="47"/>
      <c r="S19" s="47"/>
    </row>
    <row r="20" spans="2:19" s="120" customFormat="1" ht="19.5">
      <c r="B20" s="145"/>
      <c r="C20" s="149"/>
      <c r="D20" s="149" t="s">
        <v>34</v>
      </c>
      <c r="E20" s="150" t="s">
        <v>35</v>
      </c>
      <c r="F20" s="147"/>
      <c r="G20" s="147"/>
      <c r="H20" s="147"/>
      <c r="I20" s="46">
        <f>'LI-0806 (EDERSA)'!Y43</f>
        <v>2748.2</v>
      </c>
      <c r="J20" s="148"/>
      <c r="K20" s="47"/>
      <c r="L20" s="47"/>
      <c r="M20" s="47"/>
      <c r="N20" s="47"/>
      <c r="O20" s="47"/>
      <c r="P20" s="47"/>
      <c r="Q20" s="47"/>
      <c r="R20" s="47"/>
      <c r="S20" s="47"/>
    </row>
    <row r="21" spans="2:19" s="120" customFormat="1" ht="19.5">
      <c r="B21" s="145"/>
      <c r="C21" s="149"/>
      <c r="D21" s="149" t="s">
        <v>36</v>
      </c>
      <c r="E21" s="150" t="s">
        <v>37</v>
      </c>
      <c r="F21" s="147"/>
      <c r="G21" s="147"/>
      <c r="H21" s="147"/>
      <c r="I21" s="46">
        <f>'LI-0806 (SPSE)'!Y43</f>
        <v>12316.84</v>
      </c>
      <c r="J21" s="148"/>
      <c r="K21" s="47"/>
      <c r="L21" s="47"/>
      <c r="M21" s="47"/>
      <c r="N21" s="47"/>
      <c r="O21" s="47"/>
      <c r="P21" s="47"/>
      <c r="Q21" s="47"/>
      <c r="R21" s="47"/>
      <c r="S21" s="47"/>
    </row>
    <row r="22" spans="2:19" ht="13.5">
      <c r="B22" s="44"/>
      <c r="C22" s="151"/>
      <c r="D22" s="152"/>
      <c r="E22" s="8"/>
      <c r="F22" s="153"/>
      <c r="G22" s="153"/>
      <c r="H22" s="153"/>
      <c r="I22" s="154"/>
      <c r="J22" s="11"/>
      <c r="K22" s="8"/>
      <c r="L22" s="8"/>
      <c r="M22" s="8"/>
      <c r="N22" s="8"/>
      <c r="O22" s="8"/>
      <c r="P22" s="8"/>
      <c r="Q22" s="8"/>
      <c r="R22" s="8"/>
      <c r="S22" s="8"/>
    </row>
    <row r="23" spans="2:19" s="120" customFormat="1" ht="19.5">
      <c r="B23" s="145"/>
      <c r="C23" s="149" t="s">
        <v>38</v>
      </c>
      <c r="D23" s="150" t="s">
        <v>39</v>
      </c>
      <c r="E23" s="47"/>
      <c r="F23" s="147"/>
      <c r="G23" s="147"/>
      <c r="H23" s="147"/>
      <c r="I23" s="46"/>
      <c r="J23" s="148"/>
      <c r="K23" s="47"/>
      <c r="L23" s="47"/>
      <c r="M23" s="47"/>
      <c r="N23" s="47"/>
      <c r="O23" s="47"/>
      <c r="P23" s="47"/>
      <c r="Q23" s="47"/>
      <c r="R23" s="47"/>
      <c r="S23" s="47"/>
    </row>
    <row r="24" spans="2:19" ht="8.25" customHeight="1">
      <c r="B24" s="44"/>
      <c r="C24" s="151"/>
      <c r="D24" s="151"/>
      <c r="E24" s="8"/>
      <c r="F24" s="153"/>
      <c r="G24" s="153"/>
      <c r="H24" s="153"/>
      <c r="I24" s="155"/>
      <c r="J24" s="11"/>
      <c r="K24" s="8"/>
      <c r="L24" s="8"/>
      <c r="M24" s="8"/>
      <c r="N24" s="8"/>
      <c r="O24" s="8"/>
      <c r="P24" s="8"/>
      <c r="Q24" s="8"/>
      <c r="R24" s="8"/>
      <c r="S24" s="8"/>
    </row>
    <row r="25" spans="2:19" s="120" customFormat="1" ht="19.5">
      <c r="B25" s="145"/>
      <c r="C25" s="149"/>
      <c r="D25" s="149" t="s">
        <v>40</v>
      </c>
      <c r="E25" s="9" t="s">
        <v>41</v>
      </c>
      <c r="F25" s="147"/>
      <c r="G25" s="147"/>
      <c r="H25" s="147"/>
      <c r="J25" s="148"/>
      <c r="K25" s="47"/>
      <c r="L25" s="47"/>
      <c r="M25" s="47"/>
      <c r="N25" s="47"/>
      <c r="O25" s="47"/>
      <c r="P25" s="47"/>
      <c r="Q25" s="47"/>
      <c r="R25" s="47"/>
      <c r="S25" s="47"/>
    </row>
    <row r="26" spans="2:19" s="120" customFormat="1" ht="19.5">
      <c r="B26" s="145"/>
      <c r="C26" s="149"/>
      <c r="D26" s="149"/>
      <c r="E26" s="149" t="s">
        <v>42</v>
      </c>
      <c r="F26" s="150" t="s">
        <v>33</v>
      </c>
      <c r="G26" s="147"/>
      <c r="H26" s="147"/>
      <c r="I26" s="46">
        <f>ROUND('TR-0806'!AA45,2)</f>
        <v>16.85</v>
      </c>
      <c r="J26" s="148"/>
      <c r="K26" s="47"/>
      <c r="L26" s="47"/>
      <c r="M26" s="47"/>
      <c r="N26" s="47"/>
      <c r="O26" s="47"/>
      <c r="P26" s="47"/>
      <c r="Q26" s="47"/>
      <c r="R26" s="47"/>
      <c r="S26" s="47"/>
    </row>
    <row r="27" spans="2:19" s="120" customFormat="1" ht="19.5">
      <c r="B27" s="145"/>
      <c r="C27" s="149"/>
      <c r="D27" s="149"/>
      <c r="E27" s="149" t="s">
        <v>43</v>
      </c>
      <c r="F27" s="150" t="s">
        <v>35</v>
      </c>
      <c r="G27" s="147"/>
      <c r="H27" s="147"/>
      <c r="I27" s="46">
        <f>'TR-0806 (EDERSA)'!AA45</f>
        <v>5.85</v>
      </c>
      <c r="J27" s="148"/>
      <c r="K27" s="47"/>
      <c r="L27" s="47"/>
      <c r="M27" s="47"/>
      <c r="N27" s="47"/>
      <c r="O27" s="47"/>
      <c r="P27" s="47"/>
      <c r="Q27" s="47"/>
      <c r="R27" s="47"/>
      <c r="S27" s="47"/>
    </row>
    <row r="28" spans="2:19" ht="13.5">
      <c r="B28" s="44"/>
      <c r="C28" s="151"/>
      <c r="D28" s="151"/>
      <c r="E28" s="8"/>
      <c r="F28" s="153"/>
      <c r="G28" s="153"/>
      <c r="H28" s="153"/>
      <c r="I28" s="155"/>
      <c r="J28" s="11"/>
      <c r="K28" s="8"/>
      <c r="L28" s="8"/>
      <c r="M28" s="8"/>
      <c r="N28" s="8"/>
      <c r="O28" s="8"/>
      <c r="P28" s="8"/>
      <c r="Q28" s="8"/>
      <c r="R28" s="8"/>
      <c r="S28" s="8"/>
    </row>
    <row r="29" spans="2:19" s="120" customFormat="1" ht="19.5">
      <c r="B29" s="145"/>
      <c r="C29" s="149"/>
      <c r="D29" s="149" t="s">
        <v>44</v>
      </c>
      <c r="E29" s="9" t="s">
        <v>45</v>
      </c>
      <c r="F29" s="147"/>
      <c r="G29" s="147"/>
      <c r="H29" s="147"/>
      <c r="I29" s="46"/>
      <c r="J29" s="148"/>
      <c r="K29" s="47"/>
      <c r="L29" s="47"/>
      <c r="M29" s="47"/>
      <c r="N29" s="47"/>
      <c r="O29" s="47"/>
      <c r="P29" s="47"/>
      <c r="Q29" s="47"/>
      <c r="R29" s="47"/>
      <c r="S29" s="47"/>
    </row>
    <row r="30" spans="2:19" s="120" customFormat="1" ht="19.5">
      <c r="B30" s="145"/>
      <c r="C30" s="149"/>
      <c r="D30" s="149"/>
      <c r="E30" s="149" t="s">
        <v>46</v>
      </c>
      <c r="F30" s="150" t="s">
        <v>33</v>
      </c>
      <c r="G30" s="147"/>
      <c r="H30" s="147"/>
      <c r="I30" s="46">
        <f>'SA-0806'!T45</f>
        <v>90.62</v>
      </c>
      <c r="J30" s="148"/>
      <c r="K30" s="47"/>
      <c r="L30" s="47"/>
      <c r="M30" s="47"/>
      <c r="N30" s="47"/>
      <c r="O30" s="47"/>
      <c r="P30" s="47"/>
      <c r="Q30" s="47"/>
      <c r="R30" s="47"/>
      <c r="S30" s="47"/>
    </row>
    <row r="31" spans="2:19" s="120" customFormat="1" ht="19.5">
      <c r="B31" s="145"/>
      <c r="C31" s="149"/>
      <c r="D31" s="149"/>
      <c r="E31" s="149" t="s">
        <v>47</v>
      </c>
      <c r="F31" s="150" t="s">
        <v>35</v>
      </c>
      <c r="G31" s="147"/>
      <c r="H31" s="147"/>
      <c r="I31" s="46">
        <f>'SA-0806 (EDERSA)'!T45</f>
        <v>0.41328</v>
      </c>
      <c r="J31" s="148"/>
      <c r="K31" s="47"/>
      <c r="L31" s="47"/>
      <c r="M31" s="47"/>
      <c r="N31" s="47"/>
      <c r="O31" s="47"/>
      <c r="P31" s="47"/>
      <c r="Q31" s="47"/>
      <c r="R31" s="47"/>
      <c r="S31" s="47"/>
    </row>
    <row r="32" spans="2:19" ht="13.5">
      <c r="B32" s="44"/>
      <c r="C32" s="151"/>
      <c r="D32" s="152"/>
      <c r="E32" s="8"/>
      <c r="F32" s="153"/>
      <c r="G32" s="153"/>
      <c r="H32" s="153"/>
      <c r="I32" s="154"/>
      <c r="J32" s="11"/>
      <c r="K32" s="8"/>
      <c r="L32" s="8"/>
      <c r="M32" s="8"/>
      <c r="N32" s="8"/>
      <c r="O32" s="8"/>
      <c r="P32" s="8"/>
      <c r="Q32" s="8"/>
      <c r="R32" s="8"/>
      <c r="S32" s="8"/>
    </row>
    <row r="33" spans="2:19" s="120" customFormat="1" ht="19.5">
      <c r="B33" s="145"/>
      <c r="C33" s="149" t="s">
        <v>48</v>
      </c>
      <c r="D33" s="150" t="s">
        <v>49</v>
      </c>
      <c r="E33" s="47"/>
      <c r="F33" s="147"/>
      <c r="G33" s="147"/>
      <c r="H33" s="147"/>
      <c r="I33" s="46">
        <v>0</v>
      </c>
      <c r="J33" s="148"/>
      <c r="K33" s="47"/>
      <c r="L33" s="47"/>
      <c r="M33" s="47"/>
      <c r="N33" s="47"/>
      <c r="O33" s="47"/>
      <c r="P33" s="47"/>
      <c r="Q33" s="47"/>
      <c r="R33" s="47"/>
      <c r="S33" s="47"/>
    </row>
    <row r="34" spans="2:19" s="120" customFormat="1" ht="19.5">
      <c r="B34" s="145"/>
      <c r="C34" s="149"/>
      <c r="D34" s="150"/>
      <c r="E34" s="47"/>
      <c r="F34" s="147"/>
      <c r="G34" s="147"/>
      <c r="H34" s="147"/>
      <c r="I34" s="46"/>
      <c r="J34" s="148"/>
      <c r="K34" s="47"/>
      <c r="L34" s="47"/>
      <c r="M34" s="47"/>
      <c r="N34" s="47"/>
      <c r="O34" s="47"/>
      <c r="P34" s="47"/>
      <c r="Q34" s="47"/>
      <c r="R34" s="47"/>
      <c r="S34" s="47"/>
    </row>
    <row r="35" spans="2:19" s="120" customFormat="1" ht="19.5">
      <c r="B35" s="145"/>
      <c r="C35" s="149" t="s">
        <v>50</v>
      </c>
      <c r="D35" s="9" t="s">
        <v>51</v>
      </c>
      <c r="E35" s="147"/>
      <c r="F35"/>
      <c r="G35" s="147"/>
      <c r="H35" s="147"/>
      <c r="I35" s="46"/>
      <c r="J35" s="148"/>
      <c r="K35" s="47"/>
      <c r="L35" s="47"/>
      <c r="M35" s="47"/>
      <c r="N35" s="47"/>
      <c r="O35" s="47"/>
      <c r="P35" s="47"/>
      <c r="Q35" s="47"/>
      <c r="R35" s="47"/>
      <c r="S35" s="47"/>
    </row>
    <row r="36" spans="2:19" s="120" customFormat="1" ht="19.5">
      <c r="B36" s="145"/>
      <c r="C36" s="149"/>
      <c r="D36" s="149" t="s">
        <v>52</v>
      </c>
      <c r="E36" s="150" t="s">
        <v>35</v>
      </c>
      <c r="F36"/>
      <c r="G36" s="147"/>
      <c r="H36" s="147"/>
      <c r="I36" s="46">
        <f>'SUP-EDERSA'!I59</f>
        <v>697.6121931802433</v>
      </c>
      <c r="J36" s="148"/>
      <c r="K36" s="47"/>
      <c r="L36" s="47"/>
      <c r="M36" s="47"/>
      <c r="N36" s="47"/>
      <c r="O36" s="47"/>
      <c r="P36" s="47"/>
      <c r="Q36" s="47"/>
      <c r="R36" s="47"/>
      <c r="S36" s="47"/>
    </row>
    <row r="37" spans="2:19" s="120" customFormat="1" ht="19.5">
      <c r="B37" s="145"/>
      <c r="C37" s="149"/>
      <c r="D37" s="149" t="s">
        <v>53</v>
      </c>
      <c r="E37" s="150" t="s">
        <v>37</v>
      </c>
      <c r="F37"/>
      <c r="G37" s="147"/>
      <c r="H37" s="147"/>
      <c r="I37" s="46">
        <f>'SUP-SPSE'!I54</f>
        <v>3084.43702448522</v>
      </c>
      <c r="J37" s="148"/>
      <c r="K37" s="47"/>
      <c r="L37" s="47"/>
      <c r="M37" s="47"/>
      <c r="N37" s="47"/>
      <c r="O37" s="47"/>
      <c r="P37" s="47"/>
      <c r="Q37" s="47"/>
      <c r="R37" s="47"/>
      <c r="S37" s="47"/>
    </row>
    <row r="38" spans="2:19" s="120" customFormat="1" ht="20.25" thickBot="1">
      <c r="B38" s="145"/>
      <c r="C38" s="146"/>
      <c r="D38" s="146"/>
      <c r="E38" s="47"/>
      <c r="F38" s="147"/>
      <c r="G38" s="147"/>
      <c r="H38" s="147"/>
      <c r="I38" s="47"/>
      <c r="J38" s="148"/>
      <c r="K38" s="47"/>
      <c r="L38" s="47"/>
      <c r="M38" s="47"/>
      <c r="N38" s="47"/>
      <c r="O38" s="47"/>
      <c r="P38" s="47"/>
      <c r="Q38" s="47"/>
      <c r="R38" s="47"/>
      <c r="S38" s="47"/>
    </row>
    <row r="39" spans="2:19" s="120" customFormat="1" ht="20.25" thickBot="1" thickTop="1">
      <c r="B39" s="145"/>
      <c r="C39" s="149"/>
      <c r="D39" s="149"/>
      <c r="F39" s="156" t="s">
        <v>54</v>
      </c>
      <c r="G39" s="157">
        <f>SUM(I18:I42)</f>
        <v>19571.772497665464</v>
      </c>
      <c r="H39" s="244"/>
      <c r="J39" s="148"/>
      <c r="K39" s="47"/>
      <c r="L39" s="47"/>
      <c r="M39" s="47"/>
      <c r="N39" s="47"/>
      <c r="O39" s="47"/>
      <c r="P39" s="47"/>
      <c r="Q39" s="47"/>
      <c r="R39" s="47"/>
      <c r="S39" s="47"/>
    </row>
    <row r="40" spans="2:19" s="120" customFormat="1" ht="8.25" customHeight="1" thickTop="1">
      <c r="B40" s="145"/>
      <c r="C40" s="149"/>
      <c r="D40" s="149"/>
      <c r="F40" s="706"/>
      <c r="G40" s="244"/>
      <c r="H40" s="244"/>
      <c r="J40" s="148"/>
      <c r="K40" s="47"/>
      <c r="L40" s="47"/>
      <c r="M40" s="47"/>
      <c r="N40" s="47"/>
      <c r="O40" s="47"/>
      <c r="P40" s="47"/>
      <c r="Q40" s="47"/>
      <c r="R40" s="47"/>
      <c r="S40" s="47"/>
    </row>
    <row r="41" spans="2:19" s="120" customFormat="1" ht="18.75">
      <c r="B41" s="145"/>
      <c r="C41" s="707" t="s">
        <v>196</v>
      </c>
      <c r="D41" s="149"/>
      <c r="F41" s="706"/>
      <c r="G41" s="244"/>
      <c r="H41" s="244"/>
      <c r="J41" s="148"/>
      <c r="K41" s="47"/>
      <c r="L41" s="47"/>
      <c r="M41" s="47"/>
      <c r="N41" s="47"/>
      <c r="O41" s="47"/>
      <c r="P41" s="47"/>
      <c r="Q41" s="47"/>
      <c r="R41" s="47"/>
      <c r="S41" s="47"/>
    </row>
    <row r="42" spans="2:19" s="138" customFormat="1" ht="6.75" customHeight="1" thickBot="1">
      <c r="B42" s="158"/>
      <c r="C42" s="159"/>
      <c r="D42" s="159"/>
      <c r="E42" s="160"/>
      <c r="F42" s="160"/>
      <c r="G42" s="160"/>
      <c r="H42" s="160"/>
      <c r="I42" s="160"/>
      <c r="J42" s="161"/>
      <c r="K42" s="139"/>
      <c r="L42" s="139"/>
      <c r="M42" s="84"/>
      <c r="N42" s="162"/>
      <c r="O42" s="162"/>
      <c r="P42" s="163"/>
      <c r="Q42" s="164"/>
      <c r="R42" s="139"/>
      <c r="S42" s="139"/>
    </row>
    <row r="43" spans="4:19" ht="13.5" thickTop="1">
      <c r="D43" s="8"/>
      <c r="F43" s="8"/>
      <c r="G43" s="8"/>
      <c r="H43" s="8"/>
      <c r="I43" s="8"/>
      <c r="J43" s="8"/>
      <c r="K43" s="8"/>
      <c r="L43" s="8"/>
      <c r="M43" s="30"/>
      <c r="N43" s="165"/>
      <c r="O43" s="165"/>
      <c r="P43" s="8"/>
      <c r="Q43" s="36"/>
      <c r="R43" s="8"/>
      <c r="S43" s="8"/>
    </row>
    <row r="44" spans="4:19" ht="12.75">
      <c r="D44" s="8"/>
      <c r="F44" s="8"/>
      <c r="G44" s="8"/>
      <c r="H44" s="8"/>
      <c r="I44" s="8"/>
      <c r="J44" s="8"/>
      <c r="K44" s="8"/>
      <c r="L44" s="8"/>
      <c r="M44" s="8"/>
      <c r="N44" s="166"/>
      <c r="O44" s="166"/>
      <c r="P44" s="167"/>
      <c r="Q44" s="36"/>
      <c r="R44" s="8"/>
      <c r="S44" s="8"/>
    </row>
    <row r="45" spans="4:19" ht="12.75">
      <c r="D45" s="8"/>
      <c r="E45" s="8"/>
      <c r="F45" s="8"/>
      <c r="G45" s="8"/>
      <c r="H45" s="8"/>
      <c r="I45" s="8"/>
      <c r="J45" s="8"/>
      <c r="K45" s="8"/>
      <c r="L45" s="8"/>
      <c r="M45" s="8"/>
      <c r="N45" s="166"/>
      <c r="O45" s="166"/>
      <c r="P45" s="167"/>
      <c r="Q45" s="36"/>
      <c r="R45" s="8"/>
      <c r="S45" s="8"/>
    </row>
    <row r="46" spans="4:19" ht="12.75">
      <c r="D46" s="8"/>
      <c r="E46" s="8"/>
      <c r="L46" s="8"/>
      <c r="M46" s="8"/>
      <c r="N46" s="8"/>
      <c r="O46" s="8"/>
      <c r="P46" s="8"/>
      <c r="Q46" s="8"/>
      <c r="R46" s="8"/>
      <c r="S46" s="8"/>
    </row>
    <row r="47" spans="4:19" ht="12.75">
      <c r="D47" s="8"/>
      <c r="E47" s="8"/>
      <c r="P47" s="8"/>
      <c r="Q47" s="8"/>
      <c r="R47" s="8"/>
      <c r="S47" s="8"/>
    </row>
    <row r="48" spans="4:19" ht="12.75">
      <c r="D48" s="8"/>
      <c r="E48" s="8"/>
      <c r="P48" s="8"/>
      <c r="Q48" s="8"/>
      <c r="R48" s="8"/>
      <c r="S48" s="8"/>
    </row>
    <row r="49" spans="4:19" ht="12.75">
      <c r="D49" s="8"/>
      <c r="E49" s="8"/>
      <c r="P49" s="8"/>
      <c r="Q49" s="8"/>
      <c r="R49" s="8"/>
      <c r="S49" s="8"/>
    </row>
    <row r="50" spans="4:19" ht="12.75">
      <c r="D50" s="8"/>
      <c r="E50" s="8"/>
      <c r="P50" s="8"/>
      <c r="Q50" s="8"/>
      <c r="R50" s="8"/>
      <c r="S50" s="8"/>
    </row>
    <row r="51" spans="4:19" ht="12.75">
      <c r="D51" s="8"/>
      <c r="E51" s="8"/>
      <c r="P51" s="8"/>
      <c r="Q51" s="8"/>
      <c r="R51" s="8"/>
      <c r="S51" s="8"/>
    </row>
    <row r="52" spans="16:19" ht="12.75">
      <c r="P52" s="8"/>
      <c r="Q52" s="8"/>
      <c r="R52" s="8"/>
      <c r="S52" s="8"/>
    </row>
    <row r="53" spans="16:19" ht="12.75">
      <c r="P53" s="8"/>
      <c r="Q53" s="8"/>
      <c r="R53" s="8"/>
      <c r="S53" s="8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S107"/>
  <sheetViews>
    <sheetView zoomScale="65" zoomScaleNormal="65" workbookViewId="0" topLeftCell="B1">
      <selection activeCell="B12" sqref="B12"/>
    </sheetView>
  </sheetViews>
  <sheetFormatPr defaultColWidth="13.421875" defaultRowHeight="12.75"/>
  <cols>
    <col min="1" max="1" width="31.00390625" style="0" customWidth="1"/>
    <col min="2" max="2" width="15.7109375" style="0" customWidth="1"/>
    <col min="3" max="3" width="4.7109375" style="0" customWidth="1"/>
    <col min="4" max="4" width="41.7109375" style="0" customWidth="1"/>
    <col min="5" max="5" width="11.00390625" style="0" customWidth="1"/>
    <col min="6" max="6" width="13.28125" style="0" customWidth="1"/>
    <col min="7" max="7" width="6.7109375" style="0" customWidth="1"/>
    <col min="8" max="9" width="20.7109375" style="0" customWidth="1"/>
    <col min="10" max="10" width="13.8515625" style="0" customWidth="1"/>
    <col min="11" max="11" width="9.57421875" style="0" customWidth="1"/>
    <col min="12" max="12" width="33.28125" style="0" customWidth="1"/>
    <col min="13" max="13" width="7.28125" style="0" customWidth="1"/>
    <col min="14" max="14" width="9.28125" style="0" customWidth="1"/>
    <col min="15" max="15" width="9.8515625" style="0" customWidth="1"/>
    <col min="16" max="16" width="19.00390625" style="0" customWidth="1"/>
  </cols>
  <sheetData>
    <row r="1" s="108" customFormat="1" ht="39.75" customHeight="1">
      <c r="P1" s="421"/>
    </row>
    <row r="2" spans="2:16" s="108" customFormat="1" ht="26.25">
      <c r="B2" s="109" t="str">
        <f>+'TOT-0806'!B2</f>
        <v>ANEXO VI al Memorándum D.T.E.E. N°  452  /2010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2" s="111" customFormat="1" ht="11.25">
      <c r="A3" s="127" t="s">
        <v>28</v>
      </c>
      <c r="B3" s="422"/>
    </row>
    <row r="4" spans="1:2" s="111" customFormat="1" ht="11.25">
      <c r="A4" s="127" t="s">
        <v>29</v>
      </c>
      <c r="B4" s="422"/>
    </row>
    <row r="5" s="10" customFormat="1" ht="13.5" thickBot="1"/>
    <row r="6" spans="1:16" s="10" customFormat="1" ht="13.5" thickTop="1">
      <c r="A6" s="8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s="113" customFormat="1" ht="20.25">
      <c r="A7" s="45"/>
      <c r="B7" s="112"/>
      <c r="C7" s="45"/>
      <c r="D7" s="21" t="s">
        <v>55</v>
      </c>
      <c r="G7" s="45"/>
      <c r="H7" s="45"/>
      <c r="I7" s="45"/>
      <c r="J7" s="45"/>
      <c r="K7" s="45"/>
      <c r="L7" s="45"/>
      <c r="M7" s="45"/>
      <c r="N7" s="45"/>
      <c r="O7" s="45"/>
      <c r="P7" s="114"/>
    </row>
    <row r="8" spans="1:16" ht="15">
      <c r="A8" s="1"/>
      <c r="B8" s="284"/>
      <c r="C8" s="73"/>
      <c r="D8" s="423"/>
      <c r="E8" s="73"/>
      <c r="F8" s="71"/>
      <c r="G8" s="73"/>
      <c r="H8" s="73"/>
      <c r="I8" s="73"/>
      <c r="J8" s="73"/>
      <c r="K8" s="73"/>
      <c r="L8" s="73"/>
      <c r="M8" s="73"/>
      <c r="N8" s="73"/>
      <c r="O8" s="73"/>
      <c r="P8" s="288"/>
    </row>
    <row r="9" spans="1:19" s="113" customFormat="1" ht="20.25">
      <c r="A9" s="45"/>
      <c r="B9" s="424"/>
      <c r="C9"/>
      <c r="D9" s="22" t="s">
        <v>173</v>
      </c>
      <c r="E9" s="425"/>
      <c r="F9" s="425"/>
      <c r="G9" s="425"/>
      <c r="H9" s="426"/>
      <c r="I9" s="425"/>
      <c r="J9" s="425"/>
      <c r="K9" s="425"/>
      <c r="L9" s="425"/>
      <c r="M9" s="425"/>
      <c r="N9" s="425"/>
      <c r="O9" s="425"/>
      <c r="P9" s="427"/>
      <c r="Q9" s="238"/>
      <c r="R9" s="178"/>
      <c r="S9" s="178"/>
    </row>
    <row r="10" spans="1:19" s="10" customFormat="1" ht="12.75">
      <c r="A10" s="8"/>
      <c r="B10" s="44"/>
      <c r="C10" s="8"/>
      <c r="D10" s="67"/>
      <c r="E10" s="30"/>
      <c r="F10" s="30"/>
      <c r="G10" s="30"/>
      <c r="H10" s="170"/>
      <c r="I10" s="30"/>
      <c r="J10" s="30"/>
      <c r="K10" s="30"/>
      <c r="L10" s="30"/>
      <c r="M10" s="30"/>
      <c r="N10" s="30"/>
      <c r="O10" s="30"/>
      <c r="P10" s="38"/>
      <c r="Q10" s="30"/>
      <c r="R10" s="30"/>
      <c r="S10" s="177"/>
    </row>
    <row r="11" spans="1:19" s="120" customFormat="1" ht="19.5">
      <c r="A11" s="47"/>
      <c r="B11" s="241" t="str">
        <f>+'TOT-0806'!B14</f>
        <v>Desde el 01 al 30 de junio de 2008</v>
      </c>
      <c r="C11" s="144"/>
      <c r="D11" s="199"/>
      <c r="E11" s="199"/>
      <c r="F11" s="199"/>
      <c r="G11" s="199"/>
      <c r="H11" s="199"/>
      <c r="I11" s="144"/>
      <c r="J11" s="199"/>
      <c r="K11" s="199"/>
      <c r="L11" s="199"/>
      <c r="M11" s="199"/>
      <c r="N11" s="199"/>
      <c r="O11" s="199"/>
      <c r="P11" s="428"/>
      <c r="Q11" s="429"/>
      <c r="R11" s="429"/>
      <c r="S11" s="429"/>
    </row>
    <row r="12" spans="1:19" ht="15">
      <c r="A12" s="1"/>
      <c r="B12" s="284"/>
      <c r="C12" s="73"/>
      <c r="D12" s="69"/>
      <c r="E12" s="69"/>
      <c r="F12" s="69"/>
      <c r="G12" s="69"/>
      <c r="H12" s="430"/>
      <c r="I12" s="73"/>
      <c r="J12" s="69"/>
      <c r="K12" s="69"/>
      <c r="L12" s="69"/>
      <c r="M12" s="69"/>
      <c r="N12" s="69"/>
      <c r="O12" s="69"/>
      <c r="P12" s="70"/>
      <c r="Q12" s="4"/>
      <c r="R12" s="4"/>
      <c r="S12" s="431"/>
    </row>
    <row r="13" spans="1:19" ht="18" customHeight="1">
      <c r="A13" s="1"/>
      <c r="B13" s="284"/>
      <c r="C13" s="73"/>
      <c r="D13" s="69"/>
      <c r="E13" s="69"/>
      <c r="F13" s="69"/>
      <c r="G13" s="69"/>
      <c r="H13" s="81"/>
      <c r="I13" s="81"/>
      <c r="J13" s="69"/>
      <c r="K13" s="69"/>
      <c r="P13" s="70"/>
      <c r="Q13" s="4"/>
      <c r="R13" s="4"/>
      <c r="S13" s="431"/>
    </row>
    <row r="14" spans="1:19" ht="18" customHeight="1">
      <c r="A14" s="1"/>
      <c r="B14" s="284"/>
      <c r="C14" s="73"/>
      <c r="D14" s="68"/>
      <c r="E14" s="432"/>
      <c r="F14" s="69"/>
      <c r="G14" s="69"/>
      <c r="H14" s="81"/>
      <c r="I14" s="81"/>
      <c r="J14" s="69"/>
      <c r="K14" s="69"/>
      <c r="P14" s="70"/>
      <c r="Q14" s="4"/>
      <c r="R14" s="4"/>
      <c r="S14" s="431"/>
    </row>
    <row r="15" spans="1:16" ht="16.5" thickBot="1">
      <c r="A15" s="1"/>
      <c r="B15" s="284"/>
      <c r="C15" s="433" t="s">
        <v>105</v>
      </c>
      <c r="D15" s="71"/>
      <c r="E15" s="285"/>
      <c r="F15" s="286"/>
      <c r="G15" s="73"/>
      <c r="H15" s="73"/>
      <c r="I15" s="73"/>
      <c r="J15" s="72"/>
      <c r="K15" s="72"/>
      <c r="L15" s="287"/>
      <c r="M15" s="73"/>
      <c r="N15" s="73"/>
      <c r="O15" s="73"/>
      <c r="P15" s="288"/>
    </row>
    <row r="16" spans="1:16" ht="16.5" thickBot="1">
      <c r="A16" s="1"/>
      <c r="B16" s="284"/>
      <c r="C16" s="289"/>
      <c r="D16" s="71"/>
      <c r="E16" s="285"/>
      <c r="F16" s="286"/>
      <c r="G16" s="73"/>
      <c r="H16" s="73"/>
      <c r="L16" s="434" t="s">
        <v>100</v>
      </c>
      <c r="M16" s="435">
        <v>3.03</v>
      </c>
      <c r="N16" s="436"/>
      <c r="O16" s="73"/>
      <c r="P16" s="288"/>
    </row>
    <row r="17" spans="1:16" ht="15.75">
      <c r="A17" s="1"/>
      <c r="B17" s="284"/>
      <c r="C17" s="289"/>
      <c r="D17" s="72" t="s">
        <v>106</v>
      </c>
      <c r="E17" s="290">
        <f>MID(B11,16,2)*24</f>
        <v>720</v>
      </c>
      <c r="F17" s="73" t="s">
        <v>107</v>
      </c>
      <c r="G17" s="69"/>
      <c r="H17" s="437"/>
      <c r="I17" s="438" t="s">
        <v>108</v>
      </c>
      <c r="J17" s="439">
        <v>65.168</v>
      </c>
      <c r="K17" s="416"/>
      <c r="L17" s="440" t="s">
        <v>101</v>
      </c>
      <c r="M17" s="441">
        <v>2.274</v>
      </c>
      <c r="N17" s="442"/>
      <c r="O17" s="73"/>
      <c r="P17" s="288"/>
    </row>
    <row r="18" spans="1:16" ht="16.5" thickBot="1">
      <c r="A18" s="1"/>
      <c r="B18" s="284"/>
      <c r="C18" s="289"/>
      <c r="D18" s="72" t="s">
        <v>109</v>
      </c>
      <c r="E18" s="292">
        <v>0.025</v>
      </c>
      <c r="F18" s="69"/>
      <c r="G18" s="69"/>
      <c r="H18" s="443"/>
      <c r="I18" s="444" t="s">
        <v>110</v>
      </c>
      <c r="J18" s="445">
        <v>0.227</v>
      </c>
      <c r="K18" s="446"/>
      <c r="L18" s="447" t="s">
        <v>102</v>
      </c>
      <c r="M18" s="448">
        <v>2.274</v>
      </c>
      <c r="N18" s="449"/>
      <c r="O18" s="73"/>
      <c r="P18" s="288"/>
    </row>
    <row r="19" spans="1:16" ht="15.75">
      <c r="A19" s="1"/>
      <c r="B19" s="284"/>
      <c r="C19" s="289"/>
      <c r="D19" s="72"/>
      <c r="E19" s="292"/>
      <c r="F19" s="69"/>
      <c r="G19" s="69"/>
      <c r="H19" s="69"/>
      <c r="I19" s="69"/>
      <c r="L19" s="287"/>
      <c r="M19" s="73"/>
      <c r="N19" s="73"/>
      <c r="O19" s="73"/>
      <c r="P19" s="288"/>
    </row>
    <row r="20" spans="1:16" ht="15">
      <c r="A20" s="1"/>
      <c r="B20" s="284"/>
      <c r="C20" s="68" t="s">
        <v>111</v>
      </c>
      <c r="D20" s="76"/>
      <c r="E20" s="285"/>
      <c r="F20" s="286"/>
      <c r="G20" s="73"/>
      <c r="H20" s="73"/>
      <c r="I20" s="73"/>
      <c r="J20" s="72"/>
      <c r="K20" s="72"/>
      <c r="L20" s="287"/>
      <c r="M20" s="73"/>
      <c r="N20" s="73"/>
      <c r="O20" s="73"/>
      <c r="P20" s="288"/>
    </row>
    <row r="21" spans="1:16" ht="15">
      <c r="A21" s="1"/>
      <c r="B21" s="284"/>
      <c r="C21" s="73"/>
      <c r="D21" s="73"/>
      <c r="E21" s="73"/>
      <c r="F21" s="73"/>
      <c r="G21" s="73"/>
      <c r="H21" s="293"/>
      <c r="I21" s="73"/>
      <c r="J21" s="73"/>
      <c r="K21" s="73"/>
      <c r="L21" s="73"/>
      <c r="M21" s="73"/>
      <c r="N21" s="73"/>
      <c r="O21" s="73"/>
      <c r="P21" s="288"/>
    </row>
    <row r="22" spans="1:16" ht="15">
      <c r="A22" s="1"/>
      <c r="B22" s="284"/>
      <c r="C22" s="73"/>
      <c r="D22" s="72" t="s">
        <v>112</v>
      </c>
      <c r="E22" s="73"/>
      <c r="F22" s="293" t="s">
        <v>31</v>
      </c>
      <c r="G22" s="73"/>
      <c r="H22" s="71"/>
      <c r="I22" s="450">
        <f>+'LI-0806 (SPSE)'!AB43</f>
        <v>16262.413728</v>
      </c>
      <c r="J22" s="73"/>
      <c r="K22" s="73"/>
      <c r="L22" s="451"/>
      <c r="M22" s="73"/>
      <c r="N22" s="73"/>
      <c r="O22" s="73"/>
      <c r="P22" s="288"/>
    </row>
    <row r="23" spans="1:16" ht="15">
      <c r="A23" s="1"/>
      <c r="B23" s="284"/>
      <c r="C23" s="73"/>
      <c r="D23" s="73"/>
      <c r="E23" s="73"/>
      <c r="F23" s="293" t="s">
        <v>113</v>
      </c>
      <c r="G23" s="73"/>
      <c r="H23" s="71"/>
      <c r="I23" s="450">
        <v>0</v>
      </c>
      <c r="J23" s="73"/>
      <c r="K23" s="73"/>
      <c r="L23" s="451"/>
      <c r="M23" s="73"/>
      <c r="N23" s="73"/>
      <c r="O23" s="73"/>
      <c r="P23" s="288"/>
    </row>
    <row r="24" spans="1:16" ht="15">
      <c r="A24" s="1"/>
      <c r="B24" s="284"/>
      <c r="C24" s="73"/>
      <c r="D24" s="73"/>
      <c r="E24" s="73"/>
      <c r="F24" s="293" t="s">
        <v>3</v>
      </c>
      <c r="G24" s="73"/>
      <c r="H24" s="71"/>
      <c r="I24" s="452">
        <v>0</v>
      </c>
      <c r="J24" s="73"/>
      <c r="K24" s="73"/>
      <c r="L24" s="451"/>
      <c r="M24" s="73"/>
      <c r="N24" s="73"/>
      <c r="O24" s="73"/>
      <c r="P24" s="288"/>
    </row>
    <row r="25" spans="1:16" ht="15.75" thickBot="1">
      <c r="A25" s="1"/>
      <c r="B25" s="284"/>
      <c r="C25" s="73"/>
      <c r="D25" s="73"/>
      <c r="E25" s="73"/>
      <c r="F25" s="73"/>
      <c r="G25" s="73"/>
      <c r="H25" s="293"/>
      <c r="I25" s="73"/>
      <c r="J25" s="73"/>
      <c r="K25" s="73"/>
      <c r="L25" s="73"/>
      <c r="M25" s="73"/>
      <c r="N25" s="73"/>
      <c r="O25" s="73"/>
      <c r="P25" s="288"/>
    </row>
    <row r="26" spans="2:16" ht="20.25" thickBot="1" thickTop="1">
      <c r="B26" s="284"/>
      <c r="C26" s="80"/>
      <c r="H26" s="453" t="s">
        <v>114</v>
      </c>
      <c r="I26" s="157">
        <f>SUM(I22:I25)</f>
        <v>16262.413728</v>
      </c>
      <c r="L26" s="77"/>
      <c r="M26" s="77"/>
      <c r="N26" s="78"/>
      <c r="O26" s="79"/>
      <c r="P26" s="294"/>
    </row>
    <row r="27" spans="2:16" ht="15.75" thickTop="1">
      <c r="B27" s="284"/>
      <c r="C27" s="80"/>
      <c r="D27" s="76"/>
      <c r="E27" s="76"/>
      <c r="F27" s="82"/>
      <c r="G27" s="77"/>
      <c r="H27" s="77"/>
      <c r="I27" s="77"/>
      <c r="J27" s="77"/>
      <c r="K27" s="77"/>
      <c r="L27" s="77"/>
      <c r="M27" s="77"/>
      <c r="N27" s="78"/>
      <c r="O27" s="79"/>
      <c r="P27" s="294"/>
    </row>
    <row r="28" spans="2:16" ht="15">
      <c r="B28" s="284"/>
      <c r="C28" s="68" t="s">
        <v>115</v>
      </c>
      <c r="D28" s="76"/>
      <c r="E28" s="76"/>
      <c r="F28" s="82"/>
      <c r="G28" s="77"/>
      <c r="H28" s="77"/>
      <c r="I28" s="77"/>
      <c r="J28" s="77"/>
      <c r="K28" s="77"/>
      <c r="L28" s="77"/>
      <c r="M28" s="77"/>
      <c r="N28" s="78"/>
      <c r="O28" s="79"/>
      <c r="P28" s="294"/>
    </row>
    <row r="29" spans="2:16" ht="15">
      <c r="B29" s="284"/>
      <c r="C29" s="80"/>
      <c r="D29" s="76"/>
      <c r="E29" s="76"/>
      <c r="F29" s="82"/>
      <c r="G29" s="77"/>
      <c r="H29" s="77"/>
      <c r="I29" s="77"/>
      <c r="J29" s="77"/>
      <c r="K29" s="77"/>
      <c r="L29" s="77"/>
      <c r="M29" s="77"/>
      <c r="N29" s="78"/>
      <c r="O29" s="79"/>
      <c r="P29" s="294"/>
    </row>
    <row r="30" spans="2:16" ht="15.75">
      <c r="B30" s="284"/>
      <c r="C30" s="80"/>
      <c r="D30" s="454" t="s">
        <v>116</v>
      </c>
      <c r="E30" s="455" t="s">
        <v>27</v>
      </c>
      <c r="F30" s="456" t="s">
        <v>117</v>
      </c>
      <c r="G30" s="457"/>
      <c r="H30" s="716" t="s">
        <v>170</v>
      </c>
      <c r="I30" s="715" t="s">
        <v>169</v>
      </c>
      <c r="J30" s="458"/>
      <c r="K30" s="459"/>
      <c r="L30" s="460" t="s">
        <v>2</v>
      </c>
      <c r="N30" s="78"/>
      <c r="O30" s="79"/>
      <c r="P30" s="294"/>
    </row>
    <row r="31" spans="2:16" ht="15">
      <c r="B31" s="284"/>
      <c r="C31" s="80"/>
      <c r="D31" s="461" t="s">
        <v>4</v>
      </c>
      <c r="E31" s="462">
        <v>132</v>
      </c>
      <c r="F31" s="463">
        <v>209</v>
      </c>
      <c r="G31" s="464"/>
      <c r="H31" s="465">
        <f>F31*$J$17*$E$17/100</f>
        <v>98064.8064</v>
      </c>
      <c r="I31" s="466">
        <v>548</v>
      </c>
      <c r="J31" s="467" t="str">
        <f>"(DTE "&amp;IF(DATO!$F$4&lt;10,"0"&amp;DATO!$F$4,DATO!$F$4)&amp;"/"&amp;RIGHT(DATO!$G$6,2)&amp;")"</f>
        <v>(DTE 06/08)</v>
      </c>
      <c r="K31" s="468"/>
      <c r="L31" s="469">
        <f>SUM(H31:K31)</f>
        <v>98612.8064</v>
      </c>
      <c r="M31" s="77"/>
      <c r="N31" s="78"/>
      <c r="O31" s="79"/>
      <c r="P31" s="294"/>
    </row>
    <row r="32" spans="2:16" ht="15">
      <c r="B32" s="284"/>
      <c r="C32" s="80"/>
      <c r="D32" s="470"/>
      <c r="E32" s="471"/>
      <c r="F32" s="472"/>
      <c r="G32" s="473"/>
      <c r="H32" s="474"/>
      <c r="I32" s="475"/>
      <c r="J32" s="476"/>
      <c r="K32" s="477"/>
      <c r="L32" s="478"/>
      <c r="M32" s="77"/>
      <c r="N32" s="78"/>
      <c r="O32" s="79"/>
      <c r="P32" s="294"/>
    </row>
    <row r="33" spans="2:16" ht="15">
      <c r="B33" s="284"/>
      <c r="C33" s="80"/>
      <c r="D33" s="76"/>
      <c r="E33" s="76"/>
      <c r="F33" s="295"/>
      <c r="G33" s="77"/>
      <c r="I33" s="83"/>
      <c r="J33" s="291"/>
      <c r="K33" s="291"/>
      <c r="L33" s="479">
        <f>SUM(L31:L32)</f>
        <v>98612.8064</v>
      </c>
      <c r="M33" s="77"/>
      <c r="N33" s="78"/>
      <c r="O33" s="79"/>
      <c r="P33" s="294"/>
    </row>
    <row r="34" spans="2:16" ht="15">
      <c r="B34" s="284"/>
      <c r="C34" s="80"/>
      <c r="D34" s="76"/>
      <c r="E34" s="76"/>
      <c r="F34" s="295"/>
      <c r="G34" s="77"/>
      <c r="I34" s="83"/>
      <c r="J34" s="291"/>
      <c r="K34" s="291"/>
      <c r="L34" s="296"/>
      <c r="M34" s="77"/>
      <c r="N34" s="78"/>
      <c r="O34" s="79"/>
      <c r="P34" s="294"/>
    </row>
    <row r="35" spans="2:16" ht="15.75">
      <c r="B35" s="284"/>
      <c r="C35" s="80"/>
      <c r="D35" s="454" t="s">
        <v>118</v>
      </c>
      <c r="E35" s="455" t="s">
        <v>119</v>
      </c>
      <c r="F35" s="456" t="s">
        <v>120</v>
      </c>
      <c r="G35" s="730" t="s">
        <v>170</v>
      </c>
      <c r="H35" s="724"/>
      <c r="J35" s="480" t="s">
        <v>121</v>
      </c>
      <c r="K35" s="481"/>
      <c r="L35" s="482" t="s">
        <v>65</v>
      </c>
      <c r="M35" s="455" t="s">
        <v>27</v>
      </c>
      <c r="N35" s="483" t="s">
        <v>122</v>
      </c>
      <c r="O35" s="484"/>
      <c r="P35" s="294"/>
    </row>
    <row r="36" spans="2:16" ht="15">
      <c r="B36" s="284"/>
      <c r="C36" s="80"/>
      <c r="D36" s="461" t="s">
        <v>14</v>
      </c>
      <c r="E36" s="462" t="s">
        <v>11</v>
      </c>
      <c r="F36" s="463">
        <v>5</v>
      </c>
      <c r="G36" s="725"/>
      <c r="H36" s="726">
        <f>+F36*$J$18*$E$17</f>
        <v>817.2</v>
      </c>
      <c r="J36" s="722" t="s">
        <v>14</v>
      </c>
      <c r="K36" s="718"/>
      <c r="L36" s="719" t="s">
        <v>24</v>
      </c>
      <c r="M36" s="486">
        <v>13.2</v>
      </c>
      <c r="N36" s="487">
        <f>M18*$E$17</f>
        <v>1637.28</v>
      </c>
      <c r="O36" s="488"/>
      <c r="P36" s="294"/>
    </row>
    <row r="37" spans="2:16" ht="15">
      <c r="B37" s="284"/>
      <c r="C37" s="80"/>
      <c r="D37" s="470" t="s">
        <v>14</v>
      </c>
      <c r="E37" s="471" t="s">
        <v>10</v>
      </c>
      <c r="F37" s="472">
        <v>5</v>
      </c>
      <c r="G37" s="727"/>
      <c r="H37" s="728">
        <f>+F37*$J$18*$E$17</f>
        <v>817.2</v>
      </c>
      <c r="J37" s="723" t="s">
        <v>14</v>
      </c>
      <c r="K37" s="720"/>
      <c r="L37" s="721" t="s">
        <v>25</v>
      </c>
      <c r="M37" s="78">
        <v>13.2</v>
      </c>
      <c r="N37" s="493">
        <f>M18*$E$17</f>
        <v>1637.28</v>
      </c>
      <c r="O37" s="494"/>
      <c r="P37" s="294"/>
    </row>
    <row r="38" spans="2:16" ht="15">
      <c r="B38" s="284"/>
      <c r="C38" s="80"/>
      <c r="D38" s="76"/>
      <c r="E38" s="76"/>
      <c r="F38" s="295"/>
      <c r="G38" s="727"/>
      <c r="H38" s="729">
        <f>SUM(H36:H37)</f>
        <v>1634.4</v>
      </c>
      <c r="J38" s="495"/>
      <c r="K38" s="476"/>
      <c r="L38" s="473"/>
      <c r="M38" s="496"/>
      <c r="N38" s="497"/>
      <c r="O38" s="498"/>
      <c r="P38" s="294"/>
    </row>
    <row r="39" spans="2:16" ht="15">
      <c r="B39" s="284"/>
      <c r="C39" s="80"/>
      <c r="D39" s="76"/>
      <c r="E39" s="76"/>
      <c r="F39" s="295"/>
      <c r="G39" s="77"/>
      <c r="I39" s="83"/>
      <c r="J39" s="291"/>
      <c r="K39" s="291"/>
      <c r="L39" s="296"/>
      <c r="M39" s="77"/>
      <c r="N39" s="499">
        <f>SUM(N36:N38)</f>
        <v>3274.56</v>
      </c>
      <c r="O39" s="484"/>
      <c r="P39" s="294"/>
    </row>
    <row r="40" spans="2:16" ht="12.75" customHeight="1" thickBot="1">
      <c r="B40" s="284"/>
      <c r="C40" s="80"/>
      <c r="D40" s="76"/>
      <c r="E40" s="76"/>
      <c r="F40" s="82"/>
      <c r="G40" s="77"/>
      <c r="H40" s="83"/>
      <c r="I40" s="76"/>
      <c r="J40" s="76"/>
      <c r="K40" s="76"/>
      <c r="L40" s="77"/>
      <c r="M40" s="77"/>
      <c r="N40" s="78"/>
      <c r="O40" s="79"/>
      <c r="P40" s="294"/>
    </row>
    <row r="41" spans="2:16" ht="20.25" thickBot="1" thickTop="1">
      <c r="B41" s="284"/>
      <c r="C41" s="80"/>
      <c r="D41" s="76"/>
      <c r="E41" s="76"/>
      <c r="F41" s="82"/>
      <c r="G41" s="77"/>
      <c r="H41" s="500" t="s">
        <v>123</v>
      </c>
      <c r="I41" s="501">
        <f>+H38+N39+L33</f>
        <v>103521.76640000001</v>
      </c>
      <c r="J41" s="76"/>
      <c r="K41" s="500" t="s">
        <v>200</v>
      </c>
      <c r="L41" s="501">
        <v>78538.4936</v>
      </c>
      <c r="M41" s="77"/>
      <c r="N41" s="78"/>
      <c r="O41" s="79"/>
      <c r="P41" s="294"/>
    </row>
    <row r="42" spans="2:16" ht="15.75" thickTop="1">
      <c r="B42" s="284"/>
      <c r="C42" s="80"/>
      <c r="D42" s="76"/>
      <c r="E42" s="76"/>
      <c r="F42" s="82"/>
      <c r="G42" s="77"/>
      <c r="H42" s="83"/>
      <c r="I42" s="76"/>
      <c r="J42" s="76"/>
      <c r="K42" s="76"/>
      <c r="L42" s="77"/>
      <c r="M42" s="77"/>
      <c r="N42" s="78"/>
      <c r="O42" s="79"/>
      <c r="P42" s="294"/>
    </row>
    <row r="43" spans="2:16" ht="15.75">
      <c r="B43" s="284"/>
      <c r="C43" s="502" t="s">
        <v>124</v>
      </c>
      <c r="D43" s="76"/>
      <c r="E43" s="76"/>
      <c r="F43" s="82"/>
      <c r="G43" s="77"/>
      <c r="H43" s="83"/>
      <c r="I43" s="76"/>
      <c r="J43" s="76"/>
      <c r="K43" s="76"/>
      <c r="L43" s="77"/>
      <c r="M43" s="77"/>
      <c r="N43" s="78"/>
      <c r="O43" s="79"/>
      <c r="P43" s="294"/>
    </row>
    <row r="44" spans="2:16" ht="15.75" thickBot="1">
      <c r="B44" s="284"/>
      <c r="C44" s="80"/>
      <c r="D44" s="76"/>
      <c r="E44" s="76"/>
      <c r="F44" s="82"/>
      <c r="G44" s="77"/>
      <c r="H44" s="83"/>
      <c r="I44" s="76"/>
      <c r="J44" s="76"/>
      <c r="K44" s="76"/>
      <c r="L44" s="77"/>
      <c r="M44" s="77"/>
      <c r="N44" s="78"/>
      <c r="O44" s="79"/>
      <c r="P44" s="294"/>
    </row>
    <row r="45" spans="2:16" ht="20.25" thickBot="1" thickTop="1">
      <c r="B45" s="284"/>
      <c r="C45" s="80"/>
      <c r="D45" s="239" t="s">
        <v>125</v>
      </c>
      <c r="F45" s="297"/>
      <c r="G45" s="73"/>
      <c r="H45" s="156" t="s">
        <v>126</v>
      </c>
      <c r="I45" s="503">
        <f>+E18*L41</f>
        <v>1963.46234</v>
      </c>
      <c r="J45" s="69"/>
      <c r="K45" s="69"/>
      <c r="O45" s="69"/>
      <c r="P45" s="294"/>
    </row>
    <row r="46" spans="2:16" ht="21.75" thickTop="1">
      <c r="B46" s="284"/>
      <c r="C46" s="80"/>
      <c r="F46" s="298"/>
      <c r="G46" s="45"/>
      <c r="I46" s="69"/>
      <c r="J46" s="69"/>
      <c r="K46" s="69"/>
      <c r="O46" s="69"/>
      <c r="P46" s="294"/>
    </row>
    <row r="47" spans="2:16" ht="15">
      <c r="B47" s="284"/>
      <c r="C47" s="68" t="s">
        <v>127</v>
      </c>
      <c r="E47" s="69"/>
      <c r="F47" s="69"/>
      <c r="G47" s="69"/>
      <c r="H47" s="69"/>
      <c r="I47" s="77"/>
      <c r="J47" s="77"/>
      <c r="K47" s="77"/>
      <c r="L47" s="77"/>
      <c r="M47" s="77"/>
      <c r="N47" s="78"/>
      <c r="O47" s="79"/>
      <c r="P47" s="294"/>
    </row>
    <row r="48" spans="2:16" ht="15">
      <c r="B48" s="284"/>
      <c r="C48" s="80"/>
      <c r="D48" s="75" t="s">
        <v>128</v>
      </c>
      <c r="E48" s="299">
        <f>10*I26*I45/I41</f>
        <v>3084.43702448522</v>
      </c>
      <c r="F48" s="504"/>
      <c r="H48" s="69"/>
      <c r="I48" s="77"/>
      <c r="J48" s="77"/>
      <c r="K48" s="77"/>
      <c r="L48" s="77"/>
      <c r="M48" s="77"/>
      <c r="N48" s="78"/>
      <c r="O48" s="79"/>
      <c r="P48" s="294"/>
    </row>
    <row r="49" spans="2:16" ht="15">
      <c r="B49" s="284"/>
      <c r="C49" s="80"/>
      <c r="D49" s="75"/>
      <c r="E49" s="299"/>
      <c r="F49" s="504"/>
      <c r="H49" s="69"/>
      <c r="I49" s="77"/>
      <c r="J49" s="77"/>
      <c r="K49" s="77"/>
      <c r="L49" s="77"/>
      <c r="M49" s="77"/>
      <c r="N49" s="78"/>
      <c r="O49" s="79"/>
      <c r="P49" s="294"/>
    </row>
    <row r="50" spans="2:16" ht="15">
      <c r="B50" s="284"/>
      <c r="C50" s="80"/>
      <c r="D50" s="819" t="s">
        <v>199</v>
      </c>
      <c r="E50" s="299"/>
      <c r="F50" s="504"/>
      <c r="H50" s="69"/>
      <c r="I50" s="77"/>
      <c r="J50" s="77"/>
      <c r="K50" s="77"/>
      <c r="L50" s="77"/>
      <c r="M50" s="77"/>
      <c r="N50" s="78"/>
      <c r="O50" s="79"/>
      <c r="P50" s="294"/>
    </row>
    <row r="51" spans="2:16" ht="15">
      <c r="B51" s="284"/>
      <c r="C51" s="80"/>
      <c r="D51" s="69"/>
      <c r="E51" s="69"/>
      <c r="J51" s="77"/>
      <c r="K51" s="77"/>
      <c r="L51" s="77"/>
      <c r="M51" s="77"/>
      <c r="N51" s="78"/>
      <c r="O51" s="79"/>
      <c r="P51" s="294"/>
    </row>
    <row r="52" spans="2:16" ht="15">
      <c r="B52" s="284"/>
      <c r="C52" s="80"/>
      <c r="D52" s="69" t="s">
        <v>129</v>
      </c>
      <c r="E52" s="69"/>
      <c r="F52" s="69"/>
      <c r="G52" s="69"/>
      <c r="H52" s="69"/>
      <c r="M52" s="77"/>
      <c r="N52" s="78"/>
      <c r="O52" s="79"/>
      <c r="P52" s="294"/>
    </row>
    <row r="53" spans="2:16" ht="15.75" thickBot="1">
      <c r="B53" s="284"/>
      <c r="C53" s="80"/>
      <c r="D53" s="69"/>
      <c r="E53" s="69"/>
      <c r="F53" s="69"/>
      <c r="G53" s="69"/>
      <c r="H53" s="69"/>
      <c r="M53" s="77"/>
      <c r="N53" s="78"/>
      <c r="O53" s="79"/>
      <c r="P53" s="294"/>
    </row>
    <row r="54" spans="2:16" ht="20.25" thickBot="1" thickTop="1">
      <c r="B54" s="284"/>
      <c r="C54" s="80"/>
      <c r="D54" s="76"/>
      <c r="E54" s="76"/>
      <c r="F54" s="82"/>
      <c r="G54" s="77"/>
      <c r="H54" s="240" t="s">
        <v>130</v>
      </c>
      <c r="I54" s="505">
        <f>IF($E$48&gt;3*I45,3*I45,$E$48)</f>
        <v>3084.43702448522</v>
      </c>
      <c r="J54" s="77"/>
      <c r="K54" s="77"/>
      <c r="L54" s="77"/>
      <c r="M54" s="77"/>
      <c r="N54" s="78"/>
      <c r="O54" s="79"/>
      <c r="P54" s="294"/>
    </row>
    <row r="55" spans="2:16" ht="16.5" thickBot="1" thickTop="1">
      <c r="B55" s="300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2"/>
    </row>
    <row r="56" spans="2:16" ht="13.5" thickTop="1">
      <c r="B56" s="1"/>
      <c r="P56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5" ht="12" customHeight="1"/>
    <row r="101" ht="12.75">
      <c r="B101" s="1"/>
    </row>
    <row r="107" ht="12.75">
      <c r="A107" s="1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3" r:id="rId2"/>
  <headerFooter alignWithMargins="0">
    <oddFooter>&amp;L&amp;"Times New Roman,Normal"&amp;8&amp;F-&amp;A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T57"/>
  <sheetViews>
    <sheetView zoomScale="50" zoomScaleNormal="50" workbookViewId="0" topLeftCell="B13">
      <selection activeCell="B12" sqref="B1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421"/>
    </row>
    <row r="2" spans="2:20" s="743" customFormat="1" ht="30.75">
      <c r="B2" s="109" t="str">
        <f>+'TOT-0806'!B2</f>
        <v>ANEXO VI al Memorándum D.T.E.E. N°  452  /2010</v>
      </c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</row>
    <row r="3" spans="1:2" ht="12.75" customHeight="1">
      <c r="A3" s="745" t="s">
        <v>28</v>
      </c>
      <c r="B3" s="746"/>
    </row>
    <row r="4" spans="1:4" ht="12.75" customHeight="1">
      <c r="A4" s="745" t="s">
        <v>29</v>
      </c>
      <c r="B4" s="746"/>
      <c r="D4" s="747"/>
    </row>
    <row r="5" spans="1:4" ht="21.75" customHeight="1">
      <c r="A5" s="748"/>
      <c r="D5" s="747"/>
    </row>
    <row r="6" spans="1:20" ht="26.25">
      <c r="A6" s="748"/>
      <c r="B6" s="749" t="s">
        <v>184</v>
      </c>
      <c r="C6" s="85"/>
      <c r="D6" s="747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4" ht="18.75" customHeight="1">
      <c r="A7" s="748"/>
      <c r="D7" s="747"/>
    </row>
    <row r="8" spans="1:20" ht="26.25">
      <c r="A8" s="748"/>
      <c r="B8" s="750" t="s">
        <v>1</v>
      </c>
      <c r="C8" s="85"/>
      <c r="D8" s="747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4" ht="18.75" customHeight="1">
      <c r="A9" s="748"/>
      <c r="D9" s="747"/>
    </row>
    <row r="10" spans="1:20" ht="26.25">
      <c r="A10" s="748"/>
      <c r="B10" s="750" t="s">
        <v>185</v>
      </c>
      <c r="C10" s="85"/>
      <c r="D10" s="747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ht="18.75" customHeight="1" thickBot="1"/>
    <row r="12" spans="2:20" ht="18.75" customHeight="1" thickTop="1">
      <c r="B12" s="751"/>
      <c r="C12" s="752"/>
      <c r="D12" s="753"/>
      <c r="E12" s="753"/>
      <c r="F12" s="753"/>
      <c r="G12" s="752"/>
      <c r="H12" s="752"/>
      <c r="I12" s="752"/>
      <c r="J12" s="752"/>
      <c r="K12" s="752"/>
      <c r="L12" s="752"/>
      <c r="M12" s="752"/>
      <c r="N12" s="752"/>
      <c r="O12" s="752"/>
      <c r="P12" s="752"/>
      <c r="Q12" s="752"/>
      <c r="R12" s="752"/>
      <c r="S12" s="752"/>
      <c r="T12" s="754"/>
    </row>
    <row r="13" spans="2:20" ht="19.5">
      <c r="B13" s="241" t="s">
        <v>194</v>
      </c>
      <c r="C13" s="85"/>
      <c r="D13" s="755"/>
      <c r="E13" s="755"/>
      <c r="F13" s="755"/>
      <c r="G13" s="756"/>
      <c r="H13" s="756"/>
      <c r="I13" s="756"/>
      <c r="J13" s="756"/>
      <c r="K13" s="756"/>
      <c r="L13" s="756"/>
      <c r="M13" s="756"/>
      <c r="N13" s="756"/>
      <c r="O13" s="756"/>
      <c r="P13" s="756"/>
      <c r="Q13" s="756"/>
      <c r="R13" s="756"/>
      <c r="S13" s="756"/>
      <c r="T13" s="757"/>
    </row>
    <row r="14" spans="2:20" ht="18.75" customHeight="1" thickBot="1">
      <c r="B14" s="2"/>
      <c r="C14" s="758"/>
      <c r="D14" s="759"/>
      <c r="E14" s="759"/>
      <c r="F14" s="76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768" customFormat="1" ht="34.5" customHeight="1" thickBot="1" thickTop="1">
      <c r="A15" s="746"/>
      <c r="B15" s="761"/>
      <c r="C15" s="762"/>
      <c r="D15" s="763" t="s">
        <v>31</v>
      </c>
      <c r="E15" s="764" t="s">
        <v>62</v>
      </c>
      <c r="F15" s="765" t="s">
        <v>63</v>
      </c>
      <c r="G15" s="766">
        <v>39234</v>
      </c>
      <c r="H15" s="766">
        <v>39264</v>
      </c>
      <c r="I15" s="766">
        <v>39295</v>
      </c>
      <c r="J15" s="766">
        <v>39326</v>
      </c>
      <c r="K15" s="766">
        <v>39356</v>
      </c>
      <c r="L15" s="766">
        <v>39387</v>
      </c>
      <c r="M15" s="766">
        <v>39417</v>
      </c>
      <c r="N15" s="766">
        <v>39448</v>
      </c>
      <c r="O15" s="766">
        <v>39479</v>
      </c>
      <c r="P15" s="766">
        <v>39508</v>
      </c>
      <c r="Q15" s="766">
        <v>39539</v>
      </c>
      <c r="R15" s="766">
        <v>39569</v>
      </c>
      <c r="S15" s="766">
        <v>39600</v>
      </c>
      <c r="T15" s="767"/>
    </row>
    <row r="16" spans="2:20" ht="15" customHeight="1" thickTop="1">
      <c r="B16" s="2"/>
      <c r="C16" s="769"/>
      <c r="D16" s="770"/>
      <c r="E16" s="770"/>
      <c r="F16" s="771"/>
      <c r="G16" s="772"/>
      <c r="H16" s="772"/>
      <c r="I16" s="772"/>
      <c r="J16" s="772"/>
      <c r="K16" s="772"/>
      <c r="L16" s="772"/>
      <c r="M16" s="772"/>
      <c r="N16" s="772"/>
      <c r="O16" s="772"/>
      <c r="P16" s="772"/>
      <c r="Q16" s="772"/>
      <c r="R16" s="772"/>
      <c r="S16" s="773"/>
      <c r="T16" s="3"/>
    </row>
    <row r="17" spans="2:20" ht="15" customHeight="1" hidden="1">
      <c r="B17" s="2"/>
      <c r="C17" s="774">
        <f>IF('[3]Tasa de Falla'!C17=0,"",'[3]Tasa de Falla'!C17)</f>
        <v>1</v>
      </c>
      <c r="D17" s="775" t="str">
        <f>IF('[3]Tasa de Falla'!D17=0,"",'[3]Tasa de Falla'!D17)</f>
        <v>AMEGHINO - COMODORO RIVADAVIA</v>
      </c>
      <c r="E17" s="775">
        <f>IF('[3]Tasa de Falla'!E17=0,"",'[3]Tasa de Falla'!E17)</f>
        <v>132</v>
      </c>
      <c r="F17" s="776">
        <f>IF('[3]Tasa de Falla'!F17=0,"",'[3]Tasa de Falla'!F17)</f>
        <v>305</v>
      </c>
      <c r="G17" s="777" t="str">
        <f>IF('[3]Tasa de Falla'!BY17=0,"",'[3]Tasa de Falla'!BY17)</f>
        <v>XXXX</v>
      </c>
      <c r="H17" s="777" t="str">
        <f>IF('[3]Tasa de Falla'!BZ17=0,"",'[3]Tasa de Falla'!BZ17)</f>
        <v>XXXX</v>
      </c>
      <c r="I17" s="777" t="str">
        <f>IF('[3]Tasa de Falla'!CA17=0,"",'[3]Tasa de Falla'!CA17)</f>
        <v>XXXX</v>
      </c>
      <c r="J17" s="777" t="str">
        <f>IF('[3]Tasa de Falla'!CB17=0,"",'[3]Tasa de Falla'!CB17)</f>
        <v>XXXX</v>
      </c>
      <c r="K17" s="777" t="str">
        <f>IF('[3]Tasa de Falla'!CC17=0,"",'[3]Tasa de Falla'!CC17)</f>
        <v>XXXX</v>
      </c>
      <c r="L17" s="777" t="str">
        <f>IF('[3]Tasa de Falla'!CD17=0,"",'[3]Tasa de Falla'!CD17)</f>
        <v>XXXX</v>
      </c>
      <c r="M17" s="777" t="str">
        <f>IF('[3]Tasa de Falla'!CE17=0,"",'[3]Tasa de Falla'!CE17)</f>
        <v>XXXX</v>
      </c>
      <c r="N17" s="777" t="str">
        <f>IF('[3]Tasa de Falla'!CF17=0,"",'[3]Tasa de Falla'!CF17)</f>
        <v>XXXX</v>
      </c>
      <c r="O17" s="777" t="str">
        <f>IF('[3]Tasa de Falla'!CG17=0,"",'[3]Tasa de Falla'!CG17)</f>
        <v>XXXX</v>
      </c>
      <c r="P17" s="777" t="str">
        <f>IF('[3]Tasa de Falla'!CH17=0,"",'[3]Tasa de Falla'!CH17)</f>
        <v>XXXX</v>
      </c>
      <c r="Q17" s="777" t="str">
        <f>IF('[3]Tasa de Falla'!CI17=0,"",'[3]Tasa de Falla'!CI17)</f>
        <v>XXXX</v>
      </c>
      <c r="R17" s="777" t="str">
        <f>IF('[3]Tasa de Falla'!CJ17=0,"",'[3]Tasa de Falla'!CJ17)</f>
        <v>XXXX</v>
      </c>
      <c r="S17" s="778"/>
      <c r="T17" s="779"/>
    </row>
    <row r="18" spans="2:20" ht="15" customHeight="1">
      <c r="B18" s="2"/>
      <c r="C18" s="780">
        <f>IF('[3]Tasa de Falla'!C18=0,"",'[3]Tasa de Falla'!C18)</f>
        <v>2</v>
      </c>
      <c r="D18" s="781" t="str">
        <f>IF('[3]Tasa de Falla'!D18=0,"",'[3]Tasa de Falla'!D18)</f>
        <v>AMEGHINO - ESTACION PATAGONIA</v>
      </c>
      <c r="E18" s="781">
        <f>IF('[3]Tasa de Falla'!E18=0,"",'[3]Tasa de Falla'!E18)</f>
        <v>132</v>
      </c>
      <c r="F18" s="782">
        <f>IF('[3]Tasa de Falla'!F18=0,"",'[3]Tasa de Falla'!F18)</f>
        <v>299.6</v>
      </c>
      <c r="G18" s="777">
        <f>IF('[3]Tasa de Falla'!FB18=0,"",'[3]Tasa de Falla'!FB18)</f>
      </c>
      <c r="H18" s="777">
        <f>IF('[3]Tasa de Falla'!FC18=0,"",'[3]Tasa de Falla'!FC18)</f>
      </c>
      <c r="I18" s="777">
        <f>IF('[3]Tasa de Falla'!FD18=0,"",'[3]Tasa de Falla'!FD18)</f>
      </c>
      <c r="J18" s="777">
        <f>IF('[3]Tasa de Falla'!FE18=0,"",'[3]Tasa de Falla'!FE18)</f>
      </c>
      <c r="K18" s="777">
        <f>IF('[3]Tasa de Falla'!FF18=0,"",'[3]Tasa de Falla'!FF18)</f>
      </c>
      <c r="L18" s="777">
        <f>IF('[3]Tasa de Falla'!FG18=0,"",'[3]Tasa de Falla'!FG18)</f>
      </c>
      <c r="M18" s="777">
        <f>IF('[3]Tasa de Falla'!FH18=0,"",'[3]Tasa de Falla'!FH18)</f>
      </c>
      <c r="N18" s="777">
        <f>IF('[3]Tasa de Falla'!FI18=0,"",'[3]Tasa de Falla'!FI18)</f>
        <v>1</v>
      </c>
      <c r="O18" s="777">
        <f>IF('[3]Tasa de Falla'!FJ18=0,"",'[3]Tasa de Falla'!FJ18)</f>
      </c>
      <c r="P18" s="777">
        <f>IF('[3]Tasa de Falla'!FK18=0,"",'[3]Tasa de Falla'!FK18)</f>
      </c>
      <c r="Q18" s="777">
        <f>IF('[3]Tasa de Falla'!FL18=0,"",'[3]Tasa de Falla'!FL18)</f>
      </c>
      <c r="R18" s="777">
        <f>IF('[3]Tasa de Falla'!FM18=0,"",'[3]Tasa de Falla'!FM18)</f>
      </c>
      <c r="S18" s="778"/>
      <c r="T18" s="779"/>
    </row>
    <row r="19" spans="2:20" ht="15" customHeight="1">
      <c r="B19" s="2"/>
      <c r="C19" s="774">
        <f>IF('[3]Tasa de Falla'!C19=0,"",'[3]Tasa de Falla'!C19)</f>
        <v>3</v>
      </c>
      <c r="D19" s="775" t="str">
        <f>IF('[3]Tasa de Falla'!D19=0,"",'[3]Tasa de Falla'!D19)</f>
        <v>AMEGHINO - TRELEW</v>
      </c>
      <c r="E19" s="775">
        <f>IF('[3]Tasa de Falla'!E19=0,"",'[3]Tasa de Falla'!E19)</f>
        <v>132</v>
      </c>
      <c r="F19" s="776">
        <f>IF('[3]Tasa de Falla'!F19=0,"",'[3]Tasa de Falla'!F19)</f>
        <v>112</v>
      </c>
      <c r="G19" s="777">
        <f>IF('[3]Tasa de Falla'!FB19=0,"",'[3]Tasa de Falla'!FB19)</f>
      </c>
      <c r="H19" s="777">
        <f>IF('[3]Tasa de Falla'!FC19=0,"",'[3]Tasa de Falla'!FC19)</f>
      </c>
      <c r="I19" s="777">
        <f>IF('[3]Tasa de Falla'!FD19=0,"",'[3]Tasa de Falla'!FD19)</f>
      </c>
      <c r="J19" s="777">
        <f>IF('[3]Tasa de Falla'!FE19=0,"",'[3]Tasa de Falla'!FE19)</f>
      </c>
      <c r="K19" s="777">
        <f>IF('[3]Tasa de Falla'!FF19=0,"",'[3]Tasa de Falla'!FF19)</f>
      </c>
      <c r="L19" s="777">
        <f>IF('[3]Tasa de Falla'!FG19=0,"",'[3]Tasa de Falla'!FG19)</f>
      </c>
      <c r="M19" s="777">
        <f>IF('[3]Tasa de Falla'!FH19=0,"",'[3]Tasa de Falla'!FH19)</f>
      </c>
      <c r="N19" s="777">
        <f>IF('[3]Tasa de Falla'!FI19=0,"",'[3]Tasa de Falla'!FI19)</f>
      </c>
      <c r="O19" s="777">
        <f>IF('[3]Tasa de Falla'!FJ19=0,"",'[3]Tasa de Falla'!FJ19)</f>
      </c>
      <c r="P19" s="777">
        <f>IF('[3]Tasa de Falla'!FK19=0,"",'[3]Tasa de Falla'!FK19)</f>
      </c>
      <c r="Q19" s="777">
        <f>IF('[3]Tasa de Falla'!FL19=0,"",'[3]Tasa de Falla'!FL19)</f>
      </c>
      <c r="R19" s="777">
        <f>IF('[3]Tasa de Falla'!FM19=0,"",'[3]Tasa de Falla'!FM19)</f>
      </c>
      <c r="S19" s="783"/>
      <c r="T19" s="779"/>
    </row>
    <row r="20" spans="2:20" ht="15" customHeight="1">
      <c r="B20" s="2"/>
      <c r="C20" s="780">
        <f>IF('[3]Tasa de Falla'!C20=0,"",'[3]Tasa de Falla'!C20)</f>
        <v>4</v>
      </c>
      <c r="D20" s="781" t="str">
        <f>IF('[3]Tasa de Falla'!D20=0,"",'[3]Tasa de Falla'!D20)</f>
        <v>FUTALEUFU - ESQUEL</v>
      </c>
      <c r="E20" s="781">
        <f>IF('[3]Tasa de Falla'!E20=0,"",'[3]Tasa de Falla'!E20)</f>
        <v>132</v>
      </c>
      <c r="F20" s="782">
        <f>IF('[3]Tasa de Falla'!F20=0,"",'[3]Tasa de Falla'!F20)</f>
        <v>28.41</v>
      </c>
      <c r="G20" s="777">
        <f>IF('[3]Tasa de Falla'!FB20=0,"",'[3]Tasa de Falla'!FB20)</f>
      </c>
      <c r="H20" s="777">
        <f>IF('[3]Tasa de Falla'!FC20=0,"",'[3]Tasa de Falla'!FC20)</f>
      </c>
      <c r="I20" s="777">
        <f>IF('[3]Tasa de Falla'!FD20=0,"",'[3]Tasa de Falla'!FD20)</f>
      </c>
      <c r="J20" s="777">
        <f>IF('[3]Tasa de Falla'!FE20=0,"",'[3]Tasa de Falla'!FE20)</f>
      </c>
      <c r="K20" s="777">
        <f>IF('[3]Tasa de Falla'!FF20=0,"",'[3]Tasa de Falla'!FF20)</f>
      </c>
      <c r="L20" s="777">
        <f>IF('[3]Tasa de Falla'!FG20=0,"",'[3]Tasa de Falla'!FG20)</f>
      </c>
      <c r="M20" s="777">
        <f>IF('[3]Tasa de Falla'!FH20=0,"",'[3]Tasa de Falla'!FH20)</f>
      </c>
      <c r="N20" s="777">
        <f>IF('[3]Tasa de Falla'!FI20=0,"",'[3]Tasa de Falla'!FI20)</f>
      </c>
      <c r="O20" s="777">
        <f>IF('[3]Tasa de Falla'!FJ20=0,"",'[3]Tasa de Falla'!FJ20)</f>
      </c>
      <c r="P20" s="777">
        <f>IF('[3]Tasa de Falla'!FK20=0,"",'[3]Tasa de Falla'!FK20)</f>
      </c>
      <c r="Q20" s="777">
        <f>IF('[3]Tasa de Falla'!FL20=0,"",'[3]Tasa de Falla'!FL20)</f>
      </c>
      <c r="R20" s="777">
        <f>IF('[3]Tasa de Falla'!FM20=0,"",'[3]Tasa de Falla'!FM20)</f>
        <v>5</v>
      </c>
      <c r="S20" s="783"/>
      <c r="T20" s="779"/>
    </row>
    <row r="21" spans="2:20" ht="15" customHeight="1">
      <c r="B21" s="2"/>
      <c r="C21" s="774">
        <f>IF('[3]Tasa de Falla'!C21=0,"",'[3]Tasa de Falla'!C21)</f>
        <v>5</v>
      </c>
      <c r="D21" s="775" t="str">
        <f>IF('[3]Tasa de Falla'!D21=0,"",'[3]Tasa de Falla'!D21)</f>
        <v>BARRIO SAN MARTIN - ESTACION PATAGONIA</v>
      </c>
      <c r="E21" s="775">
        <f>IF('[3]Tasa de Falla'!E21=0,"",'[3]Tasa de Falla'!E21)</f>
        <v>132</v>
      </c>
      <c r="F21" s="776">
        <f>IF('[3]Tasa de Falla'!F21=0,"",'[3]Tasa de Falla'!F21)</f>
        <v>9.43</v>
      </c>
      <c r="G21" s="777">
        <f>IF('[3]Tasa de Falla'!FB21=0,"",'[3]Tasa de Falla'!FB21)</f>
      </c>
      <c r="H21" s="777">
        <f>IF('[3]Tasa de Falla'!FC21=0,"",'[3]Tasa de Falla'!FC21)</f>
      </c>
      <c r="I21" s="777">
        <f>IF('[3]Tasa de Falla'!FD21=0,"",'[3]Tasa de Falla'!FD21)</f>
      </c>
      <c r="J21" s="777">
        <f>IF('[3]Tasa de Falla'!FE21=0,"",'[3]Tasa de Falla'!FE21)</f>
      </c>
      <c r="K21" s="777">
        <f>IF('[3]Tasa de Falla'!FF21=0,"",'[3]Tasa de Falla'!FF21)</f>
      </c>
      <c r="L21" s="777">
        <f>IF('[3]Tasa de Falla'!FG21=0,"",'[3]Tasa de Falla'!FG21)</f>
      </c>
      <c r="M21" s="777">
        <f>IF('[3]Tasa de Falla'!FH21=0,"",'[3]Tasa de Falla'!FH21)</f>
      </c>
      <c r="N21" s="777">
        <f>IF('[3]Tasa de Falla'!FI21=0,"",'[3]Tasa de Falla'!FI21)</f>
      </c>
      <c r="O21" s="777">
        <f>IF('[3]Tasa de Falla'!FJ21=0,"",'[3]Tasa de Falla'!FJ21)</f>
      </c>
      <c r="P21" s="777">
        <f>IF('[3]Tasa de Falla'!FK21=0,"",'[3]Tasa de Falla'!FK21)</f>
      </c>
      <c r="Q21" s="777">
        <f>IF('[3]Tasa de Falla'!FL21=0,"",'[3]Tasa de Falla'!FL21)</f>
      </c>
      <c r="R21" s="777">
        <f>IF('[3]Tasa de Falla'!FM21=0,"",'[3]Tasa de Falla'!FM21)</f>
      </c>
      <c r="S21" s="783"/>
      <c r="T21" s="779"/>
    </row>
    <row r="22" spans="2:20" ht="15" customHeight="1">
      <c r="B22" s="2"/>
      <c r="C22" s="780">
        <f>IF('[3]Tasa de Falla'!C22=0,"",'[3]Tasa de Falla'!C22)</f>
        <v>6</v>
      </c>
      <c r="D22" s="781" t="str">
        <f>IF('[3]Tasa de Falla'!D22=0,"",'[3]Tasa de Falla'!D22)</f>
        <v>COMODORO RIVADAVIA - E.T. A1</v>
      </c>
      <c r="E22" s="781">
        <f>IF('[3]Tasa de Falla'!E22=0,"",'[3]Tasa de Falla'!E22)</f>
        <v>132</v>
      </c>
      <c r="F22" s="782">
        <f>IF('[3]Tasa de Falla'!F22=0,"",'[3]Tasa de Falla'!F22)</f>
        <v>0.5</v>
      </c>
      <c r="G22" s="777">
        <f>IF('[3]Tasa de Falla'!FB22=0,"",'[3]Tasa de Falla'!FB22)</f>
      </c>
      <c r="H22" s="777">
        <f>IF('[3]Tasa de Falla'!FC22=0,"",'[3]Tasa de Falla'!FC22)</f>
      </c>
      <c r="I22" s="777">
        <f>IF('[3]Tasa de Falla'!FD22=0,"",'[3]Tasa de Falla'!FD22)</f>
        <v>1</v>
      </c>
      <c r="J22" s="777">
        <f>IF('[3]Tasa de Falla'!FE22=0,"",'[3]Tasa de Falla'!FE22)</f>
      </c>
      <c r="K22" s="777">
        <f>IF('[3]Tasa de Falla'!FF22=0,"",'[3]Tasa de Falla'!FF22)</f>
      </c>
      <c r="L22" s="777">
        <f>IF('[3]Tasa de Falla'!FG22=0,"",'[3]Tasa de Falla'!FG22)</f>
      </c>
      <c r="M22" s="777">
        <f>IF('[3]Tasa de Falla'!FH22=0,"",'[3]Tasa de Falla'!FH22)</f>
      </c>
      <c r="N22" s="777">
        <f>IF('[3]Tasa de Falla'!FI22=0,"",'[3]Tasa de Falla'!FI22)</f>
      </c>
      <c r="O22" s="777">
        <f>IF('[3]Tasa de Falla'!FJ22=0,"",'[3]Tasa de Falla'!FJ22)</f>
      </c>
      <c r="P22" s="777">
        <f>IF('[3]Tasa de Falla'!FK22=0,"",'[3]Tasa de Falla'!FK22)</f>
      </c>
      <c r="Q22" s="777">
        <f>IF('[3]Tasa de Falla'!FL22=0,"",'[3]Tasa de Falla'!FL22)</f>
      </c>
      <c r="R22" s="777">
        <f>IF('[3]Tasa de Falla'!FM22=0,"",'[3]Tasa de Falla'!FM22)</f>
      </c>
      <c r="S22" s="783"/>
      <c r="T22" s="779"/>
    </row>
    <row r="23" spans="2:20" ht="15" customHeight="1">
      <c r="B23" s="2"/>
      <c r="C23" s="774">
        <f>IF('[3]Tasa de Falla'!C23=0,"",'[3]Tasa de Falla'!C23)</f>
        <v>7</v>
      </c>
      <c r="D23" s="775" t="str">
        <f>IF('[3]Tasa de Falla'!D23=0,"",'[3]Tasa de Falla'!D23)</f>
        <v>COMODORO RIVADAVIA (A1) - ESTACION PATAGONIA</v>
      </c>
      <c r="E23" s="775">
        <f>IF('[3]Tasa de Falla'!E23=0,"",'[3]Tasa de Falla'!E23)</f>
        <v>132</v>
      </c>
      <c r="F23" s="776">
        <f>IF('[3]Tasa de Falla'!F23=0,"",'[3]Tasa de Falla'!F23)</f>
        <v>6.9</v>
      </c>
      <c r="G23" s="777">
        <f>IF('[3]Tasa de Falla'!FB23=0,"",'[3]Tasa de Falla'!FB23)</f>
      </c>
      <c r="H23" s="777">
        <f>IF('[3]Tasa de Falla'!FC23=0,"",'[3]Tasa de Falla'!FC23)</f>
      </c>
      <c r="I23" s="777">
        <f>IF('[3]Tasa de Falla'!FD23=0,"",'[3]Tasa de Falla'!FD23)</f>
      </c>
      <c r="J23" s="777">
        <f>IF('[3]Tasa de Falla'!FE23=0,"",'[3]Tasa de Falla'!FE23)</f>
      </c>
      <c r="K23" s="777">
        <f>IF('[3]Tasa de Falla'!FF23=0,"",'[3]Tasa de Falla'!FF23)</f>
      </c>
      <c r="L23" s="777">
        <f>IF('[3]Tasa de Falla'!FG23=0,"",'[3]Tasa de Falla'!FG23)</f>
      </c>
      <c r="M23" s="777">
        <f>IF('[3]Tasa de Falla'!FH23=0,"",'[3]Tasa de Falla'!FH23)</f>
      </c>
      <c r="N23" s="777">
        <f>IF('[3]Tasa de Falla'!FI23=0,"",'[3]Tasa de Falla'!FI23)</f>
      </c>
      <c r="O23" s="777">
        <f>IF('[3]Tasa de Falla'!FJ23=0,"",'[3]Tasa de Falla'!FJ23)</f>
      </c>
      <c r="P23" s="777">
        <f>IF('[3]Tasa de Falla'!FK23=0,"",'[3]Tasa de Falla'!FK23)</f>
      </c>
      <c r="Q23" s="777">
        <f>IF('[3]Tasa de Falla'!FL23=0,"",'[3]Tasa de Falla'!FL23)</f>
      </c>
      <c r="R23" s="777">
        <f>IF('[3]Tasa de Falla'!FM23=0,"",'[3]Tasa de Falla'!FM23)</f>
      </c>
      <c r="S23" s="783"/>
      <c r="T23" s="779"/>
    </row>
    <row r="24" spans="2:20" ht="15" customHeight="1">
      <c r="B24" s="2"/>
      <c r="C24" s="780">
        <f>IF('[3]Tasa de Falla'!C24=0,"",'[3]Tasa de Falla'!C24)</f>
        <v>8</v>
      </c>
      <c r="D24" s="781" t="str">
        <f>IF('[3]Tasa de Falla'!D24=0,"",'[3]Tasa de Falla'!D24)</f>
        <v>COMODORO RIVADAVIA - PICO TRUNCADO</v>
      </c>
      <c r="E24" s="781">
        <f>IF('[3]Tasa de Falla'!E24=0,"",'[3]Tasa de Falla'!E24)</f>
        <v>132</v>
      </c>
      <c r="F24" s="782">
        <f>IF('[3]Tasa de Falla'!F24=0,"",'[3]Tasa de Falla'!F24)</f>
        <v>138</v>
      </c>
      <c r="G24" s="777">
        <f>IF('[3]Tasa de Falla'!FB24=0,"",'[3]Tasa de Falla'!FB24)</f>
        <v>1</v>
      </c>
      <c r="H24" s="777">
        <f>IF('[3]Tasa de Falla'!FC24=0,"",'[3]Tasa de Falla'!FC24)</f>
      </c>
      <c r="I24" s="777">
        <f>IF('[3]Tasa de Falla'!FD24=0,"",'[3]Tasa de Falla'!FD24)</f>
      </c>
      <c r="J24" s="777">
        <f>IF('[3]Tasa de Falla'!FE24=0,"",'[3]Tasa de Falla'!FE24)</f>
      </c>
      <c r="K24" s="777">
        <f>IF('[3]Tasa de Falla'!FF24=0,"",'[3]Tasa de Falla'!FF24)</f>
      </c>
      <c r="L24" s="777">
        <f>IF('[3]Tasa de Falla'!FG24=0,"",'[3]Tasa de Falla'!FG24)</f>
      </c>
      <c r="M24" s="777">
        <f>IF('[3]Tasa de Falla'!FH24=0,"",'[3]Tasa de Falla'!FH24)</f>
        <v>1</v>
      </c>
      <c r="N24" s="777">
        <f>IF('[3]Tasa de Falla'!FI24=0,"",'[3]Tasa de Falla'!FI24)</f>
      </c>
      <c r="O24" s="777">
        <f>IF('[3]Tasa de Falla'!FJ24=0,"",'[3]Tasa de Falla'!FJ24)</f>
        <v>1</v>
      </c>
      <c r="P24" s="777">
        <f>IF('[3]Tasa de Falla'!FK24=0,"",'[3]Tasa de Falla'!FK24)</f>
      </c>
      <c r="Q24" s="777">
        <f>IF('[3]Tasa de Falla'!FL24=0,"",'[3]Tasa de Falla'!FL24)</f>
      </c>
      <c r="R24" s="777">
        <f>IF('[3]Tasa de Falla'!FM24=0,"",'[3]Tasa de Falla'!FM24)</f>
      </c>
      <c r="S24" s="783"/>
      <c r="T24" s="779"/>
    </row>
    <row r="25" spans="2:20" ht="15" customHeight="1">
      <c r="B25" s="2"/>
      <c r="C25" s="774">
        <f>IF('[3]Tasa de Falla'!C25=0,"",'[3]Tasa de Falla'!C25)</f>
        <v>9</v>
      </c>
      <c r="D25" s="775" t="str">
        <f>IF('[3]Tasa de Falla'!D25=0,"",'[3]Tasa de Falla'!D25)</f>
        <v>FUTALEUFÚ - PUERTO MADRYN 1</v>
      </c>
      <c r="E25" s="775">
        <f>IF('[3]Tasa de Falla'!E25=0,"",'[3]Tasa de Falla'!E25)</f>
        <v>330</v>
      </c>
      <c r="F25" s="776">
        <f>IF('[3]Tasa de Falla'!F25=0,"",'[3]Tasa de Falla'!F25)</f>
        <v>550</v>
      </c>
      <c r="G25" s="777">
        <f>IF('[3]Tasa de Falla'!FB25=0,"",'[3]Tasa de Falla'!FB25)</f>
      </c>
      <c r="H25" s="777">
        <f>IF('[3]Tasa de Falla'!FC25=0,"",'[3]Tasa de Falla'!FC25)</f>
      </c>
      <c r="I25" s="777">
        <f>IF('[3]Tasa de Falla'!FD25=0,"",'[3]Tasa de Falla'!FD25)</f>
      </c>
      <c r="J25" s="777">
        <f>IF('[3]Tasa de Falla'!FE25=0,"",'[3]Tasa de Falla'!FE25)</f>
      </c>
      <c r="K25" s="777">
        <f>IF('[3]Tasa de Falla'!FF25=0,"",'[3]Tasa de Falla'!FF25)</f>
      </c>
      <c r="L25" s="777">
        <f>IF('[3]Tasa de Falla'!FG25=0,"",'[3]Tasa de Falla'!FG25)</f>
        <v>1</v>
      </c>
      <c r="M25" s="777">
        <f>IF('[3]Tasa de Falla'!FH25=0,"",'[3]Tasa de Falla'!FH25)</f>
      </c>
      <c r="N25" s="777">
        <f>IF('[3]Tasa de Falla'!FI25=0,"",'[3]Tasa de Falla'!FI25)</f>
      </c>
      <c r="O25" s="777">
        <f>IF('[3]Tasa de Falla'!FJ25=0,"",'[3]Tasa de Falla'!FJ25)</f>
      </c>
      <c r="P25" s="777">
        <f>IF('[3]Tasa de Falla'!FK25=0,"",'[3]Tasa de Falla'!FK25)</f>
      </c>
      <c r="Q25" s="777">
        <f>IF('[3]Tasa de Falla'!FL25=0,"",'[3]Tasa de Falla'!FL25)</f>
        <v>1</v>
      </c>
      <c r="R25" s="777">
        <f>IF('[3]Tasa de Falla'!FM25=0,"",'[3]Tasa de Falla'!FM25)</f>
        <v>1</v>
      </c>
      <c r="S25" s="783"/>
      <c r="T25" s="779"/>
    </row>
    <row r="26" spans="2:20" ht="15" customHeight="1">
      <c r="B26" s="2"/>
      <c r="C26" s="780">
        <f>IF('[3]Tasa de Falla'!C26=0,"",'[3]Tasa de Falla'!C26)</f>
        <v>10</v>
      </c>
      <c r="D26" s="781" t="str">
        <f>IF('[3]Tasa de Falla'!D26=0,"",'[3]Tasa de Falla'!D26)</f>
        <v>FUTALEUFÚ - PUERTO MADRYN 2</v>
      </c>
      <c r="E26" s="781">
        <f>IF('[3]Tasa de Falla'!E26=0,"",'[3]Tasa de Falla'!E26)</f>
        <v>330</v>
      </c>
      <c r="F26" s="782">
        <f>IF('[3]Tasa de Falla'!F26=0,"",'[3]Tasa de Falla'!F26)</f>
        <v>550</v>
      </c>
      <c r="G26" s="777">
        <f>IF('[3]Tasa de Falla'!FB26=0,"",'[3]Tasa de Falla'!FB26)</f>
        <v>1</v>
      </c>
      <c r="H26" s="777">
        <f>IF('[3]Tasa de Falla'!FC26=0,"",'[3]Tasa de Falla'!FC26)</f>
        <v>1</v>
      </c>
      <c r="I26" s="777">
        <f>IF('[3]Tasa de Falla'!FD26=0,"",'[3]Tasa de Falla'!FD26)</f>
      </c>
      <c r="J26" s="777">
        <f>IF('[3]Tasa de Falla'!FE26=0,"",'[3]Tasa de Falla'!FE26)</f>
      </c>
      <c r="K26" s="777">
        <f>IF('[3]Tasa de Falla'!FF26=0,"",'[3]Tasa de Falla'!FF26)</f>
      </c>
      <c r="L26" s="777">
        <f>IF('[3]Tasa de Falla'!FG26=0,"",'[3]Tasa de Falla'!FG26)</f>
        <v>1</v>
      </c>
      <c r="M26" s="777">
        <f>IF('[3]Tasa de Falla'!FH26=0,"",'[3]Tasa de Falla'!FH26)</f>
      </c>
      <c r="N26" s="777">
        <f>IF('[3]Tasa de Falla'!FI26=0,"",'[3]Tasa de Falla'!FI26)</f>
      </c>
      <c r="O26" s="777">
        <f>IF('[3]Tasa de Falla'!FJ26=0,"",'[3]Tasa de Falla'!FJ26)</f>
      </c>
      <c r="P26" s="777">
        <f>IF('[3]Tasa de Falla'!FK26=0,"",'[3]Tasa de Falla'!FK26)</f>
      </c>
      <c r="Q26" s="777">
        <f>IF('[3]Tasa de Falla'!FL26=0,"",'[3]Tasa de Falla'!FL26)</f>
      </c>
      <c r="R26" s="777">
        <f>IF('[3]Tasa de Falla'!FM26=0,"",'[3]Tasa de Falla'!FM26)</f>
        <v>2</v>
      </c>
      <c r="S26" s="783"/>
      <c r="T26" s="779"/>
    </row>
    <row r="27" spans="2:20" ht="15" customHeight="1">
      <c r="B27" s="2"/>
      <c r="C27" s="774">
        <f>IF('[3]Tasa de Falla'!C27=0,"",'[3]Tasa de Falla'!C27)</f>
        <v>11</v>
      </c>
      <c r="D27" s="775" t="str">
        <f>IF('[3]Tasa de Falla'!D27=0,"",'[3]Tasa de Falla'!D27)</f>
        <v>PLANTA ALUMINIO APPA - PUERTO MADRYN 1</v>
      </c>
      <c r="E27" s="775">
        <f>IF('[3]Tasa de Falla'!E27=0,"",'[3]Tasa de Falla'!E27)</f>
        <v>330</v>
      </c>
      <c r="F27" s="776">
        <f>IF('[3]Tasa de Falla'!F27=0,"",'[3]Tasa de Falla'!F27)</f>
        <v>5.5</v>
      </c>
      <c r="G27" s="777">
        <f>IF('[3]Tasa de Falla'!FB27=0,"",'[3]Tasa de Falla'!FB27)</f>
      </c>
      <c r="H27" s="777">
        <f>IF('[3]Tasa de Falla'!FC27=0,"",'[3]Tasa de Falla'!FC27)</f>
      </c>
      <c r="I27" s="777">
        <f>IF('[3]Tasa de Falla'!FD27=0,"",'[3]Tasa de Falla'!FD27)</f>
      </c>
      <c r="J27" s="777">
        <f>IF('[3]Tasa de Falla'!FE27=0,"",'[3]Tasa de Falla'!FE27)</f>
      </c>
      <c r="K27" s="777">
        <f>IF('[3]Tasa de Falla'!FF27=0,"",'[3]Tasa de Falla'!FF27)</f>
      </c>
      <c r="L27" s="777">
        <f>IF('[3]Tasa de Falla'!FG27=0,"",'[3]Tasa de Falla'!FG27)</f>
      </c>
      <c r="M27" s="777">
        <f>IF('[3]Tasa de Falla'!FH27=0,"",'[3]Tasa de Falla'!FH27)</f>
      </c>
      <c r="N27" s="777">
        <f>IF('[3]Tasa de Falla'!FI27=0,"",'[3]Tasa de Falla'!FI27)</f>
      </c>
      <c r="O27" s="777">
        <f>IF('[3]Tasa de Falla'!FJ27=0,"",'[3]Tasa de Falla'!FJ27)</f>
      </c>
      <c r="P27" s="777">
        <f>IF('[3]Tasa de Falla'!FK27=0,"",'[3]Tasa de Falla'!FK27)</f>
      </c>
      <c r="Q27" s="777">
        <f>IF('[3]Tasa de Falla'!FL27=0,"",'[3]Tasa de Falla'!FL27)</f>
      </c>
      <c r="R27" s="777">
        <f>IF('[3]Tasa de Falla'!FM27=0,"",'[3]Tasa de Falla'!FM27)</f>
      </c>
      <c r="S27" s="783"/>
      <c r="T27" s="779"/>
    </row>
    <row r="28" spans="2:20" ht="15" customHeight="1">
      <c r="B28" s="2"/>
      <c r="C28" s="780">
        <f>IF('[3]Tasa de Falla'!C28=0,"",'[3]Tasa de Falla'!C28)</f>
        <v>12</v>
      </c>
      <c r="D28" s="781" t="str">
        <f>IF('[3]Tasa de Falla'!D28=0,"",'[3]Tasa de Falla'!D28)</f>
        <v>PLANTA ALUMINIO APPA - PUERTO MADRYN 2</v>
      </c>
      <c r="E28" s="781">
        <f>IF('[3]Tasa de Falla'!E28=0,"",'[3]Tasa de Falla'!E28)</f>
        <v>330</v>
      </c>
      <c r="F28" s="782">
        <f>IF('[3]Tasa de Falla'!F28=0,"",'[3]Tasa de Falla'!F28)</f>
        <v>5.5</v>
      </c>
      <c r="G28" s="777">
        <f>IF('[3]Tasa de Falla'!FB28=0,"",'[3]Tasa de Falla'!FB28)</f>
      </c>
      <c r="H28" s="777">
        <f>IF('[3]Tasa de Falla'!FC28=0,"",'[3]Tasa de Falla'!FC28)</f>
      </c>
      <c r="I28" s="777">
        <f>IF('[3]Tasa de Falla'!FD28=0,"",'[3]Tasa de Falla'!FD28)</f>
      </c>
      <c r="J28" s="777">
        <f>IF('[3]Tasa de Falla'!FE28=0,"",'[3]Tasa de Falla'!FE28)</f>
      </c>
      <c r="K28" s="777">
        <f>IF('[3]Tasa de Falla'!FF28=0,"",'[3]Tasa de Falla'!FF28)</f>
      </c>
      <c r="L28" s="777">
        <f>IF('[3]Tasa de Falla'!FG28=0,"",'[3]Tasa de Falla'!FG28)</f>
      </c>
      <c r="M28" s="777">
        <f>IF('[3]Tasa de Falla'!FH28=0,"",'[3]Tasa de Falla'!FH28)</f>
      </c>
      <c r="N28" s="777">
        <f>IF('[3]Tasa de Falla'!FI28=0,"",'[3]Tasa de Falla'!FI28)</f>
      </c>
      <c r="O28" s="777">
        <f>IF('[3]Tasa de Falla'!FJ28=0,"",'[3]Tasa de Falla'!FJ28)</f>
      </c>
      <c r="P28" s="777">
        <f>IF('[3]Tasa de Falla'!FK28=0,"",'[3]Tasa de Falla'!FK28)</f>
      </c>
      <c r="Q28" s="777">
        <f>IF('[3]Tasa de Falla'!FL28=0,"",'[3]Tasa de Falla'!FL28)</f>
      </c>
      <c r="R28" s="777">
        <f>IF('[3]Tasa de Falla'!FM28=0,"",'[3]Tasa de Falla'!FM28)</f>
      </c>
      <c r="S28" s="783"/>
      <c r="T28" s="779"/>
    </row>
    <row r="29" spans="2:20" ht="15" customHeight="1">
      <c r="B29" s="2"/>
      <c r="C29" s="774">
        <f>IF('[3]Tasa de Falla'!C29=0,"",'[3]Tasa de Falla'!C29)</f>
        <v>13</v>
      </c>
      <c r="D29" s="775" t="str">
        <f>IF('[3]Tasa de Falla'!D29=0,"",'[3]Tasa de Falla'!D29)</f>
        <v>PICO TRUNCADO I - PICO TRUNCADO II</v>
      </c>
      <c r="E29" s="775">
        <f>IF('[3]Tasa de Falla'!E29=0,"",'[3]Tasa de Falla'!E29)</f>
        <v>132</v>
      </c>
      <c r="F29" s="776">
        <f>IF('[3]Tasa de Falla'!F29=0,"",'[3]Tasa de Falla'!F29)</f>
        <v>13.4</v>
      </c>
      <c r="G29" s="777">
        <f>IF('[3]Tasa de Falla'!FB29=0,"",'[3]Tasa de Falla'!FB29)</f>
      </c>
      <c r="H29" s="777">
        <f>IF('[3]Tasa de Falla'!FC29=0,"",'[3]Tasa de Falla'!FC29)</f>
      </c>
      <c r="I29" s="777">
        <f>IF('[3]Tasa de Falla'!FD29=0,"",'[3]Tasa de Falla'!FD29)</f>
      </c>
      <c r="J29" s="777">
        <f>IF('[3]Tasa de Falla'!FE29=0,"",'[3]Tasa de Falla'!FE29)</f>
      </c>
      <c r="K29" s="777">
        <f>IF('[3]Tasa de Falla'!FF29=0,"",'[3]Tasa de Falla'!FF29)</f>
      </c>
      <c r="L29" s="777">
        <f>IF('[3]Tasa de Falla'!FG29=0,"",'[3]Tasa de Falla'!FG29)</f>
      </c>
      <c r="M29" s="777">
        <f>IF('[3]Tasa de Falla'!FH29=0,"",'[3]Tasa de Falla'!FH29)</f>
      </c>
      <c r="N29" s="777">
        <f>IF('[3]Tasa de Falla'!FI29=0,"",'[3]Tasa de Falla'!FI29)</f>
      </c>
      <c r="O29" s="777">
        <f>IF('[3]Tasa de Falla'!FJ29=0,"",'[3]Tasa de Falla'!FJ29)</f>
      </c>
      <c r="P29" s="777">
        <f>IF('[3]Tasa de Falla'!FK29=0,"",'[3]Tasa de Falla'!FK29)</f>
      </c>
      <c r="Q29" s="777">
        <f>IF('[3]Tasa de Falla'!FL29=0,"",'[3]Tasa de Falla'!FL29)</f>
      </c>
      <c r="R29" s="777">
        <f>IF('[3]Tasa de Falla'!FM29=0,"",'[3]Tasa de Falla'!FM29)</f>
        <v>1</v>
      </c>
      <c r="S29" s="783"/>
      <c r="T29" s="779"/>
    </row>
    <row r="30" spans="2:20" ht="15" customHeight="1">
      <c r="B30" s="2"/>
      <c r="C30" s="780">
        <f>IF('[3]Tasa de Falla'!C30=0,"",'[3]Tasa de Falla'!C30)</f>
        <v>14</v>
      </c>
      <c r="D30" s="781" t="str">
        <f>IF('[3]Tasa de Falla'!D30=0,"",'[3]Tasa de Falla'!D30)</f>
        <v>PLANTA ALUMINIO DGPA - PTO MADRYN</v>
      </c>
      <c r="E30" s="781">
        <f>IF('[3]Tasa de Falla'!E30=0,"",'[3]Tasa de Falla'!E30)</f>
        <v>132</v>
      </c>
      <c r="F30" s="782">
        <f>IF('[3]Tasa de Falla'!F30=0,"",'[3]Tasa de Falla'!F30)</f>
        <v>5.7</v>
      </c>
      <c r="G30" s="777">
        <f>IF('[3]Tasa de Falla'!FB30=0,"",'[3]Tasa de Falla'!FB30)</f>
      </c>
      <c r="H30" s="777">
        <f>IF('[3]Tasa de Falla'!FC30=0,"",'[3]Tasa de Falla'!FC30)</f>
      </c>
      <c r="I30" s="777">
        <f>IF('[3]Tasa de Falla'!FD30=0,"",'[3]Tasa de Falla'!FD30)</f>
      </c>
      <c r="J30" s="777">
        <f>IF('[3]Tasa de Falla'!FE30=0,"",'[3]Tasa de Falla'!FE30)</f>
      </c>
      <c r="K30" s="777">
        <f>IF('[3]Tasa de Falla'!FF30=0,"",'[3]Tasa de Falla'!FF30)</f>
      </c>
      <c r="L30" s="777">
        <f>IF('[3]Tasa de Falla'!FG30=0,"",'[3]Tasa de Falla'!FG30)</f>
      </c>
      <c r="M30" s="777">
        <f>IF('[3]Tasa de Falla'!FH30=0,"",'[3]Tasa de Falla'!FH30)</f>
      </c>
      <c r="N30" s="777">
        <f>IF('[3]Tasa de Falla'!FI30=0,"",'[3]Tasa de Falla'!FI30)</f>
      </c>
      <c r="O30" s="777">
        <f>IF('[3]Tasa de Falla'!FJ30=0,"",'[3]Tasa de Falla'!FJ30)</f>
        <v>1</v>
      </c>
      <c r="P30" s="777">
        <f>IF('[3]Tasa de Falla'!FK30=0,"",'[3]Tasa de Falla'!FK30)</f>
      </c>
      <c r="Q30" s="777">
        <f>IF('[3]Tasa de Falla'!FL30=0,"",'[3]Tasa de Falla'!FL30)</f>
      </c>
      <c r="R30" s="777">
        <f>IF('[3]Tasa de Falla'!FM30=0,"",'[3]Tasa de Falla'!FM30)</f>
      </c>
      <c r="S30" s="783"/>
      <c r="T30" s="779"/>
    </row>
    <row r="31" spans="2:20" ht="15" customHeight="1">
      <c r="B31" s="2"/>
      <c r="C31" s="774">
        <f>IF('[3]Tasa de Falla'!C31=0,"",'[3]Tasa de Falla'!C31)</f>
        <v>15</v>
      </c>
      <c r="D31" s="775" t="str">
        <f>IF('[3]Tasa de Falla'!D31=0,"",'[3]Tasa de Falla'!D31)</f>
        <v>PLANTA ALUMINIO DGPA - SS.AA. PTO MADRYN</v>
      </c>
      <c r="E31" s="775">
        <f>IF('[3]Tasa de Falla'!E31=0,"",'[3]Tasa de Falla'!E31)</f>
        <v>33</v>
      </c>
      <c r="F31" s="776">
        <f>IF('[3]Tasa de Falla'!F31=0,"",'[3]Tasa de Falla'!F31)</f>
        <v>6</v>
      </c>
      <c r="G31" s="777">
        <f>IF('[3]Tasa de Falla'!FB31=0,"",'[3]Tasa de Falla'!FB31)</f>
      </c>
      <c r="H31" s="777">
        <f>IF('[3]Tasa de Falla'!FC31=0,"",'[3]Tasa de Falla'!FC31)</f>
      </c>
      <c r="I31" s="777">
        <f>IF('[3]Tasa de Falla'!FD31=0,"",'[3]Tasa de Falla'!FD31)</f>
      </c>
      <c r="J31" s="777">
        <f>IF('[3]Tasa de Falla'!FE31=0,"",'[3]Tasa de Falla'!FE31)</f>
      </c>
      <c r="K31" s="777">
        <f>IF('[3]Tasa de Falla'!FF31=0,"",'[3]Tasa de Falla'!FF31)</f>
      </c>
      <c r="L31" s="777">
        <f>IF('[3]Tasa de Falla'!FG31=0,"",'[3]Tasa de Falla'!FG31)</f>
      </c>
      <c r="M31" s="777">
        <f>IF('[3]Tasa de Falla'!FH31=0,"",'[3]Tasa de Falla'!FH31)</f>
      </c>
      <c r="N31" s="777">
        <f>IF('[3]Tasa de Falla'!FI31=0,"",'[3]Tasa de Falla'!FI31)</f>
      </c>
      <c r="O31" s="777">
        <f>IF('[3]Tasa de Falla'!FJ31=0,"",'[3]Tasa de Falla'!FJ31)</f>
      </c>
      <c r="P31" s="777">
        <f>IF('[3]Tasa de Falla'!FK31=0,"",'[3]Tasa de Falla'!FK31)</f>
      </c>
      <c r="Q31" s="777">
        <f>IF('[3]Tasa de Falla'!FL31=0,"",'[3]Tasa de Falla'!FL31)</f>
      </c>
      <c r="R31" s="777">
        <f>IF('[3]Tasa de Falla'!FM31=0,"",'[3]Tasa de Falla'!FM31)</f>
      </c>
      <c r="S31" s="783"/>
      <c r="T31" s="779"/>
    </row>
    <row r="32" spans="2:20" ht="15" customHeight="1">
      <c r="B32" s="2"/>
      <c r="C32" s="780">
        <f>IF('[3]Tasa de Falla'!C32=0,"",'[3]Tasa de Falla'!C32)</f>
        <v>16</v>
      </c>
      <c r="D32" s="781" t="str">
        <f>IF('[3]Tasa de Falla'!D32=0,"",'[3]Tasa de Falla'!D32)</f>
        <v>PLANTA ALUMINIO DGPA - TRELEW</v>
      </c>
      <c r="E32" s="781">
        <f>IF('[3]Tasa de Falla'!E32=0,"",'[3]Tasa de Falla'!E32)</f>
        <v>132</v>
      </c>
      <c r="F32" s="782">
        <f>IF('[3]Tasa de Falla'!F32=0,"",'[3]Tasa de Falla'!F32)</f>
        <v>62</v>
      </c>
      <c r="G32" s="777">
        <f>IF('[3]Tasa de Falla'!FB32=0,"",'[3]Tasa de Falla'!FB32)</f>
      </c>
      <c r="H32" s="777">
        <f>IF('[3]Tasa de Falla'!FC32=0,"",'[3]Tasa de Falla'!FC32)</f>
      </c>
      <c r="I32" s="777">
        <f>IF('[3]Tasa de Falla'!FD32=0,"",'[3]Tasa de Falla'!FD32)</f>
      </c>
      <c r="J32" s="777">
        <f>IF('[3]Tasa de Falla'!FE32=0,"",'[3]Tasa de Falla'!FE32)</f>
      </c>
      <c r="K32" s="777">
        <f>IF('[3]Tasa de Falla'!FF32=0,"",'[3]Tasa de Falla'!FF32)</f>
      </c>
      <c r="L32" s="777">
        <f>IF('[3]Tasa de Falla'!FG32=0,"",'[3]Tasa de Falla'!FG32)</f>
      </c>
      <c r="M32" s="777">
        <f>IF('[3]Tasa de Falla'!FH32=0,"",'[3]Tasa de Falla'!FH32)</f>
      </c>
      <c r="N32" s="777">
        <f>IF('[3]Tasa de Falla'!FI32=0,"",'[3]Tasa de Falla'!FI32)</f>
        <v>1</v>
      </c>
      <c r="O32" s="777">
        <f>IF('[3]Tasa de Falla'!FJ32=0,"",'[3]Tasa de Falla'!FJ32)</f>
        <v>1</v>
      </c>
      <c r="P32" s="777">
        <f>IF('[3]Tasa de Falla'!FK32=0,"",'[3]Tasa de Falla'!FK32)</f>
      </c>
      <c r="Q32" s="777">
        <f>IF('[3]Tasa de Falla'!FL32=0,"",'[3]Tasa de Falla'!FL32)</f>
      </c>
      <c r="R32" s="777">
        <f>IF('[3]Tasa de Falla'!FM32=0,"",'[3]Tasa de Falla'!FM32)</f>
      </c>
      <c r="S32" s="783"/>
      <c r="T32" s="779"/>
    </row>
    <row r="33" spans="2:20" ht="15" customHeight="1">
      <c r="B33" s="2"/>
      <c r="C33" s="774">
        <f>IF('[3]Tasa de Falla'!C33=0,"",'[3]Tasa de Falla'!C33)</f>
        <v>17</v>
      </c>
      <c r="D33" s="775" t="str">
        <f>IF('[3]Tasa de Falla'!D33=0,"",'[3]Tasa de Falla'!D33)</f>
        <v>PUERTO MADRYN - SIERRA GRANDE</v>
      </c>
      <c r="E33" s="775">
        <f>IF('[3]Tasa de Falla'!E33=0,"",'[3]Tasa de Falla'!E33)</f>
        <v>132</v>
      </c>
      <c r="F33" s="776">
        <f>IF('[3]Tasa de Falla'!F33=0,"",'[3]Tasa de Falla'!F33)</f>
        <v>121.5</v>
      </c>
      <c r="G33" s="777">
        <f>IF('[3]Tasa de Falla'!FB33=0,"",'[3]Tasa de Falla'!FB33)</f>
      </c>
      <c r="H33" s="777">
        <f>IF('[3]Tasa de Falla'!FC33=0,"",'[3]Tasa de Falla'!FC33)</f>
      </c>
      <c r="I33" s="777">
        <f>IF('[3]Tasa de Falla'!FD33=0,"",'[3]Tasa de Falla'!FD33)</f>
      </c>
      <c r="J33" s="777">
        <f>IF('[3]Tasa de Falla'!FE33=0,"",'[3]Tasa de Falla'!FE33)</f>
        <v>1</v>
      </c>
      <c r="K33" s="777">
        <f>IF('[3]Tasa de Falla'!FF33=0,"",'[3]Tasa de Falla'!FF33)</f>
      </c>
      <c r="L33" s="777">
        <f>IF('[3]Tasa de Falla'!FG33=0,"",'[3]Tasa de Falla'!FG33)</f>
        <v>1</v>
      </c>
      <c r="M33" s="777">
        <f>IF('[3]Tasa de Falla'!FH33=0,"",'[3]Tasa de Falla'!FH33)</f>
      </c>
      <c r="N33" s="777">
        <f>IF('[3]Tasa de Falla'!FI33=0,"",'[3]Tasa de Falla'!FI33)</f>
      </c>
      <c r="O33" s="777">
        <f>IF('[3]Tasa de Falla'!FJ33=0,"",'[3]Tasa de Falla'!FJ33)</f>
      </c>
      <c r="P33" s="777">
        <f>IF('[3]Tasa de Falla'!FK33=0,"",'[3]Tasa de Falla'!FK33)</f>
      </c>
      <c r="Q33" s="777">
        <f>IF('[3]Tasa de Falla'!FL33=0,"",'[3]Tasa de Falla'!FL33)</f>
      </c>
      <c r="R33" s="777">
        <f>IF('[3]Tasa de Falla'!FM33=0,"",'[3]Tasa de Falla'!FM33)</f>
      </c>
      <c r="S33" s="783"/>
      <c r="T33" s="779"/>
    </row>
    <row r="34" spans="2:20" ht="15" customHeight="1">
      <c r="B34" s="2"/>
      <c r="C34" s="780">
        <f>IF('[3]Tasa de Falla'!C34=0,"",'[3]Tasa de Falla'!C34)</f>
        <v>18</v>
      </c>
      <c r="D34" s="781" t="str">
        <f>IF('[3]Tasa de Falla'!D34=0,"",'[3]Tasa de Falla'!D34)</f>
        <v>BARRIO SAN MARTIN - A CONEXION "T"</v>
      </c>
      <c r="E34" s="781">
        <f>IF('[3]Tasa de Falla'!E34=0,"",'[3]Tasa de Falla'!E34)</f>
        <v>132</v>
      </c>
      <c r="F34" s="782">
        <f>IF('[3]Tasa de Falla'!F34=0,"",'[3]Tasa de Falla'!F34)</f>
        <v>7.5</v>
      </c>
      <c r="G34" s="777" t="str">
        <f>IF('[3]Tasa de Falla'!FB34=0,"",'[3]Tasa de Falla'!FB34)</f>
        <v>XXXX</v>
      </c>
      <c r="H34" s="777" t="str">
        <f>IF('[3]Tasa de Falla'!FC34=0,"",'[3]Tasa de Falla'!FC34)</f>
        <v>XXXX</v>
      </c>
      <c r="I34" s="777" t="str">
        <f>IF('[3]Tasa de Falla'!FD34=0,"",'[3]Tasa de Falla'!FD34)</f>
        <v>XXXX</v>
      </c>
      <c r="J34" s="777" t="str">
        <f>IF('[3]Tasa de Falla'!FE34=0,"",'[3]Tasa de Falla'!FE34)</f>
        <v>XXXX</v>
      </c>
      <c r="K34" s="777" t="str">
        <f>IF('[3]Tasa de Falla'!FF34=0,"",'[3]Tasa de Falla'!FF34)</f>
        <v>XXXX</v>
      </c>
      <c r="L34" s="777" t="str">
        <f>IF('[3]Tasa de Falla'!FG34=0,"",'[3]Tasa de Falla'!FG34)</f>
        <v>XXXX</v>
      </c>
      <c r="M34" s="777" t="str">
        <f>IF('[3]Tasa de Falla'!FH34=0,"",'[3]Tasa de Falla'!FH34)</f>
        <v>XXXX</v>
      </c>
      <c r="N34" s="777" t="str">
        <f>IF('[3]Tasa de Falla'!FI34=0,"",'[3]Tasa de Falla'!FI34)</f>
        <v>XXXX</v>
      </c>
      <c r="O34" s="777" t="str">
        <f>IF('[3]Tasa de Falla'!FJ34=0,"",'[3]Tasa de Falla'!FJ34)</f>
        <v>XXXX</v>
      </c>
      <c r="P34" s="777" t="str">
        <f>IF('[3]Tasa de Falla'!FK34=0,"",'[3]Tasa de Falla'!FK34)</f>
        <v>XXXX</v>
      </c>
      <c r="Q34" s="777" t="str">
        <f>IF('[3]Tasa de Falla'!FL34=0,"",'[3]Tasa de Falla'!FL34)</f>
        <v>XXXX</v>
      </c>
      <c r="R34" s="777" t="str">
        <f>IF('[3]Tasa de Falla'!FM34=0,"",'[3]Tasa de Falla'!FM34)</f>
        <v>XXXX</v>
      </c>
      <c r="S34" s="783"/>
      <c r="T34" s="779"/>
    </row>
    <row r="35" spans="2:20" ht="15" customHeight="1">
      <c r="B35" s="2"/>
      <c r="C35" s="774">
        <f>IF('[3]Tasa de Falla'!C35=0,"",'[3]Tasa de Falla'!C35)</f>
        <v>19</v>
      </c>
      <c r="D35" s="775" t="str">
        <f>IF('[3]Tasa de Falla'!D35=0,"",'[3]Tasa de Falla'!D35)</f>
        <v>PICO TRUNCADO I - LAS HERAS</v>
      </c>
      <c r="E35" s="775">
        <f>IF('[3]Tasa de Falla'!E35=0,"",'[3]Tasa de Falla'!E35)</f>
        <v>132</v>
      </c>
      <c r="F35" s="776">
        <f>IF('[3]Tasa de Falla'!F35=0,"",'[3]Tasa de Falla'!F35)</f>
        <v>82.5</v>
      </c>
      <c r="G35" s="777">
        <f>IF('[3]Tasa de Falla'!FB35=0,"",'[3]Tasa de Falla'!FB35)</f>
      </c>
      <c r="H35" s="777">
        <f>IF('[3]Tasa de Falla'!FC35=0,"",'[3]Tasa de Falla'!FC35)</f>
      </c>
      <c r="I35" s="777">
        <f>IF('[3]Tasa de Falla'!FD35=0,"",'[3]Tasa de Falla'!FD35)</f>
      </c>
      <c r="J35" s="777">
        <f>IF('[3]Tasa de Falla'!FE35=0,"",'[3]Tasa de Falla'!FE35)</f>
      </c>
      <c r="K35" s="777">
        <f>IF('[3]Tasa de Falla'!FF35=0,"",'[3]Tasa de Falla'!FF35)</f>
      </c>
      <c r="L35" s="777">
        <f>IF('[3]Tasa de Falla'!FG35=0,"",'[3]Tasa de Falla'!FG35)</f>
      </c>
      <c r="M35" s="777">
        <f>IF('[3]Tasa de Falla'!FH35=0,"",'[3]Tasa de Falla'!FH35)</f>
        <v>2</v>
      </c>
      <c r="N35" s="777">
        <f>IF('[3]Tasa de Falla'!FI35=0,"",'[3]Tasa de Falla'!FI35)</f>
      </c>
      <c r="O35" s="777">
        <f>IF('[3]Tasa de Falla'!FJ35=0,"",'[3]Tasa de Falla'!FJ35)</f>
      </c>
      <c r="P35" s="777">
        <f>IF('[3]Tasa de Falla'!FK35=0,"",'[3]Tasa de Falla'!FK35)</f>
      </c>
      <c r="Q35" s="777">
        <f>IF('[3]Tasa de Falla'!FL35=0,"",'[3]Tasa de Falla'!FL35)</f>
      </c>
      <c r="R35" s="777">
        <f>IF('[3]Tasa de Falla'!FM35=0,"",'[3]Tasa de Falla'!FM35)</f>
      </c>
      <c r="S35" s="783"/>
      <c r="T35" s="779"/>
    </row>
    <row r="36" spans="2:20" ht="15" customHeight="1">
      <c r="B36" s="2"/>
      <c r="C36" s="780">
        <f>IF('[3]Tasa de Falla'!C36=0,"",'[3]Tasa de Falla'!C36)</f>
        <v>20</v>
      </c>
      <c r="D36" s="781" t="str">
        <f>IF('[3]Tasa de Falla'!D36=0,"",'[3]Tasa de Falla'!D36)</f>
        <v>LAS HERAS - LOS PERALES</v>
      </c>
      <c r="E36" s="781">
        <f>IF('[3]Tasa de Falla'!E36=0,"",'[3]Tasa de Falla'!E36)</f>
        <v>132</v>
      </c>
      <c r="F36" s="782">
        <f>IF('[3]Tasa de Falla'!F36=0,"",'[3]Tasa de Falla'!F36)</f>
        <v>47</v>
      </c>
      <c r="G36" s="777">
        <f>IF('[3]Tasa de Falla'!FB36=0,"",'[3]Tasa de Falla'!FB36)</f>
      </c>
      <c r="H36" s="777">
        <f>IF('[3]Tasa de Falla'!FC36=0,"",'[3]Tasa de Falla'!FC36)</f>
      </c>
      <c r="I36" s="777">
        <f>IF('[3]Tasa de Falla'!FD36=0,"",'[3]Tasa de Falla'!FD36)</f>
      </c>
      <c r="J36" s="777">
        <f>IF('[3]Tasa de Falla'!FE36=0,"",'[3]Tasa de Falla'!FE36)</f>
      </c>
      <c r="K36" s="777">
        <f>IF('[3]Tasa de Falla'!FF36=0,"",'[3]Tasa de Falla'!FF36)</f>
      </c>
      <c r="L36" s="777">
        <f>IF('[3]Tasa de Falla'!FG36=0,"",'[3]Tasa de Falla'!FG36)</f>
      </c>
      <c r="M36" s="777">
        <f>IF('[3]Tasa de Falla'!FH36=0,"",'[3]Tasa de Falla'!FH36)</f>
      </c>
      <c r="N36" s="777">
        <f>IF('[3]Tasa de Falla'!FI36=0,"",'[3]Tasa de Falla'!FI36)</f>
      </c>
      <c r="O36" s="777">
        <f>IF('[3]Tasa de Falla'!FJ36=0,"",'[3]Tasa de Falla'!FJ36)</f>
      </c>
      <c r="P36" s="777">
        <f>IF('[3]Tasa de Falla'!FK36=0,"",'[3]Tasa de Falla'!FK36)</f>
      </c>
      <c r="Q36" s="777">
        <f>IF('[3]Tasa de Falla'!FL36=0,"",'[3]Tasa de Falla'!FL36)</f>
      </c>
      <c r="R36" s="777">
        <f>IF('[3]Tasa de Falla'!FM36=0,"",'[3]Tasa de Falla'!FM36)</f>
        <v>1</v>
      </c>
      <c r="S36" s="783"/>
      <c r="T36" s="779"/>
    </row>
    <row r="37" spans="2:20" ht="15" customHeight="1">
      <c r="B37" s="2"/>
      <c r="C37" s="774">
        <f>IF('[3]Tasa de Falla'!C37=0,"",'[3]Tasa de Falla'!C37)</f>
        <v>21</v>
      </c>
      <c r="D37" s="775" t="str">
        <f>IF('[3]Tasa de Falla'!D37=0,"",'[3]Tasa de Falla'!D37)</f>
        <v>N. P. MADRYN - P. MADRYN 330 kV</v>
      </c>
      <c r="E37" s="775">
        <f>IF('[3]Tasa de Falla'!E37=0,"",'[3]Tasa de Falla'!E37)</f>
        <v>330</v>
      </c>
      <c r="F37" s="776">
        <f>IF('[3]Tasa de Falla'!F37=0,"",'[3]Tasa de Falla'!F37)</f>
        <v>0.47</v>
      </c>
      <c r="G37" s="777" t="str">
        <f>IF('[3]Tasa de Falla'!FB37=0,"",'[3]Tasa de Falla'!FB37)</f>
        <v>XXXX</v>
      </c>
      <c r="H37" s="777" t="str">
        <f>IF('[3]Tasa de Falla'!FC37=0,"",'[3]Tasa de Falla'!FC37)</f>
        <v>XXXX</v>
      </c>
      <c r="I37" s="777" t="str">
        <f>IF('[3]Tasa de Falla'!FD37=0,"",'[3]Tasa de Falla'!FD37)</f>
        <v>XXXX</v>
      </c>
      <c r="J37" s="777" t="str">
        <f>IF('[3]Tasa de Falla'!FE37=0,"",'[3]Tasa de Falla'!FE37)</f>
        <v>XXXX</v>
      </c>
      <c r="K37" s="777" t="str">
        <f>IF('[3]Tasa de Falla'!FF37=0,"",'[3]Tasa de Falla'!FF37)</f>
        <v>XXXX</v>
      </c>
      <c r="L37" s="777" t="str">
        <f>IF('[3]Tasa de Falla'!FG37=0,"",'[3]Tasa de Falla'!FG37)</f>
        <v>XXXX</v>
      </c>
      <c r="M37" s="777" t="str">
        <f>IF('[3]Tasa de Falla'!FH37=0,"",'[3]Tasa de Falla'!FH37)</f>
        <v>XXXX</v>
      </c>
      <c r="N37" s="777" t="str">
        <f>IF('[3]Tasa de Falla'!FI37=0,"",'[3]Tasa de Falla'!FI37)</f>
        <v>XXXX</v>
      </c>
      <c r="O37" s="777" t="str">
        <f>IF('[3]Tasa de Falla'!FJ37=0,"",'[3]Tasa de Falla'!FJ37)</f>
        <v>XXXX</v>
      </c>
      <c r="P37" s="777" t="str">
        <f>IF('[3]Tasa de Falla'!FK37=0,"",'[3]Tasa de Falla'!FK37)</f>
        <v>XXXX</v>
      </c>
      <c r="Q37" s="777" t="str">
        <f>IF('[3]Tasa de Falla'!FL37=0,"",'[3]Tasa de Falla'!FL37)</f>
        <v>XXXX</v>
      </c>
      <c r="R37" s="777" t="str">
        <f>IF('[3]Tasa de Falla'!FM37=0,"",'[3]Tasa de Falla'!FM37)</f>
        <v>XXXX</v>
      </c>
      <c r="S37" s="783"/>
      <c r="T37" s="779"/>
    </row>
    <row r="38" spans="2:20" ht="15" customHeight="1">
      <c r="B38" s="2"/>
      <c r="C38" s="780">
        <f>IF('[3]Tasa de Falla'!C38=0,"",'[3]Tasa de Falla'!C38)</f>
      </c>
      <c r="D38" s="781" t="str">
        <f>IF('[3]Tasa de Falla'!D38=0,"",'[3]Tasa de Falla'!D38)</f>
        <v>TRELEW - RAWSON</v>
      </c>
      <c r="E38" s="781">
        <f>IF('[3]Tasa de Falla'!E38=0,"",'[3]Tasa de Falla'!E38)</f>
        <v>132</v>
      </c>
      <c r="F38" s="782">
        <f>IF('[3]Tasa de Falla'!F38=0,"",'[3]Tasa de Falla'!F38)</f>
        <v>21.8</v>
      </c>
      <c r="G38" s="777">
        <f>IF('[3]Tasa de Falla'!FB38=0,"",'[3]Tasa de Falla'!FB38)</f>
      </c>
      <c r="H38" s="777">
        <f>IF('[3]Tasa de Falla'!FC38=0,"",'[3]Tasa de Falla'!FC38)</f>
      </c>
      <c r="I38" s="777">
        <f>IF('[3]Tasa de Falla'!FD38=0,"",'[3]Tasa de Falla'!FD38)</f>
      </c>
      <c r="J38" s="777">
        <f>IF('[3]Tasa de Falla'!FE38=0,"",'[3]Tasa de Falla'!FE38)</f>
      </c>
      <c r="K38" s="777">
        <f>IF('[3]Tasa de Falla'!FF38=0,"",'[3]Tasa de Falla'!FF38)</f>
      </c>
      <c r="L38" s="777">
        <f>IF('[3]Tasa de Falla'!FG38=0,"",'[3]Tasa de Falla'!FG38)</f>
      </c>
      <c r="M38" s="777">
        <f>IF('[3]Tasa de Falla'!FH38=0,"",'[3]Tasa de Falla'!FH38)</f>
      </c>
      <c r="N38" s="777">
        <f>IF('[3]Tasa de Falla'!FI38=0,"",'[3]Tasa de Falla'!FI38)</f>
      </c>
      <c r="O38" s="777">
        <f>IF('[3]Tasa de Falla'!FJ38=0,"",'[3]Tasa de Falla'!FJ38)</f>
      </c>
      <c r="P38" s="777">
        <f>IF('[3]Tasa de Falla'!FK38=0,"",'[3]Tasa de Falla'!FK38)</f>
      </c>
      <c r="Q38" s="777">
        <f>IF('[3]Tasa de Falla'!FL38=0,"",'[3]Tasa de Falla'!FL38)</f>
      </c>
      <c r="R38" s="777">
        <f>IF('[3]Tasa de Falla'!FM38=0,"",'[3]Tasa de Falla'!FM38)</f>
      </c>
      <c r="S38" s="783"/>
      <c r="T38" s="779"/>
    </row>
    <row r="39" spans="2:20" ht="15" customHeight="1">
      <c r="B39" s="2"/>
      <c r="C39" s="774">
        <f>IF('[3]Tasa de Falla'!C39=0,"",'[3]Tasa de Falla'!C39)</f>
        <v>19</v>
      </c>
      <c r="D39" s="775" t="str">
        <f>IF('[3]Tasa de Falla'!D39=0,"",'[3]Tasa de Falla'!D39)</f>
        <v>PUNTA COLORADA - SIERRA GRANDE</v>
      </c>
      <c r="E39" s="775">
        <f>IF('[3]Tasa de Falla'!E39=0,"",'[3]Tasa de Falla'!E39)</f>
        <v>132</v>
      </c>
      <c r="F39" s="776">
        <f>IF('[3]Tasa de Falla'!F39=0,"",'[3]Tasa de Falla'!F39)</f>
        <v>31</v>
      </c>
      <c r="G39" s="777">
        <f>IF('[3]Tasa de Falla'!FB39=0,"",'[3]Tasa de Falla'!FB39)</f>
      </c>
      <c r="H39" s="777">
        <f>IF('[3]Tasa de Falla'!FC39=0,"",'[3]Tasa de Falla'!FC39)</f>
      </c>
      <c r="I39" s="777">
        <f>IF('[3]Tasa de Falla'!FD39=0,"",'[3]Tasa de Falla'!FD39)</f>
      </c>
      <c r="J39" s="777">
        <f>IF('[3]Tasa de Falla'!FE39=0,"",'[3]Tasa de Falla'!FE39)</f>
      </c>
      <c r="K39" s="777">
        <f>IF('[3]Tasa de Falla'!FF39=0,"",'[3]Tasa de Falla'!FF39)</f>
      </c>
      <c r="L39" s="777">
        <f>IF('[3]Tasa de Falla'!FG39=0,"",'[3]Tasa de Falla'!FG39)</f>
      </c>
      <c r="M39" s="777">
        <f>IF('[3]Tasa de Falla'!FH39=0,"",'[3]Tasa de Falla'!FH39)</f>
      </c>
      <c r="N39" s="777">
        <f>IF('[3]Tasa de Falla'!FI39=0,"",'[3]Tasa de Falla'!FI39)</f>
      </c>
      <c r="O39" s="777">
        <f>IF('[3]Tasa de Falla'!FJ39=0,"",'[3]Tasa de Falla'!FJ39)</f>
      </c>
      <c r="P39" s="777">
        <f>IF('[3]Tasa de Falla'!FK39=0,"",'[3]Tasa de Falla'!FK39)</f>
      </c>
      <c r="Q39" s="777">
        <f>IF('[3]Tasa de Falla'!FL39=0,"",'[3]Tasa de Falla'!FL39)</f>
      </c>
      <c r="R39" s="777">
        <f>IF('[3]Tasa de Falla'!FM39=0,"",'[3]Tasa de Falla'!FM39)</f>
      </c>
      <c r="S39" s="783"/>
      <c r="T39" s="779"/>
    </row>
    <row r="40" spans="2:20" ht="15" customHeight="1">
      <c r="B40" s="2"/>
      <c r="C40" s="780">
        <f>IF('[3]Tasa de Falla'!C40=0,"",'[3]Tasa de Falla'!C40)</f>
        <v>20</v>
      </c>
      <c r="D40" s="781" t="str">
        <f>IF('[3]Tasa de Falla'!D40=0,"",'[3]Tasa de Falla'!D40)</f>
        <v>CARMEN DE PATAGONES - VIEDMA</v>
      </c>
      <c r="E40" s="781">
        <f>IF('[3]Tasa de Falla'!E40=0,"",'[3]Tasa de Falla'!E40)</f>
        <v>132</v>
      </c>
      <c r="F40" s="782">
        <f>IF('[3]Tasa de Falla'!F40=0,"",'[3]Tasa de Falla'!F40)</f>
        <v>7</v>
      </c>
      <c r="G40" s="777">
        <f>IF('[3]Tasa de Falla'!FB40=0,"",'[3]Tasa de Falla'!FB40)</f>
      </c>
      <c r="H40" s="777">
        <f>IF('[3]Tasa de Falla'!FC40=0,"",'[3]Tasa de Falla'!FC40)</f>
      </c>
      <c r="I40" s="777">
        <f>IF('[3]Tasa de Falla'!FD40=0,"",'[3]Tasa de Falla'!FD40)</f>
      </c>
      <c r="J40" s="777">
        <f>IF('[3]Tasa de Falla'!FE40=0,"",'[3]Tasa de Falla'!FE40)</f>
      </c>
      <c r="K40" s="777">
        <f>IF('[3]Tasa de Falla'!FF40=0,"",'[3]Tasa de Falla'!FF40)</f>
      </c>
      <c r="L40" s="777">
        <f>IF('[3]Tasa de Falla'!FG40=0,"",'[3]Tasa de Falla'!FG40)</f>
      </c>
      <c r="M40" s="777">
        <f>IF('[3]Tasa de Falla'!FH40=0,"",'[3]Tasa de Falla'!FH40)</f>
      </c>
      <c r="N40" s="777">
        <f>IF('[3]Tasa de Falla'!FI40=0,"",'[3]Tasa de Falla'!FI40)</f>
      </c>
      <c r="O40" s="777">
        <f>IF('[3]Tasa de Falla'!FJ40=0,"",'[3]Tasa de Falla'!FJ40)</f>
      </c>
      <c r="P40" s="777">
        <f>IF('[3]Tasa de Falla'!FK40=0,"",'[3]Tasa de Falla'!FK40)</f>
      </c>
      <c r="Q40" s="777">
        <f>IF('[3]Tasa de Falla'!FL40=0,"",'[3]Tasa de Falla'!FL40)</f>
      </c>
      <c r="R40" s="777">
        <f>IF('[3]Tasa de Falla'!FM40=0,"",'[3]Tasa de Falla'!FM40)</f>
      </c>
      <c r="S40" s="783"/>
      <c r="T40" s="779"/>
    </row>
    <row r="41" spans="2:20" ht="15" customHeight="1">
      <c r="B41" s="2"/>
      <c r="C41" s="774">
        <f>IF('[3]Tasa de Falla'!C41=0,"",'[3]Tasa de Falla'!C41)</f>
        <v>21</v>
      </c>
      <c r="D41" s="775" t="str">
        <f>IF('[3]Tasa de Falla'!D41=0,"",'[3]Tasa de Falla'!D41)</f>
        <v>SAN ANTONIO OESTE - SIERRA GRANDE</v>
      </c>
      <c r="E41" s="775">
        <f>IF('[3]Tasa de Falla'!E41=0,"",'[3]Tasa de Falla'!E41)</f>
        <v>132</v>
      </c>
      <c r="F41" s="776">
        <f>IF('[3]Tasa de Falla'!F41=0,"",'[3]Tasa de Falla'!F41)</f>
        <v>110.3</v>
      </c>
      <c r="G41" s="777">
        <f>IF('[3]Tasa de Falla'!FB41=0,"",'[3]Tasa de Falla'!FB41)</f>
      </c>
      <c r="H41" s="777">
        <f>IF('[3]Tasa de Falla'!FC41=0,"",'[3]Tasa de Falla'!FC41)</f>
      </c>
      <c r="I41" s="777">
        <f>IF('[3]Tasa de Falla'!FD41=0,"",'[3]Tasa de Falla'!FD41)</f>
      </c>
      <c r="J41" s="777">
        <f>IF('[3]Tasa de Falla'!FE41=0,"",'[3]Tasa de Falla'!FE41)</f>
      </c>
      <c r="K41" s="777">
        <f>IF('[3]Tasa de Falla'!FF41=0,"",'[3]Tasa de Falla'!FF41)</f>
      </c>
      <c r="L41" s="777">
        <f>IF('[3]Tasa de Falla'!FG41=0,"",'[3]Tasa de Falla'!FG41)</f>
      </c>
      <c r="M41" s="777">
        <f>IF('[3]Tasa de Falla'!FH41=0,"",'[3]Tasa de Falla'!FH41)</f>
      </c>
      <c r="N41" s="777">
        <f>IF('[3]Tasa de Falla'!FI41=0,"",'[3]Tasa de Falla'!FI41)</f>
      </c>
      <c r="O41" s="777">
        <f>IF('[3]Tasa de Falla'!FJ41=0,"",'[3]Tasa de Falla'!FJ41)</f>
      </c>
      <c r="P41" s="777">
        <f>IF('[3]Tasa de Falla'!FK41=0,"",'[3]Tasa de Falla'!FK41)</f>
      </c>
      <c r="Q41" s="777">
        <f>IF('[3]Tasa de Falla'!FL41=0,"",'[3]Tasa de Falla'!FL41)</f>
      </c>
      <c r="R41" s="777">
        <f>IF('[3]Tasa de Falla'!FM41=0,"",'[3]Tasa de Falla'!FM41)</f>
      </c>
      <c r="S41" s="783"/>
      <c r="T41" s="779"/>
    </row>
    <row r="42" spans="2:20" ht="15" customHeight="1">
      <c r="B42" s="2"/>
      <c r="C42" s="780">
        <f>IF('[3]Tasa de Falla'!C42=0,"",'[3]Tasa de Falla'!C42)</f>
        <v>22</v>
      </c>
      <c r="D42" s="781" t="str">
        <f>IF('[3]Tasa de Falla'!D42=0,"",'[3]Tasa de Falla'!D42)</f>
        <v>SAN ANTONIO OESTE - VIEDMA</v>
      </c>
      <c r="E42" s="781">
        <f>IF('[3]Tasa de Falla'!E42=0,"",'[3]Tasa de Falla'!E42)</f>
        <v>132</v>
      </c>
      <c r="F42" s="782">
        <f>IF('[3]Tasa de Falla'!F42=0,"",'[3]Tasa de Falla'!F42)</f>
        <v>185.6</v>
      </c>
      <c r="G42" s="777">
        <f>IF('[3]Tasa de Falla'!FB42=0,"",'[3]Tasa de Falla'!FB42)</f>
      </c>
      <c r="H42" s="777">
        <f>IF('[3]Tasa de Falla'!FC42=0,"",'[3]Tasa de Falla'!FC42)</f>
      </c>
      <c r="I42" s="777">
        <f>IF('[3]Tasa de Falla'!FD42=0,"",'[3]Tasa de Falla'!FD42)</f>
      </c>
      <c r="J42" s="777">
        <f>IF('[3]Tasa de Falla'!FE42=0,"",'[3]Tasa de Falla'!FE42)</f>
      </c>
      <c r="K42" s="777">
        <f>IF('[3]Tasa de Falla'!FF42=0,"",'[3]Tasa de Falla'!FF42)</f>
      </c>
      <c r="L42" s="777">
        <f>IF('[3]Tasa de Falla'!FG42=0,"",'[3]Tasa de Falla'!FG42)</f>
      </c>
      <c r="M42" s="777">
        <f>IF('[3]Tasa de Falla'!FH42=0,"",'[3]Tasa de Falla'!FH42)</f>
      </c>
      <c r="N42" s="777">
        <f>IF('[3]Tasa de Falla'!FI42=0,"",'[3]Tasa de Falla'!FI42)</f>
      </c>
      <c r="O42" s="777">
        <f>IF('[3]Tasa de Falla'!FJ42=0,"",'[3]Tasa de Falla'!FJ42)</f>
      </c>
      <c r="P42" s="777">
        <f>IF('[3]Tasa de Falla'!FK42=0,"",'[3]Tasa de Falla'!FK42)</f>
      </c>
      <c r="Q42" s="777">
        <f>IF('[3]Tasa de Falla'!FL42=0,"",'[3]Tasa de Falla'!FL42)</f>
      </c>
      <c r="R42" s="777">
        <f>IF('[3]Tasa de Falla'!FM42=0,"",'[3]Tasa de Falla'!FM42)</f>
      </c>
      <c r="S42" s="783"/>
      <c r="T42" s="779"/>
    </row>
    <row r="43" spans="2:20" ht="15" customHeight="1">
      <c r="B43" s="2"/>
      <c r="C43" s="774">
        <f>IF('[3]Tasa de Falla'!C43=0,"",'[3]Tasa de Falla'!C43)</f>
      </c>
      <c r="D43" s="775">
        <f>IF('[3]Tasa de Falla'!D43=0,"",'[3]Tasa de Falla'!D43)</f>
      </c>
      <c r="E43" s="775">
        <f>IF('[3]Tasa de Falla'!E43=0,"",'[3]Tasa de Falla'!E43)</f>
      </c>
      <c r="F43" s="776">
        <f>IF('[3]Tasa de Falla'!F43=0,"",'[3]Tasa de Falla'!F43)</f>
      </c>
      <c r="G43" s="777">
        <f>IF('[3]Tasa de Falla'!FB43=0,"",'[3]Tasa de Falla'!FB43)</f>
      </c>
      <c r="H43" s="777">
        <f>IF('[3]Tasa de Falla'!FC43=0,"",'[3]Tasa de Falla'!FC43)</f>
      </c>
      <c r="I43" s="777">
        <f>IF('[3]Tasa de Falla'!FD43=0,"",'[3]Tasa de Falla'!FD43)</f>
      </c>
      <c r="J43" s="777">
        <f>IF('[3]Tasa de Falla'!FE43=0,"",'[3]Tasa de Falla'!FE43)</f>
      </c>
      <c r="K43" s="777">
        <f>IF('[3]Tasa de Falla'!FF43=0,"",'[3]Tasa de Falla'!FF43)</f>
      </c>
      <c r="L43" s="777">
        <f>IF('[3]Tasa de Falla'!FG43=0,"",'[3]Tasa de Falla'!FG43)</f>
      </c>
      <c r="M43" s="777">
        <f>IF('[3]Tasa de Falla'!FH43=0,"",'[3]Tasa de Falla'!FH43)</f>
      </c>
      <c r="N43" s="777">
        <f>IF('[3]Tasa de Falla'!FI43=0,"",'[3]Tasa de Falla'!FI43)</f>
      </c>
      <c r="O43" s="777">
        <f>IF('[3]Tasa de Falla'!FJ43=0,"",'[3]Tasa de Falla'!FJ43)</f>
      </c>
      <c r="P43" s="777">
        <f>IF('[3]Tasa de Falla'!FK43=0,"",'[3]Tasa de Falla'!FK43)</f>
      </c>
      <c r="Q43" s="777">
        <f>IF('[3]Tasa de Falla'!FL43=0,"",'[3]Tasa de Falla'!FL43)</f>
      </c>
      <c r="R43" s="777">
        <f>IF('[3]Tasa de Falla'!FM43=0,"",'[3]Tasa de Falla'!FM43)</f>
      </c>
      <c r="S43" s="783"/>
      <c r="T43" s="779"/>
    </row>
    <row r="44" spans="2:20" ht="15" customHeight="1">
      <c r="B44" s="2"/>
      <c r="C44" s="780">
        <f>IF('[3]Tasa de Falla'!C44=0,"",'[3]Tasa de Falla'!C44)</f>
        <v>23</v>
      </c>
      <c r="D44" s="781" t="str">
        <f>IF('[3]Tasa de Falla'!D44=0,"",'[3]Tasa de Falla'!D44)</f>
        <v>PICO TRUNCADO I - PUERTO DESEADO</v>
      </c>
      <c r="E44" s="781">
        <f>IF('[3]Tasa de Falla'!E44=0,"",'[3]Tasa de Falla'!E44)</f>
        <v>132</v>
      </c>
      <c r="F44" s="782">
        <f>IF('[3]Tasa de Falla'!F44=0,"",'[3]Tasa de Falla'!F44)</f>
        <v>209</v>
      </c>
      <c r="G44" s="777">
        <f>IF('[3]Tasa de Falla'!FB44=0,"",'[3]Tasa de Falla'!FB44)</f>
      </c>
      <c r="H44" s="777">
        <f>IF('[3]Tasa de Falla'!FC44=0,"",'[3]Tasa de Falla'!FC44)</f>
      </c>
      <c r="I44" s="777">
        <f>IF('[3]Tasa de Falla'!FD44=0,"",'[3]Tasa de Falla'!FD44)</f>
      </c>
      <c r="J44" s="777">
        <f>IF('[3]Tasa de Falla'!FE44=0,"",'[3]Tasa de Falla'!FE44)</f>
      </c>
      <c r="K44" s="777">
        <f>IF('[3]Tasa de Falla'!FF44=0,"",'[3]Tasa de Falla'!FF44)</f>
      </c>
      <c r="L44" s="777">
        <f>IF('[3]Tasa de Falla'!FG44=0,"",'[3]Tasa de Falla'!FG44)</f>
      </c>
      <c r="M44" s="777">
        <f>IF('[3]Tasa de Falla'!FH44=0,"",'[3]Tasa de Falla'!FH44)</f>
      </c>
      <c r="N44" s="777">
        <f>IF('[3]Tasa de Falla'!FI44=0,"",'[3]Tasa de Falla'!FI44)</f>
      </c>
      <c r="O44" s="777">
        <f>IF('[3]Tasa de Falla'!FJ44=0,"",'[3]Tasa de Falla'!FJ44)</f>
      </c>
      <c r="P44" s="777">
        <f>IF('[3]Tasa de Falla'!FK44=0,"",'[3]Tasa de Falla'!FK44)</f>
      </c>
      <c r="Q44" s="777">
        <f>IF('[3]Tasa de Falla'!FL44=0,"",'[3]Tasa de Falla'!FL44)</f>
      </c>
      <c r="R44" s="777">
        <f>IF('[3]Tasa de Falla'!FM44=0,"",'[3]Tasa de Falla'!FM44)</f>
      </c>
      <c r="S44" s="783"/>
      <c r="T44" s="779"/>
    </row>
    <row r="45" spans="2:20" ht="15" customHeight="1">
      <c r="B45" s="2"/>
      <c r="C45" s="774">
        <f>IF('[3]Tasa de Falla'!C45=0,"",'[3]Tasa de Falla'!C45)</f>
      </c>
      <c r="D45" s="775">
        <f>IF('[3]Tasa de Falla'!D45=0,"",'[3]Tasa de Falla'!D45)</f>
      </c>
      <c r="E45" s="775">
        <f>IF('[3]Tasa de Falla'!E45=0,"",'[3]Tasa de Falla'!E45)</f>
      </c>
      <c r="F45" s="776">
        <f>IF('[3]Tasa de Falla'!F45=0,"",'[3]Tasa de Falla'!F45)</f>
      </c>
      <c r="G45" s="777">
        <f>IF('[3]Tasa de Falla'!FB45=0,"",'[3]Tasa de Falla'!FB45)</f>
      </c>
      <c r="H45" s="777">
        <f>IF('[3]Tasa de Falla'!FC45=0,"",'[3]Tasa de Falla'!FC45)</f>
      </c>
      <c r="I45" s="777">
        <f>IF('[3]Tasa de Falla'!FD45=0,"",'[3]Tasa de Falla'!FD45)</f>
      </c>
      <c r="J45" s="777">
        <f>IF('[3]Tasa de Falla'!FE45=0,"",'[3]Tasa de Falla'!FE45)</f>
      </c>
      <c r="K45" s="777">
        <f>IF('[3]Tasa de Falla'!FF45=0,"",'[3]Tasa de Falla'!FF45)</f>
      </c>
      <c r="L45" s="777">
        <f>IF('[3]Tasa de Falla'!FG45=0,"",'[3]Tasa de Falla'!FG45)</f>
      </c>
      <c r="M45" s="777">
        <f>IF('[3]Tasa de Falla'!FH45=0,"",'[3]Tasa de Falla'!FH45)</f>
      </c>
      <c r="N45" s="777">
        <f>IF('[3]Tasa de Falla'!FI45=0,"",'[3]Tasa de Falla'!FI45)</f>
      </c>
      <c r="O45" s="777">
        <f>IF('[3]Tasa de Falla'!FJ45=0,"",'[3]Tasa de Falla'!FJ45)</f>
      </c>
      <c r="P45" s="777">
        <f>IF('[3]Tasa de Falla'!FK45=0,"",'[3]Tasa de Falla'!FK45)</f>
      </c>
      <c r="Q45" s="777">
        <f>IF('[3]Tasa de Falla'!FL45=0,"",'[3]Tasa de Falla'!FL45)</f>
      </c>
      <c r="R45" s="777">
        <f>IF('[3]Tasa de Falla'!FM45=0,"",'[3]Tasa de Falla'!FM45)</f>
      </c>
      <c r="S45" s="783"/>
      <c r="T45" s="779"/>
    </row>
    <row r="46" spans="2:20" ht="15" customHeight="1">
      <c r="B46" s="2"/>
      <c r="C46" s="780">
        <f>IF('[3]Tasa de Falla'!C46=0,"",'[3]Tasa de Falla'!C46)</f>
        <v>24</v>
      </c>
      <c r="D46" s="781" t="str">
        <f>IF('[3]Tasa de Falla'!D46=0,"",'[3]Tasa de Falla'!D46)</f>
        <v>E.T. PATAGONIA - PAMPA DEL CASTILLO</v>
      </c>
      <c r="E46" s="781">
        <f>IF('[3]Tasa de Falla'!E46=0,"",'[3]Tasa de Falla'!E46)</f>
        <v>132</v>
      </c>
      <c r="F46" s="782">
        <f>IF('[3]Tasa de Falla'!F46=0,"",'[3]Tasa de Falla'!F46)</f>
        <v>42.6</v>
      </c>
      <c r="G46" s="777">
        <f>IF('[3]Tasa de Falla'!FB46=0,"",'[3]Tasa de Falla'!FB46)</f>
      </c>
      <c r="H46" s="777">
        <f>IF('[3]Tasa de Falla'!FC46=0,"",'[3]Tasa de Falla'!FC46)</f>
      </c>
      <c r="I46" s="777">
        <f>IF('[3]Tasa de Falla'!FD46=0,"",'[3]Tasa de Falla'!FD46)</f>
      </c>
      <c r="J46" s="777">
        <f>IF('[3]Tasa de Falla'!FE46=0,"",'[3]Tasa de Falla'!FE46)</f>
      </c>
      <c r="K46" s="777">
        <f>IF('[3]Tasa de Falla'!FF46=0,"",'[3]Tasa de Falla'!FF46)</f>
      </c>
      <c r="L46" s="777">
        <f>IF('[3]Tasa de Falla'!FG46=0,"",'[3]Tasa de Falla'!FG46)</f>
      </c>
      <c r="M46" s="777">
        <f>IF('[3]Tasa de Falla'!FH46=0,"",'[3]Tasa de Falla'!FH46)</f>
      </c>
      <c r="N46" s="777">
        <f>IF('[3]Tasa de Falla'!FI46=0,"",'[3]Tasa de Falla'!FI46)</f>
      </c>
      <c r="O46" s="777">
        <f>IF('[3]Tasa de Falla'!FJ46=0,"",'[3]Tasa de Falla'!FJ46)</f>
      </c>
      <c r="P46" s="777">
        <f>IF('[3]Tasa de Falla'!FK46=0,"",'[3]Tasa de Falla'!FK46)</f>
      </c>
      <c r="Q46" s="777">
        <f>IF('[3]Tasa de Falla'!FL46=0,"",'[3]Tasa de Falla'!FL46)</f>
      </c>
      <c r="R46" s="777">
        <f>IF('[3]Tasa de Falla'!FM46=0,"",'[3]Tasa de Falla'!FM46)</f>
      </c>
      <c r="S46" s="783"/>
      <c r="T46" s="779"/>
    </row>
    <row r="47" spans="2:20" ht="15" customHeight="1">
      <c r="B47" s="2"/>
      <c r="C47" s="774">
        <f>IF('[3]Tasa de Falla'!C47=0,"",'[3]Tasa de Falla'!C47)</f>
        <v>25</v>
      </c>
      <c r="D47" s="775" t="str">
        <f>IF('[3]Tasa de Falla'!D47=0,"",'[3]Tasa de Falla'!D47)</f>
        <v>PAMPA DEL CASTILLO - VALLE HERMOSO</v>
      </c>
      <c r="E47" s="775">
        <f>IF('[3]Tasa de Falla'!E47=0,"",'[3]Tasa de Falla'!E47)</f>
        <v>132</v>
      </c>
      <c r="F47" s="776">
        <f>IF('[3]Tasa de Falla'!F47=0,"",'[3]Tasa de Falla'!F47)</f>
        <v>33.6</v>
      </c>
      <c r="G47" s="777">
        <f>IF('[3]Tasa de Falla'!FB47=0,"",'[3]Tasa de Falla'!FB47)</f>
      </c>
      <c r="H47" s="777">
        <f>IF('[3]Tasa de Falla'!FC47=0,"",'[3]Tasa de Falla'!FC47)</f>
      </c>
      <c r="I47" s="777">
        <f>IF('[3]Tasa de Falla'!FD47=0,"",'[3]Tasa de Falla'!FD47)</f>
      </c>
      <c r="J47" s="777">
        <f>IF('[3]Tasa de Falla'!FE47=0,"",'[3]Tasa de Falla'!FE47)</f>
      </c>
      <c r="K47" s="777">
        <f>IF('[3]Tasa de Falla'!FF47=0,"",'[3]Tasa de Falla'!FF47)</f>
      </c>
      <c r="L47" s="777">
        <f>IF('[3]Tasa de Falla'!FG47=0,"",'[3]Tasa de Falla'!FG47)</f>
      </c>
      <c r="M47" s="777">
        <f>IF('[3]Tasa de Falla'!FH47=0,"",'[3]Tasa de Falla'!FH47)</f>
      </c>
      <c r="N47" s="777">
        <f>IF('[3]Tasa de Falla'!FI47=0,"",'[3]Tasa de Falla'!FI47)</f>
      </c>
      <c r="O47" s="777">
        <f>IF('[3]Tasa de Falla'!FJ47=0,"",'[3]Tasa de Falla'!FJ47)</f>
      </c>
      <c r="P47" s="777">
        <f>IF('[3]Tasa de Falla'!FK47=0,"",'[3]Tasa de Falla'!FK47)</f>
      </c>
      <c r="Q47" s="777">
        <f>IF('[3]Tasa de Falla'!FL47=0,"",'[3]Tasa de Falla'!FL47)</f>
      </c>
      <c r="R47" s="777">
        <f>IF('[3]Tasa de Falla'!FM47=0,"",'[3]Tasa de Falla'!FM47)</f>
      </c>
      <c r="S47" s="783"/>
      <c r="T47" s="779"/>
    </row>
    <row r="48" spans="2:20" ht="15" customHeight="1">
      <c r="B48" s="2"/>
      <c r="C48" s="780">
        <f>IF('[3]Tasa de Falla'!C48=0,"",'[3]Tasa de Falla'!C48)</f>
        <v>26</v>
      </c>
      <c r="D48" s="781" t="str">
        <f>IF('[3]Tasa de Falla'!D48=0,"",'[3]Tasa de Falla'!D48)</f>
        <v>VALLE HERMOSO - CERRO NEGRO</v>
      </c>
      <c r="E48" s="781">
        <f>IF('[3]Tasa de Falla'!E48=0,"",'[3]Tasa de Falla'!E48)</f>
        <v>132</v>
      </c>
      <c r="F48" s="782">
        <f>IF('[3]Tasa de Falla'!F48=0,"",'[3]Tasa de Falla'!F48)</f>
        <v>41</v>
      </c>
      <c r="G48" s="777">
        <f>IF('[3]Tasa de Falla'!FB48=0,"",'[3]Tasa de Falla'!FB48)</f>
      </c>
      <c r="H48" s="777">
        <f>IF('[3]Tasa de Falla'!FC48=0,"",'[3]Tasa de Falla'!FC48)</f>
      </c>
      <c r="I48" s="777">
        <f>IF('[3]Tasa de Falla'!FD48=0,"",'[3]Tasa de Falla'!FD48)</f>
      </c>
      <c r="J48" s="777">
        <f>IF('[3]Tasa de Falla'!FE48=0,"",'[3]Tasa de Falla'!FE48)</f>
      </c>
      <c r="K48" s="777">
        <f>IF('[3]Tasa de Falla'!FF48=0,"",'[3]Tasa de Falla'!FF48)</f>
      </c>
      <c r="L48" s="777">
        <f>IF('[3]Tasa de Falla'!FG48=0,"",'[3]Tasa de Falla'!FG48)</f>
      </c>
      <c r="M48" s="777">
        <f>IF('[3]Tasa de Falla'!FH48=0,"",'[3]Tasa de Falla'!FH48)</f>
      </c>
      <c r="N48" s="777">
        <f>IF('[3]Tasa de Falla'!FI48=0,"",'[3]Tasa de Falla'!FI48)</f>
      </c>
      <c r="O48" s="777">
        <f>IF('[3]Tasa de Falla'!FJ48=0,"",'[3]Tasa de Falla'!FJ48)</f>
      </c>
      <c r="P48" s="777">
        <f>IF('[3]Tasa de Falla'!FK48=0,"",'[3]Tasa de Falla'!FK48)</f>
      </c>
      <c r="Q48" s="777">
        <f>IF('[3]Tasa de Falla'!FL48=0,"",'[3]Tasa de Falla'!FL48)</f>
      </c>
      <c r="R48" s="777">
        <f>IF('[3]Tasa de Falla'!FM48=0,"",'[3]Tasa de Falla'!FM48)</f>
      </c>
      <c r="S48" s="783"/>
      <c r="T48" s="779"/>
    </row>
    <row r="49" spans="2:20" ht="15" customHeight="1">
      <c r="B49" s="2"/>
      <c r="C49" s="774">
        <f>IF('[3]Tasa de Falla'!C49=0,"",'[3]Tasa de Falla'!C49)</f>
      </c>
      <c r="D49" s="775">
        <f>IF('[3]Tasa de Falla'!D49=0,"",'[3]Tasa de Falla'!D49)</f>
      </c>
      <c r="E49" s="775">
        <f>IF('[3]Tasa de Falla'!E49=0,"",'[3]Tasa de Falla'!E49)</f>
      </c>
      <c r="F49" s="776">
        <f>IF('[3]Tasa de Falla'!F49=0,"",'[3]Tasa de Falla'!F49)</f>
      </c>
      <c r="G49" s="777">
        <f>IF('[3]Tasa de Falla'!FB49=0,"",'[3]Tasa de Falla'!FB49)</f>
      </c>
      <c r="H49" s="777">
        <f>IF('[3]Tasa de Falla'!FC49=0,"",'[3]Tasa de Falla'!FC49)</f>
      </c>
      <c r="I49" s="777">
        <f>IF('[3]Tasa de Falla'!FD49=0,"",'[3]Tasa de Falla'!FD49)</f>
      </c>
      <c r="J49" s="777">
        <f>IF('[3]Tasa de Falla'!FE49=0,"",'[3]Tasa de Falla'!FE49)</f>
      </c>
      <c r="K49" s="777">
        <f>IF('[3]Tasa de Falla'!FF49=0,"",'[3]Tasa de Falla'!FF49)</f>
      </c>
      <c r="L49" s="777">
        <f>IF('[3]Tasa de Falla'!FG49=0,"",'[3]Tasa de Falla'!FG49)</f>
      </c>
      <c r="M49" s="777">
        <f>IF('[3]Tasa de Falla'!FH49=0,"",'[3]Tasa de Falla'!FH49)</f>
      </c>
      <c r="N49" s="777">
        <f>IF('[3]Tasa de Falla'!FI49=0,"",'[3]Tasa de Falla'!FI49)</f>
      </c>
      <c r="O49" s="777">
        <f>IF('[3]Tasa de Falla'!FJ49=0,"",'[3]Tasa de Falla'!FJ49)</f>
      </c>
      <c r="P49" s="777">
        <f>IF('[3]Tasa de Falla'!FK49=0,"",'[3]Tasa de Falla'!FK49)</f>
      </c>
      <c r="Q49" s="777">
        <f>IF('[3]Tasa de Falla'!FL49=0,"",'[3]Tasa de Falla'!FL49)</f>
      </c>
      <c r="R49" s="777">
        <f>IF('[3]Tasa de Falla'!FM49=0,"",'[3]Tasa de Falla'!FM49)</f>
      </c>
      <c r="S49" s="783"/>
      <c r="T49" s="779"/>
    </row>
    <row r="50" spans="2:20" ht="15" customHeight="1">
      <c r="B50" s="2"/>
      <c r="C50" s="780">
        <f>IF('[3]Tasa de Falla'!C50=0,"",'[3]Tasa de Falla'!C50)</f>
        <v>27</v>
      </c>
      <c r="D50" s="781" t="str">
        <f>IF('[3]Tasa de Falla'!D50=0,"",'[3]Tasa de Falla'!D50)</f>
        <v>PAMPA DEL CASTILLO - EL TORDILLO</v>
      </c>
      <c r="E50" s="781">
        <f>IF('[3]Tasa de Falla'!E50=0,"",'[3]Tasa de Falla'!E50)</f>
        <v>132</v>
      </c>
      <c r="F50" s="782">
        <f>IF('[3]Tasa de Falla'!F50=0,"",'[3]Tasa de Falla'!F50)</f>
        <v>8.9</v>
      </c>
      <c r="G50" s="777">
        <f>IF('[3]Tasa de Falla'!FB50=0,"",'[3]Tasa de Falla'!FB50)</f>
      </c>
      <c r="H50" s="777">
        <f>IF('[3]Tasa de Falla'!FC50=0,"",'[3]Tasa de Falla'!FC50)</f>
      </c>
      <c r="I50" s="777">
        <f>IF('[3]Tasa de Falla'!FD50=0,"",'[3]Tasa de Falla'!FD50)</f>
      </c>
      <c r="J50" s="777">
        <f>IF('[3]Tasa de Falla'!FE50=0,"",'[3]Tasa de Falla'!FE50)</f>
      </c>
      <c r="K50" s="777">
        <f>IF('[3]Tasa de Falla'!FF50=0,"",'[3]Tasa de Falla'!FF50)</f>
      </c>
      <c r="L50" s="777">
        <f>IF('[3]Tasa de Falla'!FG50=0,"",'[3]Tasa de Falla'!FG50)</f>
      </c>
      <c r="M50" s="777">
        <f>IF('[3]Tasa de Falla'!FH50=0,"",'[3]Tasa de Falla'!FH50)</f>
      </c>
      <c r="N50" s="777">
        <f>IF('[3]Tasa de Falla'!FI50=0,"",'[3]Tasa de Falla'!FI50)</f>
      </c>
      <c r="O50" s="777">
        <f>IF('[3]Tasa de Falla'!FJ50=0,"",'[3]Tasa de Falla'!FJ50)</f>
      </c>
      <c r="P50" s="777">
        <f>IF('[3]Tasa de Falla'!FK50=0,"",'[3]Tasa de Falla'!FK50)</f>
      </c>
      <c r="Q50" s="777">
        <f>IF('[3]Tasa de Falla'!FL50=0,"",'[3]Tasa de Falla'!FL50)</f>
      </c>
      <c r="R50" s="777">
        <f>IF('[3]Tasa de Falla'!FM50=0,"",'[3]Tasa de Falla'!FM50)</f>
        <v>1</v>
      </c>
      <c r="S50" s="783"/>
      <c r="T50" s="779"/>
    </row>
    <row r="51" spans="2:20" ht="15" customHeight="1" thickBot="1">
      <c r="B51" s="2"/>
      <c r="C51" s="784"/>
      <c r="D51" s="785"/>
      <c r="E51" s="786"/>
      <c r="F51" s="787"/>
      <c r="G51" s="788">
        <f>IF('[3]Tasa de Falla'!FB51=0,"",'[3]Tasa de Falla'!FB51)</f>
      </c>
      <c r="H51" s="788">
        <f>IF('[3]Tasa de Falla'!FC51=0,"",'[3]Tasa de Falla'!FC51)</f>
      </c>
      <c r="I51" s="788">
        <f>IF('[3]Tasa de Falla'!FD51=0,"",'[3]Tasa de Falla'!FD51)</f>
      </c>
      <c r="J51" s="788">
        <f>IF('[3]Tasa de Falla'!FE51=0,"",'[3]Tasa de Falla'!FE51)</f>
      </c>
      <c r="K51" s="788">
        <f>IF('[3]Tasa de Falla'!FF51=0,"",'[3]Tasa de Falla'!FF51)</f>
      </c>
      <c r="L51" s="788">
        <f>IF('[3]Tasa de Falla'!FG51=0,"",'[3]Tasa de Falla'!FG51)</f>
      </c>
      <c r="M51" s="788">
        <f>IF('[3]Tasa de Falla'!FH51=0,"",'[3]Tasa de Falla'!FH51)</f>
      </c>
      <c r="N51" s="788">
        <f>IF('[3]Tasa de Falla'!FI51=0,"",'[3]Tasa de Falla'!FI51)</f>
      </c>
      <c r="O51" s="788">
        <f>IF('[3]Tasa de Falla'!FJ51=0,"",'[3]Tasa de Falla'!FJ51)</f>
      </c>
      <c r="P51" s="788">
        <f>IF('[3]Tasa de Falla'!FK51=0,"",'[3]Tasa de Falla'!FK51)</f>
      </c>
      <c r="Q51" s="788">
        <f>IF('[3]Tasa de Falla'!FL51=0,"",'[3]Tasa de Falla'!FL51)</f>
      </c>
      <c r="R51" s="788">
        <f>IF('[3]Tasa de Falla'!FM51=0,"",'[3]Tasa de Falla'!FM51)</f>
      </c>
      <c r="S51" s="778"/>
      <c r="T51" s="779"/>
    </row>
    <row r="52" spans="2:20" ht="15" customHeight="1" thickBot="1" thickTop="1">
      <c r="B52" s="2"/>
      <c r="C52" s="74"/>
      <c r="D52" s="180"/>
      <c r="E52" s="789" t="s">
        <v>186</v>
      </c>
      <c r="F52" s="790">
        <f>SUM(F18:F51)-F34</f>
        <v>2735.2100000000005</v>
      </c>
      <c r="G52" s="791"/>
      <c r="H52" s="791"/>
      <c r="I52" s="791"/>
      <c r="J52" s="791"/>
      <c r="K52" s="791"/>
      <c r="L52" s="791"/>
      <c r="M52" s="791"/>
      <c r="N52" s="791"/>
      <c r="O52" s="791"/>
      <c r="P52" s="791"/>
      <c r="Q52" s="791"/>
      <c r="R52" s="791"/>
      <c r="S52" s="778"/>
      <c r="T52" s="779"/>
    </row>
    <row r="53" spans="2:20" ht="15" customHeight="1" thickBot="1" thickTop="1">
      <c r="B53" s="2"/>
      <c r="C53" s="30"/>
      <c r="D53" s="37"/>
      <c r="E53" s="792"/>
      <c r="F53" s="793" t="s">
        <v>187</v>
      </c>
      <c r="G53" s="794">
        <f aca="true" t="shared" si="0" ref="G53:R53">SUM(G17:G51)</f>
        <v>2</v>
      </c>
      <c r="H53" s="794">
        <f t="shared" si="0"/>
        <v>1</v>
      </c>
      <c r="I53" s="794">
        <f t="shared" si="0"/>
        <v>1</v>
      </c>
      <c r="J53" s="794">
        <f t="shared" si="0"/>
        <v>1</v>
      </c>
      <c r="K53" s="794">
        <f t="shared" si="0"/>
        <v>0</v>
      </c>
      <c r="L53" s="794">
        <f t="shared" si="0"/>
        <v>3</v>
      </c>
      <c r="M53" s="794">
        <f t="shared" si="0"/>
        <v>3</v>
      </c>
      <c r="N53" s="794">
        <f t="shared" si="0"/>
        <v>2</v>
      </c>
      <c r="O53" s="794">
        <f t="shared" si="0"/>
        <v>3</v>
      </c>
      <c r="P53" s="794">
        <f t="shared" si="0"/>
        <v>0</v>
      </c>
      <c r="Q53" s="794">
        <f t="shared" si="0"/>
        <v>1</v>
      </c>
      <c r="R53" s="794">
        <f t="shared" si="0"/>
        <v>11</v>
      </c>
      <c r="S53" s="795"/>
      <c r="T53" s="796"/>
    </row>
    <row r="54" spans="2:20" ht="17.25" thickBot="1" thickTop="1">
      <c r="B54" s="2"/>
      <c r="C54" s="792"/>
      <c r="D54" s="792"/>
      <c r="E54" s="30"/>
      <c r="F54" s="797" t="s">
        <v>188</v>
      </c>
      <c r="G54" s="798">
        <f>+'[3]Tasa de Falla'!FB60</f>
        <v>0.62</v>
      </c>
      <c r="H54" s="798">
        <f>+'[3]Tasa de Falla'!FC60</f>
        <v>0.69</v>
      </c>
      <c r="I54" s="798">
        <f>+'[3]Tasa de Falla'!FD60</f>
        <v>0.62</v>
      </c>
      <c r="J54" s="798">
        <f>+'[3]Tasa de Falla'!FE60</f>
        <v>0.62</v>
      </c>
      <c r="K54" s="798">
        <f>+'[3]Tasa de Falla'!FF60</f>
        <v>0.66</v>
      </c>
      <c r="L54" s="798">
        <f>+'[3]Tasa de Falla'!FG60</f>
        <v>0.55</v>
      </c>
      <c r="M54" s="798">
        <f>+'[3]Tasa de Falla'!FH60</f>
        <v>0.62</v>
      </c>
      <c r="N54" s="798">
        <f>+'[3]Tasa de Falla'!FI60</f>
        <v>0.69</v>
      </c>
      <c r="O54" s="798">
        <f>+'[3]Tasa de Falla'!FJ60</f>
        <v>0.69</v>
      </c>
      <c r="P54" s="798">
        <f>+'[3]Tasa de Falla'!FK60</f>
        <v>0.77</v>
      </c>
      <c r="Q54" s="798">
        <f>+'[3]Tasa de Falla'!FL60</f>
        <v>0.59</v>
      </c>
      <c r="R54" s="798">
        <f>+'[3]Tasa de Falla'!FM60</f>
        <v>0.62</v>
      </c>
      <c r="S54" s="798">
        <f>+'[3]Tasa de Falla'!FN60</f>
        <v>1.02</v>
      </c>
      <c r="T54" s="799"/>
    </row>
    <row r="55" spans="2:20" ht="18.75" customHeight="1" thickBot="1" thickTop="1">
      <c r="B55" s="2"/>
      <c r="C55" s="800" t="s">
        <v>189</v>
      </c>
      <c r="D55" s="30" t="s">
        <v>190</v>
      </c>
      <c r="E55" s="801"/>
      <c r="F55" s="802"/>
      <c r="G55" s="803"/>
      <c r="H55" s="803"/>
      <c r="I55" s="803"/>
      <c r="J55" s="803"/>
      <c r="K55" s="803"/>
      <c r="L55" s="803"/>
      <c r="M55" s="803"/>
      <c r="N55" s="803"/>
      <c r="O55" s="803"/>
      <c r="P55" s="803"/>
      <c r="Q55" s="803"/>
      <c r="R55" s="803"/>
      <c r="S55" s="803"/>
      <c r="T55" s="61"/>
    </row>
    <row r="56" spans="2:20" ht="17.25" thickBot="1" thickTop="1">
      <c r="B56" s="804"/>
      <c r="C56" s="805"/>
      <c r="D56" s="806" t="s">
        <v>191</v>
      </c>
      <c r="H56" s="807" t="s">
        <v>192</v>
      </c>
      <c r="I56" s="808"/>
      <c r="J56" s="809">
        <f>S54</f>
        <v>1.02</v>
      </c>
      <c r="K56" s="810" t="s">
        <v>193</v>
      </c>
      <c r="L56" s="810"/>
      <c r="M56" s="811"/>
      <c r="N56" s="806"/>
      <c r="O56" s="806"/>
      <c r="P56" s="806"/>
      <c r="Q56" s="806"/>
      <c r="R56" s="806"/>
      <c r="S56" s="806"/>
      <c r="T56" s="3"/>
    </row>
    <row r="57" spans="2:20" ht="18.75" customHeight="1" thickBot="1">
      <c r="B57" s="812"/>
      <c r="C57" s="813"/>
      <c r="D57" s="49"/>
      <c r="E57" s="49"/>
      <c r="F57" s="814"/>
      <c r="G57" s="815"/>
      <c r="H57" s="815"/>
      <c r="I57" s="815"/>
      <c r="J57" s="815"/>
      <c r="K57" s="815"/>
      <c r="L57" s="815"/>
      <c r="M57" s="815"/>
      <c r="N57" s="815"/>
      <c r="O57" s="815"/>
      <c r="P57" s="815"/>
      <c r="Q57" s="815"/>
      <c r="R57" s="815"/>
      <c r="S57" s="815"/>
      <c r="T57" s="816"/>
    </row>
    <row r="58" ht="13.5" thickTop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0" r:id="rId2"/>
  <headerFooter alignWithMargins="0">
    <oddFooter>&amp;L&amp;"Times New Roman,Normal"&amp;8&amp;F-&amp;A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3"/>
  <dimension ref="A1:Q22"/>
  <sheetViews>
    <sheetView workbookViewId="0" topLeftCell="A1">
      <selection activeCell="A1" sqref="A1"/>
    </sheetView>
  </sheetViews>
  <sheetFormatPr defaultColWidth="11.421875" defaultRowHeight="12.75"/>
  <cols>
    <col min="5" max="5" width="4.421875" style="0" customWidth="1"/>
    <col min="6" max="6" width="9.57421875" style="0" customWidth="1"/>
    <col min="7" max="7" width="5.00390625" style="0" customWidth="1"/>
    <col min="8" max="8" width="3.00390625" style="0" customWidth="1"/>
    <col min="9" max="9" width="10.7109375" style="0" customWidth="1"/>
    <col min="10" max="10" width="4.7109375" style="0" customWidth="1"/>
    <col min="11" max="11" width="6.421875" style="0" customWidth="1"/>
  </cols>
  <sheetData>
    <row r="1" spans="1:11" ht="12.75">
      <c r="A1">
        <v>7</v>
      </c>
      <c r="B1">
        <f>A1+1</f>
        <v>8</v>
      </c>
      <c r="D1" t="str">
        <f>CONCATENATE("RE-",RIGHT(G6,2),IF(F4&lt;10,CONCATENATE(0,F4),F4))</f>
        <v>RE-0806</v>
      </c>
      <c r="E1">
        <f>E2+1</f>
        <v>1</v>
      </c>
      <c r="F1" t="str">
        <f>IF(F2=1,"E.N.R.E.","D.T.E.E.")</f>
        <v>D.T.E.E.</v>
      </c>
      <c r="I1" t="s">
        <v>143</v>
      </c>
      <c r="J1" t="s">
        <v>144</v>
      </c>
      <c r="K1" t="s">
        <v>145</v>
      </c>
    </row>
    <row r="2" spans="1:11" ht="12.75">
      <c r="A2">
        <v>0</v>
      </c>
      <c r="B2">
        <f>A2+1</f>
        <v>1</v>
      </c>
      <c r="D2" t="s">
        <v>176</v>
      </c>
      <c r="E2">
        <v>0</v>
      </c>
      <c r="F2">
        <v>2</v>
      </c>
      <c r="I2" s="94" t="s">
        <v>146</v>
      </c>
      <c r="J2">
        <v>31</v>
      </c>
      <c r="K2">
        <v>2005</v>
      </c>
    </row>
    <row r="3" spans="1:11" ht="12.75">
      <c r="A3">
        <v>21</v>
      </c>
      <c r="B3">
        <f>A3+1</f>
        <v>22</v>
      </c>
      <c r="D3" t="str">
        <f>CONCATENATE("TOT-",RIGHT(G6,2),IF(F4&lt;10,CONCATENATE(0,F4),F4))</f>
        <v>TOT-0806</v>
      </c>
      <c r="F3" t="s">
        <v>147</v>
      </c>
      <c r="I3" s="94" t="s">
        <v>148</v>
      </c>
      <c r="J3">
        <f>IF(MOD(G6,4)=0,29,28)</f>
        <v>29</v>
      </c>
      <c r="K3">
        <f aca="true" t="shared" si="0" ref="K3:K11">+K2+1</f>
        <v>2006</v>
      </c>
    </row>
    <row r="4" spans="1:11" ht="12.75">
      <c r="A4" t="e">
        <v>#NAME?</v>
      </c>
      <c r="D4" t="str">
        <f>CONCATENATE("J",RIGHT(G6,2),IF(F4&lt;10,CONCATENATE(0,F4),F4),"TPA")</f>
        <v>J0806TPA</v>
      </c>
      <c r="F4" s="242">
        <v>6</v>
      </c>
      <c r="G4" t="str">
        <f ca="1">CELL("CONTENIDO",OFFSET(I1,F4,0))</f>
        <v>junio</v>
      </c>
      <c r="H4">
        <f ca="1">CELL("CONTENIDO",OFFSET(J1,F4,0))</f>
        <v>30</v>
      </c>
      <c r="I4" s="94" t="s">
        <v>149</v>
      </c>
      <c r="J4">
        <v>31</v>
      </c>
      <c r="K4">
        <f t="shared" si="0"/>
        <v>2007</v>
      </c>
    </row>
    <row r="5" spans="4:11" ht="12.75">
      <c r="D5" s="710" t="s">
        <v>168</v>
      </c>
      <c r="F5" t="s">
        <v>150</v>
      </c>
      <c r="I5" s="94" t="s">
        <v>151</v>
      </c>
      <c r="J5">
        <v>30</v>
      </c>
      <c r="K5">
        <f t="shared" si="0"/>
        <v>2008</v>
      </c>
    </row>
    <row r="6" spans="4:11" ht="12.75">
      <c r="D6" t="str">
        <f>CONCATENATE(RIGHT(G6,2),IF(F4&lt;10,CONCATENATE(0,F4),F4))</f>
        <v>0806</v>
      </c>
      <c r="F6">
        <v>4</v>
      </c>
      <c r="G6">
        <f ca="1">CELL("CONTENIDO",OFFSET(K1,F6,0))</f>
        <v>2008</v>
      </c>
      <c r="I6" s="94" t="s">
        <v>152</v>
      </c>
      <c r="J6">
        <v>31</v>
      </c>
      <c r="K6">
        <f t="shared" si="0"/>
        <v>2009</v>
      </c>
    </row>
    <row r="7" spans="9:11" ht="12.75">
      <c r="I7" s="94" t="s">
        <v>153</v>
      </c>
      <c r="J7">
        <v>30</v>
      </c>
      <c r="K7">
        <f t="shared" si="0"/>
        <v>2010</v>
      </c>
    </row>
    <row r="8" spans="9:11" ht="12.75">
      <c r="I8" s="94" t="s">
        <v>154</v>
      </c>
      <c r="J8">
        <v>31</v>
      </c>
      <c r="K8">
        <f t="shared" si="0"/>
        <v>2011</v>
      </c>
    </row>
    <row r="9" spans="9:11" ht="12.75">
      <c r="I9" s="94" t="s">
        <v>155</v>
      </c>
      <c r="J9">
        <v>31</v>
      </c>
      <c r="K9">
        <f t="shared" si="0"/>
        <v>2012</v>
      </c>
    </row>
    <row r="10" spans="9:11" ht="12.75">
      <c r="I10" s="94" t="s">
        <v>156</v>
      </c>
      <c r="J10">
        <v>30</v>
      </c>
      <c r="K10">
        <f t="shared" si="0"/>
        <v>2013</v>
      </c>
    </row>
    <row r="11" spans="9:11" ht="12.75">
      <c r="I11" s="94" t="s">
        <v>157</v>
      </c>
      <c r="J11">
        <v>31</v>
      </c>
      <c r="K11">
        <f t="shared" si="0"/>
        <v>2014</v>
      </c>
    </row>
    <row r="12" spans="9:10" ht="12.75">
      <c r="I12" s="94" t="s">
        <v>158</v>
      </c>
      <c r="J12">
        <v>30</v>
      </c>
    </row>
    <row r="13" spans="9:10" ht="12.75">
      <c r="I13" s="94" t="s">
        <v>159</v>
      </c>
      <c r="J13">
        <v>31</v>
      </c>
    </row>
    <row r="15" spans="1:7" ht="12.75">
      <c r="A15">
        <v>4</v>
      </c>
      <c r="B15" t="str">
        <f>IF(OR(A15=0,A15&gt;4),"XXXX",CHOOSE(A15,"LINEAS","TRAFOS","SALIDAS","REACTIVO"))</f>
        <v>REACTIVO</v>
      </c>
      <c r="C15" t="str">
        <f>IF(OR(A15=0,A15&gt;4),"XXXX",CHOOSE(A15,"MODELO L","MODELO T","MODELO S","MODELO R"))</f>
        <v>MODELO R</v>
      </c>
      <c r="D15" t="str">
        <f>IF(OR($A$15=0,$A$15&gt;4),"XXXX",CHOOSE($A$15,"A1:C1","A1:D1","A1:C1","A1:C1"))</f>
        <v>A1:C1</v>
      </c>
      <c r="E15" t="str">
        <f>IF(OR($A$15=0,$A$15&gt;4),"XXXX",CHOOSE($A$15,"D22","D24","D24","D22"))</f>
        <v>D22</v>
      </c>
      <c r="F15" t="str">
        <f>IF(OR($A$15=0,$A$15&gt;4),"XXXX",CHOOSE($A$15,"Y20","AA22","T22","T20"))</f>
        <v>T20</v>
      </c>
      <c r="G15" t="str">
        <f>IF(OR($A$15=0,$A$15&gt;4),"XXXX",CHOOSE($A$15,"D23","D25","D25","D23"))</f>
        <v>D23</v>
      </c>
    </row>
    <row r="16" spans="2:8" ht="12.75">
      <c r="B16" t="str">
        <f>IF(OR($A$15=0,$A$15&gt;4),"XXXX",CHOOSE($A$15,"""LI-""","""TR-""","""SA-""","""RE-"""))</f>
        <v>"RE-"</v>
      </c>
      <c r="C16" t="str">
        <f>IF(OR($A$15=0,$A$15&gt;4),"XXXX",CHOOSE($A$15,"I19","I26","I31","I35"))</f>
        <v>I35</v>
      </c>
      <c r="D16" t="str">
        <f>IF(OR($A$15=0,$A$15&gt;4),"XXXX",CHOOSE($A$15,"20:20","22:22","22:22","20:20"))</f>
        <v>20:20</v>
      </c>
      <c r="E16" t="str">
        <f>IF(OR($A$15=0,$A$15&gt;4),"XXXX",CHOOSE($A$15,"D20","D22","D22","D20"))</f>
        <v>D20</v>
      </c>
      <c r="F16" t="str">
        <f>IF(OR($A$15=0,$A$15&gt;4),"XXXX",CHOOSE($A$15,"Y43","AA45","T45","T43"))</f>
        <v>T43</v>
      </c>
      <c r="G16" t="str">
        <f>IF(OR($A$15=0,$A$15&gt;4),"XXXX",CHOOSE($A$15,"24","19","14","8"))</f>
        <v>8</v>
      </c>
      <c r="H16" t="str">
        <f>IF(OR($A$15=0,$A$15&gt;4),"XXXX",CHOOSE($A$15,"16","18","11","11"))</f>
        <v>11</v>
      </c>
    </row>
    <row r="20" spans="4:17" ht="12.75">
      <c r="D20" s="708" t="s">
        <v>161</v>
      </c>
      <c r="E20" s="708"/>
      <c r="F20" s="708" t="s">
        <v>162</v>
      </c>
      <c r="G20" s="708"/>
      <c r="H20" s="708"/>
      <c r="I20" s="708"/>
      <c r="J20" s="708"/>
      <c r="K20" s="708"/>
      <c r="L20" s="708"/>
      <c r="M20" s="708"/>
      <c r="N20" s="708"/>
      <c r="O20" s="708"/>
      <c r="P20" s="708"/>
      <c r="Q20" s="708"/>
    </row>
    <row r="21" spans="4:13" ht="12.75">
      <c r="D21" s="519" t="s">
        <v>163</v>
      </c>
      <c r="E21" s="519"/>
      <c r="F21" s="519" t="s">
        <v>166</v>
      </c>
      <c r="G21" s="519"/>
      <c r="H21" s="519"/>
      <c r="I21" s="519"/>
      <c r="J21" s="519"/>
      <c r="K21" s="519"/>
      <c r="L21" s="519"/>
      <c r="M21" s="519"/>
    </row>
    <row r="22" spans="4:13" ht="12.75">
      <c r="D22" s="709" t="s">
        <v>164</v>
      </c>
      <c r="E22" s="709"/>
      <c r="F22" s="709" t="s">
        <v>165</v>
      </c>
      <c r="G22" s="709"/>
      <c r="H22" s="709"/>
      <c r="I22" s="709"/>
      <c r="J22" s="709"/>
      <c r="K22" s="709"/>
      <c r="L22" s="709"/>
      <c r="M22" s="709"/>
    </row>
  </sheetData>
  <hyperlinks>
    <hyperlink ref="D5" r:id="rId1" display="\\fileserver\files\Transporte\transporte\AA PROCESO AUT\TRANSPA\FABIAN"/>
  </hyperlinks>
  <printOptions gridLines="1"/>
  <pageMargins left="0.75" right="0.75" top="1" bottom="1" header="0.511811024" footer="0.511811024"/>
  <pageSetup horizontalDpi="600" verticalDpi="600" orientation="portrait" paperSize="9" r:id="rId2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Z91"/>
  <sheetViews>
    <sheetView zoomScale="75" zoomScaleNormal="75" workbookViewId="0" topLeftCell="A10">
      <selection activeCell="B12" sqref="B1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45.7109375" style="0" customWidth="1"/>
    <col min="5" max="5" width="9.7109375" style="0" customWidth="1"/>
    <col min="6" max="6" width="9.421875" style="0" customWidth="1"/>
    <col min="7" max="7" width="12.7109375" style="0" hidden="1" customWidth="1"/>
    <col min="8" max="9" width="15.7109375" style="0" customWidth="1"/>
    <col min="10" max="12" width="9.7109375" style="0" customWidth="1"/>
    <col min="14" max="23" width="14.140625" style="0" hidden="1" customWidth="1"/>
    <col min="24" max="24" width="14.140625" style="0" customWidth="1"/>
    <col min="25" max="26" width="15.7109375" style="0" customWidth="1"/>
  </cols>
  <sheetData>
    <row r="1" s="108" customFormat="1" ht="26.25">
      <c r="Z1" s="421"/>
    </row>
    <row r="2" spans="2:26" s="108" customFormat="1" ht="26.25">
      <c r="B2" s="109" t="str">
        <f>+'TOT-0806'!B2</f>
        <v>ANEXO VI al Memorándum D.T.E.E. N°  452  /2010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="10" customFormat="1" ht="12.75"/>
    <row r="4" spans="1:2" s="111" customFormat="1" ht="11.25">
      <c r="A4" s="127" t="s">
        <v>28</v>
      </c>
      <c r="B4" s="127"/>
    </row>
    <row r="5" spans="1:2" s="111" customFormat="1" ht="11.25">
      <c r="A5" s="127" t="s">
        <v>29</v>
      </c>
      <c r="B5" s="127"/>
    </row>
    <row r="6" s="10" customFormat="1" ht="13.5" thickBot="1"/>
    <row r="7" spans="1:26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3"/>
    </row>
    <row r="8" spans="1:26" s="113" customFormat="1" ht="20.25">
      <c r="A8" s="45"/>
      <c r="B8" s="112"/>
      <c r="C8" s="45"/>
      <c r="D8" s="21" t="s">
        <v>55</v>
      </c>
      <c r="E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114"/>
    </row>
    <row r="9" spans="1:26" s="10" customFormat="1" ht="12.75">
      <c r="A9" s="8"/>
      <c r="B9" s="44"/>
      <c r="C9" s="8"/>
      <c r="D9" s="125"/>
      <c r="E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1"/>
    </row>
    <row r="10" spans="1:26" s="113" customFormat="1" ht="20.25">
      <c r="A10" s="45"/>
      <c r="B10" s="112"/>
      <c r="C10" s="45"/>
      <c r="D10" s="21" t="s">
        <v>56</v>
      </c>
      <c r="E10" s="21"/>
      <c r="F10" s="45"/>
      <c r="G10" s="115"/>
      <c r="H10" s="115"/>
      <c r="I10" s="115"/>
      <c r="J10" s="115"/>
      <c r="K10" s="115"/>
      <c r="L10" s="115"/>
      <c r="M10" s="11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114"/>
    </row>
    <row r="11" spans="1:26" s="10" customFormat="1" ht="12.75">
      <c r="A11" s="8"/>
      <c r="B11" s="44"/>
      <c r="C11" s="8"/>
      <c r="D11" s="124"/>
      <c r="E11" s="122"/>
      <c r="F11" s="8"/>
      <c r="G11" s="121"/>
      <c r="H11" s="121"/>
      <c r="I11" s="121"/>
      <c r="J11" s="121"/>
      <c r="K11" s="121"/>
      <c r="L11" s="121"/>
      <c r="M11" s="121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s="113" customFormat="1" ht="20.25">
      <c r="A12" s="45"/>
      <c r="B12" s="112"/>
      <c r="C12" s="45"/>
      <c r="D12" s="21" t="s">
        <v>57</v>
      </c>
      <c r="E12" s="21"/>
      <c r="F12" s="45"/>
      <c r="G12" s="115"/>
      <c r="H12" s="115"/>
      <c r="I12" s="115"/>
      <c r="J12" s="115"/>
      <c r="K12" s="115"/>
      <c r="L12" s="115"/>
      <c r="M12" s="11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114"/>
    </row>
    <row r="13" spans="1:26" s="10" customFormat="1" ht="12.75">
      <c r="A13" s="8"/>
      <c r="B13" s="44"/>
      <c r="C13" s="8"/>
      <c r="D13" s="124"/>
      <c r="E13" s="122"/>
      <c r="F13" s="8"/>
      <c r="G13" s="121"/>
      <c r="H13" s="121"/>
      <c r="I13" s="121"/>
      <c r="J13" s="121"/>
      <c r="K13" s="121"/>
      <c r="L13" s="121"/>
      <c r="M13" s="121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1"/>
    </row>
    <row r="14" spans="1:26" s="120" customFormat="1" ht="19.5">
      <c r="A14" s="47"/>
      <c r="B14" s="87" t="str">
        <f>+'TOT-0806'!B14</f>
        <v>Desde el 01 al 30 de junio de 2008</v>
      </c>
      <c r="C14" s="116"/>
      <c r="D14" s="116"/>
      <c r="E14" s="117"/>
      <c r="F14" s="117"/>
      <c r="G14" s="118"/>
      <c r="H14" s="118"/>
      <c r="I14" s="118"/>
      <c r="J14" s="118"/>
      <c r="K14" s="118"/>
      <c r="L14" s="118"/>
      <c r="M14" s="118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9"/>
    </row>
    <row r="15" spans="1:26" s="10" customFormat="1" ht="13.5" thickBot="1">
      <c r="A15" s="8"/>
      <c r="B15" s="44"/>
      <c r="C15" s="8"/>
      <c r="D15" s="8"/>
      <c r="E15" s="122"/>
      <c r="F15" s="123"/>
      <c r="G15" s="121"/>
      <c r="H15" s="121"/>
      <c r="I15" s="121"/>
      <c r="J15" s="121"/>
      <c r="K15" s="121"/>
      <c r="L15" s="121"/>
      <c r="M15" s="121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1"/>
    </row>
    <row r="16" spans="1:26" s="94" customFormat="1" ht="16.5" customHeight="1" thickBot="1" thickTop="1">
      <c r="A16" s="90"/>
      <c r="B16" s="91"/>
      <c r="C16" s="90"/>
      <c r="D16" s="515" t="s">
        <v>58</v>
      </c>
      <c r="E16" s="516">
        <v>68.199</v>
      </c>
      <c r="F16" s="517"/>
      <c r="G16" s="95"/>
      <c r="H16" s="95"/>
      <c r="I16" s="95"/>
      <c r="J16" s="95"/>
      <c r="K16" s="95"/>
      <c r="L16" s="95"/>
      <c r="M16" s="95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3"/>
    </row>
    <row r="17" spans="1:26" s="94" customFormat="1" ht="16.5" customHeight="1" thickBot="1" thickTop="1">
      <c r="A17" s="90"/>
      <c r="B17" s="91"/>
      <c r="C17" s="90"/>
      <c r="D17" s="515" t="s">
        <v>59</v>
      </c>
      <c r="E17" s="516">
        <v>65.168</v>
      </c>
      <c r="F17" s="518"/>
      <c r="G17" s="90"/>
      <c r="I17" s="96" t="s">
        <v>60</v>
      </c>
      <c r="J17" s="97">
        <f>30*'TOT-0806'!B13</f>
        <v>30</v>
      </c>
      <c r="K17" s="243" t="str">
        <f>IF(J17=30," ",IF(J17=60,"Coeficiente duplicado por tasa de falla &gt;4 Sal. x año/100 km.","REVISAR COEFICIENTE"))</f>
        <v> </v>
      </c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3"/>
    </row>
    <row r="18" spans="1:26" s="10" customFormat="1" ht="14.25" thickBot="1" thickTop="1">
      <c r="A18" s="8"/>
      <c r="B18" s="44"/>
      <c r="C18" s="8"/>
      <c r="D18" s="8"/>
      <c r="E18" s="8"/>
      <c r="F18" s="8"/>
      <c r="G18" s="8"/>
      <c r="H18" s="12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1"/>
    </row>
    <row r="19" spans="1:26" s="107" customFormat="1" ht="33.75" customHeight="1" thickBot="1" thickTop="1">
      <c r="A19" s="98"/>
      <c r="B19" s="99"/>
      <c r="C19" s="100" t="s">
        <v>61</v>
      </c>
      <c r="D19" s="101" t="s">
        <v>31</v>
      </c>
      <c r="E19" s="102" t="s">
        <v>62</v>
      </c>
      <c r="F19" s="103" t="s">
        <v>63</v>
      </c>
      <c r="G19" s="274" t="s">
        <v>64</v>
      </c>
      <c r="H19" s="101" t="s">
        <v>65</v>
      </c>
      <c r="I19" s="101" t="s">
        <v>66</v>
      </c>
      <c r="J19" s="102" t="s">
        <v>67</v>
      </c>
      <c r="K19" s="102" t="s">
        <v>68</v>
      </c>
      <c r="L19" s="104" t="s">
        <v>69</v>
      </c>
      <c r="M19" s="102" t="s">
        <v>70</v>
      </c>
      <c r="N19" s="303" t="s">
        <v>71</v>
      </c>
      <c r="O19" s="306" t="s">
        <v>72</v>
      </c>
      <c r="P19" s="309" t="s">
        <v>73</v>
      </c>
      <c r="Q19" s="310"/>
      <c r="R19" s="311"/>
      <c r="S19" s="320" t="s">
        <v>74</v>
      </c>
      <c r="T19" s="321"/>
      <c r="U19" s="322"/>
      <c r="V19" s="330" t="s">
        <v>75</v>
      </c>
      <c r="W19" s="333" t="s">
        <v>76</v>
      </c>
      <c r="X19" s="105" t="s">
        <v>77</v>
      </c>
      <c r="Y19" s="105" t="s">
        <v>78</v>
      </c>
      <c r="Z19" s="106"/>
    </row>
    <row r="20" spans="1:26" ht="16.5" customHeight="1" hidden="1" thickTop="1">
      <c r="A20" s="1"/>
      <c r="B20" s="2"/>
      <c r="C20" s="51"/>
      <c r="D20" s="418"/>
      <c r="E20" s="53"/>
      <c r="F20" s="53"/>
      <c r="G20" s="410"/>
      <c r="H20" s="53"/>
      <c r="I20" s="54"/>
      <c r="J20" s="54"/>
      <c r="K20" s="54"/>
      <c r="L20" s="52"/>
      <c r="M20" s="53"/>
      <c r="N20" s="304"/>
      <c r="O20" s="307"/>
      <c r="P20" s="312"/>
      <c r="Q20" s="313"/>
      <c r="R20" s="314"/>
      <c r="S20" s="323"/>
      <c r="T20" s="324"/>
      <c r="U20" s="325"/>
      <c r="V20" s="331"/>
      <c r="W20" s="334"/>
      <c r="X20" s="318"/>
      <c r="Y20" s="419"/>
      <c r="Z20" s="3"/>
    </row>
    <row r="21" spans="1:26" ht="16.5" customHeight="1" thickTop="1">
      <c r="A21" s="1"/>
      <c r="B21" s="2"/>
      <c r="C21" s="554"/>
      <c r="D21" s="554"/>
      <c r="E21" s="555"/>
      <c r="F21" s="555"/>
      <c r="G21" s="411"/>
      <c r="H21" s="554"/>
      <c r="I21" s="556"/>
      <c r="J21" s="89"/>
      <c r="K21" s="89"/>
      <c r="L21" s="557"/>
      <c r="M21" s="554"/>
      <c r="N21" s="558"/>
      <c r="O21" s="559"/>
      <c r="P21" s="560"/>
      <c r="Q21" s="561"/>
      <c r="R21" s="562"/>
      <c r="S21" s="563"/>
      <c r="T21" s="564"/>
      <c r="U21" s="565"/>
      <c r="V21" s="566"/>
      <c r="W21" s="567"/>
      <c r="X21" s="568"/>
      <c r="Y21" s="89"/>
      <c r="Z21" s="3"/>
    </row>
    <row r="22" spans="1:26" ht="16.5" customHeight="1">
      <c r="A22" s="1"/>
      <c r="B22" s="2"/>
      <c r="C22" s="520">
        <v>1</v>
      </c>
      <c r="D22" s="521" t="s">
        <v>160</v>
      </c>
      <c r="E22" s="522">
        <v>132</v>
      </c>
      <c r="F22" s="523">
        <v>8.9</v>
      </c>
      <c r="G22" s="412">
        <f aca="true" t="shared" si="0" ref="G22:G41">IF(F22&gt;25,F22,25)*IF(E22=330,$E$16,$E$17)/100</f>
        <v>16.292</v>
      </c>
      <c r="H22" s="528">
        <v>39600.041666666664</v>
      </c>
      <c r="I22" s="528">
        <v>39600.052083333336</v>
      </c>
      <c r="J22" s="13">
        <f aca="true" t="shared" si="1" ref="J22:J41">IF(D22="","",(I22-H22)*24)</f>
        <v>0.2500000001164153</v>
      </c>
      <c r="K22" s="14">
        <f aca="true" t="shared" si="2" ref="K22:K41">IF(D22="","",ROUND((I22-H22)*24*60,0))</f>
        <v>15</v>
      </c>
      <c r="L22" s="529" t="s">
        <v>167</v>
      </c>
      <c r="M22" s="530" t="str">
        <f aca="true" t="shared" si="3" ref="M22:M41">IF(D22="","","--")</f>
        <v>--</v>
      </c>
      <c r="N22" s="531" t="str">
        <f aca="true" t="shared" si="4" ref="N22:N41">IF(L22="P",ROUND(K22/60,2)*G22*$J$17*0.01,"--")</f>
        <v>--</v>
      </c>
      <c r="O22" s="532" t="str">
        <f aca="true" t="shared" si="5" ref="O22:O41">IF(L22="RP",ROUND(K22/60,2)*G22*$J$17*0.01*M22/100,"--")</f>
        <v>--</v>
      </c>
      <c r="P22" s="533">
        <f aca="true" t="shared" si="6" ref="P22:P41">IF(L22="F",G22*$J$17,"--")</f>
        <v>488.76000000000005</v>
      </c>
      <c r="Q22" s="534">
        <f aca="true" t="shared" si="7" ref="Q22:Q41">IF(AND(K22&gt;10,L22="F"),G22*$J$17*IF(K22&gt;180,3,ROUND(K22/60,2)),"--")</f>
        <v>122.19000000000001</v>
      </c>
      <c r="R22" s="535" t="str">
        <f aca="true" t="shared" si="8" ref="R22:R41">IF(AND(K22&gt;180,L22="F"),(ROUND(K22/60,2)-3)*G22*$J$17*0.1,"--")</f>
        <v>--</v>
      </c>
      <c r="S22" s="536" t="str">
        <f aca="true" t="shared" si="9" ref="S22:S41">IF(L22="R",G22*$J$17*M22/100,"--")</f>
        <v>--</v>
      </c>
      <c r="T22" s="537" t="str">
        <f aca="true" t="shared" si="10" ref="T22:T41">IF(AND(K22&gt;10,L22="R"),G22*$J$17*M22/100*IF(K22&gt;180,3,ROUND(K22/60,2)),"--")</f>
        <v>--</v>
      </c>
      <c r="U22" s="538" t="str">
        <f aca="true" t="shared" si="11" ref="U22:U41">IF(AND(K22&gt;180,L22="R"),(ROUND(K22/60,2)-3)*M22/100*G22*$J$17*0.1,"--")</f>
        <v>--</v>
      </c>
      <c r="V22" s="539" t="str">
        <f aca="true" t="shared" si="12" ref="V22:V41">IF(L22="RF",ROUND(K22/60,2)*G22*$J$17*0.1,"--")</f>
        <v>--</v>
      </c>
      <c r="W22" s="540" t="str">
        <f aca="true" t="shared" si="13" ref="W22:W41">IF(L22="RR",ROUND(K22/60,2)*M22/100*G22*$J$17*0.1,"--")</f>
        <v>--</v>
      </c>
      <c r="X22" s="541" t="str">
        <f aca="true" t="shared" si="14" ref="X22:X41">IF(D22="","","SI")</f>
        <v>SI</v>
      </c>
      <c r="Y22" s="55">
        <f aca="true" t="shared" si="15" ref="Y22:Y41">IF(D22="","",SUM(N22:W22)*IF(X22="SI",1,2))</f>
        <v>610.95</v>
      </c>
      <c r="Z22" s="3"/>
    </row>
    <row r="23" spans="1:26" ht="16.5" customHeight="1">
      <c r="A23" s="1"/>
      <c r="B23" s="2"/>
      <c r="C23" s="520"/>
      <c r="D23" s="521"/>
      <c r="E23" s="522"/>
      <c r="F23" s="523"/>
      <c r="G23" s="412">
        <f t="shared" si="0"/>
        <v>16.292</v>
      </c>
      <c r="H23" s="528"/>
      <c r="I23" s="528"/>
      <c r="J23" s="13">
        <f t="shared" si="1"/>
      </c>
      <c r="K23" s="14">
        <f t="shared" si="2"/>
      </c>
      <c r="L23" s="529"/>
      <c r="M23" s="530">
        <f t="shared" si="3"/>
      </c>
      <c r="N23" s="531" t="str">
        <f t="shared" si="4"/>
        <v>--</v>
      </c>
      <c r="O23" s="532" t="str">
        <f t="shared" si="5"/>
        <v>--</v>
      </c>
      <c r="P23" s="533" t="str">
        <f t="shared" si="6"/>
        <v>--</v>
      </c>
      <c r="Q23" s="534" t="str">
        <f t="shared" si="7"/>
        <v>--</v>
      </c>
      <c r="R23" s="535" t="str">
        <f t="shared" si="8"/>
        <v>--</v>
      </c>
      <c r="S23" s="536" t="str">
        <f t="shared" si="9"/>
        <v>--</v>
      </c>
      <c r="T23" s="537" t="str">
        <f t="shared" si="10"/>
        <v>--</v>
      </c>
      <c r="U23" s="538" t="str">
        <f t="shared" si="11"/>
        <v>--</v>
      </c>
      <c r="V23" s="539" t="str">
        <f t="shared" si="12"/>
        <v>--</v>
      </c>
      <c r="W23" s="540" t="str">
        <f t="shared" si="13"/>
        <v>--</v>
      </c>
      <c r="X23" s="541">
        <f t="shared" si="14"/>
      </c>
      <c r="Y23" s="55">
        <f t="shared" si="15"/>
      </c>
      <c r="Z23" s="3"/>
    </row>
    <row r="24" spans="1:26" ht="16.5" customHeight="1">
      <c r="A24" s="1"/>
      <c r="B24" s="2"/>
      <c r="C24" s="520"/>
      <c r="D24" s="521"/>
      <c r="E24" s="522"/>
      <c r="F24" s="523"/>
      <c r="G24" s="412">
        <f t="shared" si="0"/>
        <v>16.292</v>
      </c>
      <c r="H24" s="528"/>
      <c r="I24" s="528"/>
      <c r="J24" s="13">
        <f t="shared" si="1"/>
      </c>
      <c r="K24" s="14">
        <f t="shared" si="2"/>
      </c>
      <c r="L24" s="529"/>
      <c r="M24" s="530">
        <f t="shared" si="3"/>
      </c>
      <c r="N24" s="531" t="str">
        <f t="shared" si="4"/>
        <v>--</v>
      </c>
      <c r="O24" s="532" t="str">
        <f t="shared" si="5"/>
        <v>--</v>
      </c>
      <c r="P24" s="533" t="str">
        <f t="shared" si="6"/>
        <v>--</v>
      </c>
      <c r="Q24" s="534" t="str">
        <f t="shared" si="7"/>
        <v>--</v>
      </c>
      <c r="R24" s="535" t="str">
        <f t="shared" si="8"/>
        <v>--</v>
      </c>
      <c r="S24" s="536" t="str">
        <f t="shared" si="9"/>
        <v>--</v>
      </c>
      <c r="T24" s="537" t="str">
        <f t="shared" si="10"/>
        <v>--</v>
      </c>
      <c r="U24" s="538" t="str">
        <f t="shared" si="11"/>
        <v>--</v>
      </c>
      <c r="V24" s="539" t="str">
        <f t="shared" si="12"/>
        <v>--</v>
      </c>
      <c r="W24" s="540" t="str">
        <f t="shared" si="13"/>
        <v>--</v>
      </c>
      <c r="X24" s="541">
        <f t="shared" si="14"/>
      </c>
      <c r="Y24" s="55">
        <f t="shared" si="15"/>
      </c>
      <c r="Z24" s="3"/>
    </row>
    <row r="25" spans="1:26" ht="16.5" customHeight="1">
      <c r="A25" s="1"/>
      <c r="B25" s="2"/>
      <c r="C25" s="520"/>
      <c r="D25" s="521"/>
      <c r="E25" s="522"/>
      <c r="F25" s="523"/>
      <c r="G25" s="412">
        <f t="shared" si="0"/>
        <v>16.292</v>
      </c>
      <c r="H25" s="528"/>
      <c r="I25" s="528"/>
      <c r="J25" s="13">
        <f t="shared" si="1"/>
      </c>
      <c r="K25" s="14">
        <f t="shared" si="2"/>
      </c>
      <c r="L25" s="529"/>
      <c r="M25" s="530">
        <f t="shared" si="3"/>
      </c>
      <c r="N25" s="531" t="str">
        <f t="shared" si="4"/>
        <v>--</v>
      </c>
      <c r="O25" s="532" t="str">
        <f t="shared" si="5"/>
        <v>--</v>
      </c>
      <c r="P25" s="533" t="str">
        <f t="shared" si="6"/>
        <v>--</v>
      </c>
      <c r="Q25" s="534" t="str">
        <f t="shared" si="7"/>
        <v>--</v>
      </c>
      <c r="R25" s="535" t="str">
        <f t="shared" si="8"/>
        <v>--</v>
      </c>
      <c r="S25" s="536" t="str">
        <f t="shared" si="9"/>
        <v>--</v>
      </c>
      <c r="T25" s="537" t="str">
        <f t="shared" si="10"/>
        <v>--</v>
      </c>
      <c r="U25" s="538" t="str">
        <f t="shared" si="11"/>
        <v>--</v>
      </c>
      <c r="V25" s="539" t="str">
        <f t="shared" si="12"/>
        <v>--</v>
      </c>
      <c r="W25" s="540" t="str">
        <f t="shared" si="13"/>
        <v>--</v>
      </c>
      <c r="X25" s="541">
        <f t="shared" si="14"/>
      </c>
      <c r="Y25" s="55">
        <f t="shared" si="15"/>
      </c>
      <c r="Z25" s="3"/>
    </row>
    <row r="26" spans="1:26" ht="16.5" customHeight="1">
      <c r="A26" s="1"/>
      <c r="B26" s="2"/>
      <c r="C26" s="520"/>
      <c r="D26" s="521"/>
      <c r="E26" s="522"/>
      <c r="F26" s="523"/>
      <c r="G26" s="412">
        <f t="shared" si="0"/>
        <v>16.292</v>
      </c>
      <c r="H26" s="528"/>
      <c r="I26" s="528"/>
      <c r="J26" s="13">
        <f t="shared" si="1"/>
      </c>
      <c r="K26" s="14">
        <f t="shared" si="2"/>
      </c>
      <c r="L26" s="529"/>
      <c r="M26" s="530">
        <f t="shared" si="3"/>
      </c>
      <c r="N26" s="531" t="str">
        <f t="shared" si="4"/>
        <v>--</v>
      </c>
      <c r="O26" s="532" t="str">
        <f t="shared" si="5"/>
        <v>--</v>
      </c>
      <c r="P26" s="533" t="str">
        <f t="shared" si="6"/>
        <v>--</v>
      </c>
      <c r="Q26" s="534" t="str">
        <f t="shared" si="7"/>
        <v>--</v>
      </c>
      <c r="R26" s="535" t="str">
        <f t="shared" si="8"/>
        <v>--</v>
      </c>
      <c r="S26" s="536" t="str">
        <f t="shared" si="9"/>
        <v>--</v>
      </c>
      <c r="T26" s="537" t="str">
        <f t="shared" si="10"/>
        <v>--</v>
      </c>
      <c r="U26" s="538" t="str">
        <f t="shared" si="11"/>
        <v>--</v>
      </c>
      <c r="V26" s="539" t="str">
        <f t="shared" si="12"/>
        <v>--</v>
      </c>
      <c r="W26" s="540" t="str">
        <f t="shared" si="13"/>
        <v>--</v>
      </c>
      <c r="X26" s="541">
        <f t="shared" si="14"/>
      </c>
      <c r="Y26" s="55">
        <f t="shared" si="15"/>
      </c>
      <c r="Z26" s="3"/>
    </row>
    <row r="27" spans="1:26" ht="16.5" customHeight="1">
      <c r="A27" s="1"/>
      <c r="B27" s="2"/>
      <c r="C27" s="520"/>
      <c r="D27" s="521"/>
      <c r="E27" s="522"/>
      <c r="F27" s="523"/>
      <c r="G27" s="412">
        <f t="shared" si="0"/>
        <v>16.292</v>
      </c>
      <c r="H27" s="528"/>
      <c r="I27" s="528"/>
      <c r="J27" s="13">
        <f t="shared" si="1"/>
      </c>
      <c r="K27" s="14">
        <f t="shared" si="2"/>
      </c>
      <c r="L27" s="529"/>
      <c r="M27" s="530">
        <f t="shared" si="3"/>
      </c>
      <c r="N27" s="531" t="str">
        <f t="shared" si="4"/>
        <v>--</v>
      </c>
      <c r="O27" s="532" t="str">
        <f t="shared" si="5"/>
        <v>--</v>
      </c>
      <c r="P27" s="533" t="str">
        <f t="shared" si="6"/>
        <v>--</v>
      </c>
      <c r="Q27" s="534" t="str">
        <f t="shared" si="7"/>
        <v>--</v>
      </c>
      <c r="R27" s="535" t="str">
        <f t="shared" si="8"/>
        <v>--</v>
      </c>
      <c r="S27" s="536" t="str">
        <f t="shared" si="9"/>
        <v>--</v>
      </c>
      <c r="T27" s="537" t="str">
        <f t="shared" si="10"/>
        <v>--</v>
      </c>
      <c r="U27" s="538" t="str">
        <f t="shared" si="11"/>
        <v>--</v>
      </c>
      <c r="V27" s="539" t="str">
        <f t="shared" si="12"/>
        <v>--</v>
      </c>
      <c r="W27" s="540" t="str">
        <f t="shared" si="13"/>
        <v>--</v>
      </c>
      <c r="X27" s="541">
        <f t="shared" si="14"/>
      </c>
      <c r="Y27" s="55">
        <f t="shared" si="15"/>
      </c>
      <c r="Z27" s="3"/>
    </row>
    <row r="28" spans="1:26" ht="16.5" customHeight="1">
      <c r="A28" s="1"/>
      <c r="B28" s="2"/>
      <c r="C28" s="520"/>
      <c r="D28" s="521"/>
      <c r="E28" s="522"/>
      <c r="F28" s="523"/>
      <c r="G28" s="412">
        <f t="shared" si="0"/>
        <v>16.292</v>
      </c>
      <c r="H28" s="528"/>
      <c r="I28" s="528"/>
      <c r="J28" s="13">
        <f t="shared" si="1"/>
      </c>
      <c r="K28" s="14">
        <f t="shared" si="2"/>
      </c>
      <c r="L28" s="529"/>
      <c r="M28" s="530">
        <f t="shared" si="3"/>
      </c>
      <c r="N28" s="531" t="str">
        <f t="shared" si="4"/>
        <v>--</v>
      </c>
      <c r="O28" s="532" t="str">
        <f t="shared" si="5"/>
        <v>--</v>
      </c>
      <c r="P28" s="533" t="str">
        <f t="shared" si="6"/>
        <v>--</v>
      </c>
      <c r="Q28" s="534" t="str">
        <f t="shared" si="7"/>
        <v>--</v>
      </c>
      <c r="R28" s="535" t="str">
        <f t="shared" si="8"/>
        <v>--</v>
      </c>
      <c r="S28" s="536" t="str">
        <f t="shared" si="9"/>
        <v>--</v>
      </c>
      <c r="T28" s="537" t="str">
        <f t="shared" si="10"/>
        <v>--</v>
      </c>
      <c r="U28" s="538" t="str">
        <f t="shared" si="11"/>
        <v>--</v>
      </c>
      <c r="V28" s="539" t="str">
        <f t="shared" si="12"/>
        <v>--</v>
      </c>
      <c r="W28" s="540" t="str">
        <f t="shared" si="13"/>
        <v>--</v>
      </c>
      <c r="X28" s="541">
        <f t="shared" si="14"/>
      </c>
      <c r="Y28" s="55">
        <f t="shared" si="15"/>
      </c>
      <c r="Z28" s="3"/>
    </row>
    <row r="29" spans="1:26" ht="16.5" customHeight="1">
      <c r="A29" s="1"/>
      <c r="B29" s="2"/>
      <c r="C29" s="520"/>
      <c r="D29" s="521"/>
      <c r="E29" s="522"/>
      <c r="F29" s="523"/>
      <c r="G29" s="412">
        <f t="shared" si="0"/>
        <v>16.292</v>
      </c>
      <c r="H29" s="528"/>
      <c r="I29" s="528"/>
      <c r="J29" s="13">
        <f t="shared" si="1"/>
      </c>
      <c r="K29" s="14">
        <f t="shared" si="2"/>
      </c>
      <c r="L29" s="529"/>
      <c r="M29" s="530">
        <f t="shared" si="3"/>
      </c>
      <c r="N29" s="531" t="str">
        <f t="shared" si="4"/>
        <v>--</v>
      </c>
      <c r="O29" s="532" t="str">
        <f t="shared" si="5"/>
        <v>--</v>
      </c>
      <c r="P29" s="533" t="str">
        <f t="shared" si="6"/>
        <v>--</v>
      </c>
      <c r="Q29" s="534" t="str">
        <f t="shared" si="7"/>
        <v>--</v>
      </c>
      <c r="R29" s="535" t="str">
        <f t="shared" si="8"/>
        <v>--</v>
      </c>
      <c r="S29" s="536" t="str">
        <f t="shared" si="9"/>
        <v>--</v>
      </c>
      <c r="T29" s="537" t="str">
        <f t="shared" si="10"/>
        <v>--</v>
      </c>
      <c r="U29" s="538" t="str">
        <f t="shared" si="11"/>
        <v>--</v>
      </c>
      <c r="V29" s="539" t="str">
        <f t="shared" si="12"/>
        <v>--</v>
      </c>
      <c r="W29" s="540" t="str">
        <f t="shared" si="13"/>
        <v>--</v>
      </c>
      <c r="X29" s="541">
        <f t="shared" si="14"/>
      </c>
      <c r="Y29" s="55">
        <f t="shared" si="15"/>
      </c>
      <c r="Z29" s="3"/>
    </row>
    <row r="30" spans="1:26" ht="16.5" customHeight="1">
      <c r="A30" s="1"/>
      <c r="B30" s="2"/>
      <c r="C30" s="520"/>
      <c r="D30" s="521"/>
      <c r="E30" s="522"/>
      <c r="F30" s="523"/>
      <c r="G30" s="412">
        <f t="shared" si="0"/>
        <v>16.292</v>
      </c>
      <c r="H30" s="528"/>
      <c r="I30" s="528"/>
      <c r="J30" s="13">
        <f t="shared" si="1"/>
      </c>
      <c r="K30" s="14">
        <f t="shared" si="2"/>
      </c>
      <c r="L30" s="529"/>
      <c r="M30" s="530">
        <f t="shared" si="3"/>
      </c>
      <c r="N30" s="531" t="str">
        <f t="shared" si="4"/>
        <v>--</v>
      </c>
      <c r="O30" s="532" t="str">
        <f t="shared" si="5"/>
        <v>--</v>
      </c>
      <c r="P30" s="533" t="str">
        <f t="shared" si="6"/>
        <v>--</v>
      </c>
      <c r="Q30" s="534" t="str">
        <f t="shared" si="7"/>
        <v>--</v>
      </c>
      <c r="R30" s="535" t="str">
        <f t="shared" si="8"/>
        <v>--</v>
      </c>
      <c r="S30" s="536" t="str">
        <f t="shared" si="9"/>
        <v>--</v>
      </c>
      <c r="T30" s="537" t="str">
        <f t="shared" si="10"/>
        <v>--</v>
      </c>
      <c r="U30" s="538" t="str">
        <f t="shared" si="11"/>
        <v>--</v>
      </c>
      <c r="V30" s="539" t="str">
        <f t="shared" si="12"/>
        <v>--</v>
      </c>
      <c r="W30" s="540" t="str">
        <f t="shared" si="13"/>
        <v>--</v>
      </c>
      <c r="X30" s="541">
        <f t="shared" si="14"/>
      </c>
      <c r="Y30" s="55">
        <f t="shared" si="15"/>
      </c>
      <c r="Z30" s="3"/>
    </row>
    <row r="31" spans="1:26" ht="16.5" customHeight="1">
      <c r="A31" s="1"/>
      <c r="B31" s="2"/>
      <c r="C31" s="520"/>
      <c r="D31" s="521"/>
      <c r="E31" s="522"/>
      <c r="F31" s="523"/>
      <c r="G31" s="412">
        <f t="shared" si="0"/>
        <v>16.292</v>
      </c>
      <c r="H31" s="528"/>
      <c r="I31" s="528"/>
      <c r="J31" s="13">
        <f t="shared" si="1"/>
      </c>
      <c r="K31" s="14">
        <f t="shared" si="2"/>
      </c>
      <c r="L31" s="529"/>
      <c r="M31" s="530">
        <f t="shared" si="3"/>
      </c>
      <c r="N31" s="531" t="str">
        <f t="shared" si="4"/>
        <v>--</v>
      </c>
      <c r="O31" s="532" t="str">
        <f t="shared" si="5"/>
        <v>--</v>
      </c>
      <c r="P31" s="533" t="str">
        <f t="shared" si="6"/>
        <v>--</v>
      </c>
      <c r="Q31" s="534" t="str">
        <f t="shared" si="7"/>
        <v>--</v>
      </c>
      <c r="R31" s="535" t="str">
        <f t="shared" si="8"/>
        <v>--</v>
      </c>
      <c r="S31" s="536" t="str">
        <f t="shared" si="9"/>
        <v>--</v>
      </c>
      <c r="T31" s="537" t="str">
        <f t="shared" si="10"/>
        <v>--</v>
      </c>
      <c r="U31" s="538" t="str">
        <f t="shared" si="11"/>
        <v>--</v>
      </c>
      <c r="V31" s="539" t="str">
        <f t="shared" si="12"/>
        <v>--</v>
      </c>
      <c r="W31" s="540" t="str">
        <f t="shared" si="13"/>
        <v>--</v>
      </c>
      <c r="X31" s="541">
        <f t="shared" si="14"/>
      </c>
      <c r="Y31" s="55">
        <f t="shared" si="15"/>
      </c>
      <c r="Z31" s="3"/>
    </row>
    <row r="32" spans="1:26" ht="16.5" customHeight="1">
      <c r="A32" s="1"/>
      <c r="B32" s="2"/>
      <c r="C32" s="520"/>
      <c r="D32" s="521"/>
      <c r="E32" s="522"/>
      <c r="F32" s="523"/>
      <c r="G32" s="412">
        <f t="shared" si="0"/>
        <v>16.292</v>
      </c>
      <c r="H32" s="528"/>
      <c r="I32" s="528"/>
      <c r="J32" s="13">
        <f t="shared" si="1"/>
      </c>
      <c r="K32" s="14">
        <f t="shared" si="2"/>
      </c>
      <c r="L32" s="529"/>
      <c r="M32" s="530">
        <f t="shared" si="3"/>
      </c>
      <c r="N32" s="531" t="str">
        <f t="shared" si="4"/>
        <v>--</v>
      </c>
      <c r="O32" s="532" t="str">
        <f t="shared" si="5"/>
        <v>--</v>
      </c>
      <c r="P32" s="533" t="str">
        <f t="shared" si="6"/>
        <v>--</v>
      </c>
      <c r="Q32" s="534" t="str">
        <f t="shared" si="7"/>
        <v>--</v>
      </c>
      <c r="R32" s="535" t="str">
        <f t="shared" si="8"/>
        <v>--</v>
      </c>
      <c r="S32" s="536" t="str">
        <f t="shared" si="9"/>
        <v>--</v>
      </c>
      <c r="T32" s="537" t="str">
        <f t="shared" si="10"/>
        <v>--</v>
      </c>
      <c r="U32" s="538" t="str">
        <f t="shared" si="11"/>
        <v>--</v>
      </c>
      <c r="V32" s="539" t="str">
        <f t="shared" si="12"/>
        <v>--</v>
      </c>
      <c r="W32" s="540" t="str">
        <f t="shared" si="13"/>
        <v>--</v>
      </c>
      <c r="X32" s="541">
        <f t="shared" si="14"/>
      </c>
      <c r="Y32" s="55">
        <f t="shared" si="15"/>
      </c>
      <c r="Z32" s="3"/>
    </row>
    <row r="33" spans="1:26" ht="16.5" customHeight="1">
      <c r="A33" s="1"/>
      <c r="B33" s="2"/>
      <c r="C33" s="520"/>
      <c r="D33" s="521"/>
      <c r="E33" s="522"/>
      <c r="F33" s="523"/>
      <c r="G33" s="412">
        <f t="shared" si="0"/>
        <v>16.292</v>
      </c>
      <c r="H33" s="528"/>
      <c r="I33" s="528"/>
      <c r="J33" s="13">
        <f t="shared" si="1"/>
      </c>
      <c r="K33" s="14">
        <f t="shared" si="2"/>
      </c>
      <c r="L33" s="529"/>
      <c r="M33" s="530">
        <f t="shared" si="3"/>
      </c>
      <c r="N33" s="531" t="str">
        <f t="shared" si="4"/>
        <v>--</v>
      </c>
      <c r="O33" s="532" t="str">
        <f t="shared" si="5"/>
        <v>--</v>
      </c>
      <c r="P33" s="533" t="str">
        <f t="shared" si="6"/>
        <v>--</v>
      </c>
      <c r="Q33" s="534" t="str">
        <f t="shared" si="7"/>
        <v>--</v>
      </c>
      <c r="R33" s="535" t="str">
        <f t="shared" si="8"/>
        <v>--</v>
      </c>
      <c r="S33" s="536" t="str">
        <f t="shared" si="9"/>
        <v>--</v>
      </c>
      <c r="T33" s="537" t="str">
        <f t="shared" si="10"/>
        <v>--</v>
      </c>
      <c r="U33" s="538" t="str">
        <f t="shared" si="11"/>
        <v>--</v>
      </c>
      <c r="V33" s="539" t="str">
        <f t="shared" si="12"/>
        <v>--</v>
      </c>
      <c r="W33" s="540" t="str">
        <f t="shared" si="13"/>
        <v>--</v>
      </c>
      <c r="X33" s="541">
        <f t="shared" si="14"/>
      </c>
      <c r="Y33" s="55">
        <f t="shared" si="15"/>
      </c>
      <c r="Z33" s="3"/>
    </row>
    <row r="34" spans="1:26" ht="16.5" customHeight="1">
      <c r="A34" s="1"/>
      <c r="B34" s="2"/>
      <c r="C34" s="520"/>
      <c r="D34" s="521"/>
      <c r="E34" s="522"/>
      <c r="F34" s="523"/>
      <c r="G34" s="412">
        <f t="shared" si="0"/>
        <v>16.292</v>
      </c>
      <c r="H34" s="528"/>
      <c r="I34" s="528"/>
      <c r="J34" s="13">
        <f t="shared" si="1"/>
      </c>
      <c r="K34" s="14">
        <f t="shared" si="2"/>
      </c>
      <c r="L34" s="529"/>
      <c r="M34" s="530">
        <f t="shared" si="3"/>
      </c>
      <c r="N34" s="531" t="str">
        <f t="shared" si="4"/>
        <v>--</v>
      </c>
      <c r="O34" s="532" t="str">
        <f t="shared" si="5"/>
        <v>--</v>
      </c>
      <c r="P34" s="533" t="str">
        <f t="shared" si="6"/>
        <v>--</v>
      </c>
      <c r="Q34" s="534" t="str">
        <f t="shared" si="7"/>
        <v>--</v>
      </c>
      <c r="R34" s="535" t="str">
        <f t="shared" si="8"/>
        <v>--</v>
      </c>
      <c r="S34" s="536" t="str">
        <f t="shared" si="9"/>
        <v>--</v>
      </c>
      <c r="T34" s="537" t="str">
        <f t="shared" si="10"/>
        <v>--</v>
      </c>
      <c r="U34" s="538" t="str">
        <f t="shared" si="11"/>
        <v>--</v>
      </c>
      <c r="V34" s="539" t="str">
        <f t="shared" si="12"/>
        <v>--</v>
      </c>
      <c r="W34" s="540" t="str">
        <f t="shared" si="13"/>
        <v>--</v>
      </c>
      <c r="X34" s="541">
        <f t="shared" si="14"/>
      </c>
      <c r="Y34" s="55">
        <f t="shared" si="15"/>
      </c>
      <c r="Z34" s="3"/>
    </row>
    <row r="35" spans="1:26" ht="16.5" customHeight="1">
      <c r="A35" s="1"/>
      <c r="B35" s="2"/>
      <c r="C35" s="520"/>
      <c r="D35" s="521"/>
      <c r="E35" s="522"/>
      <c r="F35" s="523"/>
      <c r="G35" s="412">
        <f t="shared" si="0"/>
        <v>16.292</v>
      </c>
      <c r="H35" s="528"/>
      <c r="I35" s="528"/>
      <c r="J35" s="13">
        <f t="shared" si="1"/>
      </c>
      <c r="K35" s="14">
        <f t="shared" si="2"/>
      </c>
      <c r="L35" s="529"/>
      <c r="M35" s="530">
        <f t="shared" si="3"/>
      </c>
      <c r="N35" s="531" t="str">
        <f t="shared" si="4"/>
        <v>--</v>
      </c>
      <c r="O35" s="532" t="str">
        <f t="shared" si="5"/>
        <v>--</v>
      </c>
      <c r="P35" s="533" t="str">
        <f t="shared" si="6"/>
        <v>--</v>
      </c>
      <c r="Q35" s="534" t="str">
        <f t="shared" si="7"/>
        <v>--</v>
      </c>
      <c r="R35" s="535" t="str">
        <f t="shared" si="8"/>
        <v>--</v>
      </c>
      <c r="S35" s="536" t="str">
        <f t="shared" si="9"/>
        <v>--</v>
      </c>
      <c r="T35" s="537" t="str">
        <f t="shared" si="10"/>
        <v>--</v>
      </c>
      <c r="U35" s="538" t="str">
        <f t="shared" si="11"/>
        <v>--</v>
      </c>
      <c r="V35" s="539" t="str">
        <f t="shared" si="12"/>
        <v>--</v>
      </c>
      <c r="W35" s="540" t="str">
        <f t="shared" si="13"/>
        <v>--</v>
      </c>
      <c r="X35" s="541">
        <f t="shared" si="14"/>
      </c>
      <c r="Y35" s="55">
        <f t="shared" si="15"/>
      </c>
      <c r="Z35" s="3"/>
    </row>
    <row r="36" spans="1:26" ht="16.5" customHeight="1">
      <c r="A36" s="1"/>
      <c r="B36" s="2"/>
      <c r="C36" s="520"/>
      <c r="D36" s="521"/>
      <c r="E36" s="522"/>
      <c r="F36" s="523"/>
      <c r="G36" s="412">
        <f t="shared" si="0"/>
        <v>16.292</v>
      </c>
      <c r="H36" s="528"/>
      <c r="I36" s="528"/>
      <c r="J36" s="13">
        <f t="shared" si="1"/>
      </c>
      <c r="K36" s="14">
        <f t="shared" si="2"/>
      </c>
      <c r="L36" s="529"/>
      <c r="M36" s="530">
        <f t="shared" si="3"/>
      </c>
      <c r="N36" s="531" t="str">
        <f t="shared" si="4"/>
        <v>--</v>
      </c>
      <c r="O36" s="532" t="str">
        <f t="shared" si="5"/>
        <v>--</v>
      </c>
      <c r="P36" s="533" t="str">
        <f t="shared" si="6"/>
        <v>--</v>
      </c>
      <c r="Q36" s="534" t="str">
        <f t="shared" si="7"/>
        <v>--</v>
      </c>
      <c r="R36" s="535" t="str">
        <f t="shared" si="8"/>
        <v>--</v>
      </c>
      <c r="S36" s="536" t="str">
        <f t="shared" si="9"/>
        <v>--</v>
      </c>
      <c r="T36" s="537" t="str">
        <f t="shared" si="10"/>
        <v>--</v>
      </c>
      <c r="U36" s="538" t="str">
        <f t="shared" si="11"/>
        <v>--</v>
      </c>
      <c r="V36" s="539" t="str">
        <f t="shared" si="12"/>
        <v>--</v>
      </c>
      <c r="W36" s="540" t="str">
        <f t="shared" si="13"/>
        <v>--</v>
      </c>
      <c r="X36" s="541">
        <f t="shared" si="14"/>
      </c>
      <c r="Y36" s="55">
        <f t="shared" si="15"/>
      </c>
      <c r="Z36" s="3"/>
    </row>
    <row r="37" spans="1:26" ht="16.5" customHeight="1">
      <c r="A37" s="1"/>
      <c r="B37" s="2"/>
      <c r="C37" s="520"/>
      <c r="D37" s="521"/>
      <c r="E37" s="522"/>
      <c r="F37" s="523"/>
      <c r="G37" s="412">
        <f t="shared" si="0"/>
        <v>16.292</v>
      </c>
      <c r="H37" s="528"/>
      <c r="I37" s="528"/>
      <c r="J37" s="13">
        <f t="shared" si="1"/>
      </c>
      <c r="K37" s="14">
        <f t="shared" si="2"/>
      </c>
      <c r="L37" s="529"/>
      <c r="M37" s="530">
        <f t="shared" si="3"/>
      </c>
      <c r="N37" s="531" t="str">
        <f t="shared" si="4"/>
        <v>--</v>
      </c>
      <c r="O37" s="532" t="str">
        <f t="shared" si="5"/>
        <v>--</v>
      </c>
      <c r="P37" s="533" t="str">
        <f t="shared" si="6"/>
        <v>--</v>
      </c>
      <c r="Q37" s="534" t="str">
        <f t="shared" si="7"/>
        <v>--</v>
      </c>
      <c r="R37" s="535" t="str">
        <f t="shared" si="8"/>
        <v>--</v>
      </c>
      <c r="S37" s="536" t="str">
        <f t="shared" si="9"/>
        <v>--</v>
      </c>
      <c r="T37" s="537" t="str">
        <f t="shared" si="10"/>
        <v>--</v>
      </c>
      <c r="U37" s="538" t="str">
        <f t="shared" si="11"/>
        <v>--</v>
      </c>
      <c r="V37" s="539" t="str">
        <f t="shared" si="12"/>
        <v>--</v>
      </c>
      <c r="W37" s="540" t="str">
        <f t="shared" si="13"/>
        <v>--</v>
      </c>
      <c r="X37" s="541">
        <f t="shared" si="14"/>
      </c>
      <c r="Y37" s="55">
        <f t="shared" si="15"/>
      </c>
      <c r="Z37" s="3"/>
    </row>
    <row r="38" spans="2:26" ht="16.5" customHeight="1">
      <c r="B38" s="56"/>
      <c r="C38" s="520"/>
      <c r="D38" s="521"/>
      <c r="E38" s="522"/>
      <c r="F38" s="523"/>
      <c r="G38" s="412">
        <f t="shared" si="0"/>
        <v>16.292</v>
      </c>
      <c r="H38" s="528"/>
      <c r="I38" s="528"/>
      <c r="J38" s="13">
        <f t="shared" si="1"/>
      </c>
      <c r="K38" s="14">
        <f t="shared" si="2"/>
      </c>
      <c r="L38" s="529"/>
      <c r="M38" s="530">
        <f t="shared" si="3"/>
      </c>
      <c r="N38" s="531" t="str">
        <f t="shared" si="4"/>
        <v>--</v>
      </c>
      <c r="O38" s="532" t="str">
        <f t="shared" si="5"/>
        <v>--</v>
      </c>
      <c r="P38" s="533" t="str">
        <f t="shared" si="6"/>
        <v>--</v>
      </c>
      <c r="Q38" s="534" t="str">
        <f t="shared" si="7"/>
        <v>--</v>
      </c>
      <c r="R38" s="535" t="str">
        <f t="shared" si="8"/>
        <v>--</v>
      </c>
      <c r="S38" s="536" t="str">
        <f t="shared" si="9"/>
        <v>--</v>
      </c>
      <c r="T38" s="537" t="str">
        <f t="shared" si="10"/>
        <v>--</v>
      </c>
      <c r="U38" s="538" t="str">
        <f t="shared" si="11"/>
        <v>--</v>
      </c>
      <c r="V38" s="539" t="str">
        <f t="shared" si="12"/>
        <v>--</v>
      </c>
      <c r="W38" s="540" t="str">
        <f t="shared" si="13"/>
        <v>--</v>
      </c>
      <c r="X38" s="541">
        <f t="shared" si="14"/>
      </c>
      <c r="Y38" s="55">
        <f t="shared" si="15"/>
      </c>
      <c r="Z38" s="3"/>
    </row>
    <row r="39" spans="2:26" ht="16.5" customHeight="1">
      <c r="B39" s="56"/>
      <c r="C39" s="520"/>
      <c r="D39" s="521"/>
      <c r="E39" s="522"/>
      <c r="F39" s="523"/>
      <c r="G39" s="412">
        <f t="shared" si="0"/>
        <v>16.292</v>
      </c>
      <c r="H39" s="528"/>
      <c r="I39" s="528"/>
      <c r="J39" s="13">
        <f t="shared" si="1"/>
      </c>
      <c r="K39" s="14">
        <f t="shared" si="2"/>
      </c>
      <c r="L39" s="529"/>
      <c r="M39" s="530">
        <f t="shared" si="3"/>
      </c>
      <c r="N39" s="531" t="str">
        <f t="shared" si="4"/>
        <v>--</v>
      </c>
      <c r="O39" s="532" t="str">
        <f t="shared" si="5"/>
        <v>--</v>
      </c>
      <c r="P39" s="533" t="str">
        <f t="shared" si="6"/>
        <v>--</v>
      </c>
      <c r="Q39" s="534" t="str">
        <f t="shared" si="7"/>
        <v>--</v>
      </c>
      <c r="R39" s="535" t="str">
        <f t="shared" si="8"/>
        <v>--</v>
      </c>
      <c r="S39" s="536" t="str">
        <f t="shared" si="9"/>
        <v>--</v>
      </c>
      <c r="T39" s="537" t="str">
        <f t="shared" si="10"/>
        <v>--</v>
      </c>
      <c r="U39" s="538" t="str">
        <f t="shared" si="11"/>
        <v>--</v>
      </c>
      <c r="V39" s="539" t="str">
        <f t="shared" si="12"/>
        <v>--</v>
      </c>
      <c r="W39" s="540" t="str">
        <f t="shared" si="13"/>
        <v>--</v>
      </c>
      <c r="X39" s="541">
        <f t="shared" si="14"/>
      </c>
      <c r="Y39" s="55">
        <f t="shared" si="15"/>
      </c>
      <c r="Z39" s="3"/>
    </row>
    <row r="40" spans="2:26" ht="16.5" customHeight="1">
      <c r="B40" s="56"/>
      <c r="C40" s="520"/>
      <c r="D40" s="521"/>
      <c r="E40" s="522"/>
      <c r="F40" s="523"/>
      <c r="G40" s="412">
        <f t="shared" si="0"/>
        <v>16.292</v>
      </c>
      <c r="H40" s="528"/>
      <c r="I40" s="528"/>
      <c r="J40" s="13">
        <f t="shared" si="1"/>
      </c>
      <c r="K40" s="14">
        <f t="shared" si="2"/>
      </c>
      <c r="L40" s="529"/>
      <c r="M40" s="530">
        <f t="shared" si="3"/>
      </c>
      <c r="N40" s="531" t="str">
        <f t="shared" si="4"/>
        <v>--</v>
      </c>
      <c r="O40" s="532" t="str">
        <f t="shared" si="5"/>
        <v>--</v>
      </c>
      <c r="P40" s="533" t="str">
        <f t="shared" si="6"/>
        <v>--</v>
      </c>
      <c r="Q40" s="534" t="str">
        <f t="shared" si="7"/>
        <v>--</v>
      </c>
      <c r="R40" s="535" t="str">
        <f t="shared" si="8"/>
        <v>--</v>
      </c>
      <c r="S40" s="536" t="str">
        <f t="shared" si="9"/>
        <v>--</v>
      </c>
      <c r="T40" s="537" t="str">
        <f t="shared" si="10"/>
        <v>--</v>
      </c>
      <c r="U40" s="538" t="str">
        <f t="shared" si="11"/>
        <v>--</v>
      </c>
      <c r="V40" s="539" t="str">
        <f t="shared" si="12"/>
        <v>--</v>
      </c>
      <c r="W40" s="540" t="str">
        <f t="shared" si="13"/>
        <v>--</v>
      </c>
      <c r="X40" s="541">
        <f t="shared" si="14"/>
      </c>
      <c r="Y40" s="55">
        <f t="shared" si="15"/>
      </c>
      <c r="Z40" s="3"/>
    </row>
    <row r="41" spans="2:26" ht="16.5" customHeight="1">
      <c r="B41" s="56"/>
      <c r="C41" s="520"/>
      <c r="D41" s="521"/>
      <c r="E41" s="522"/>
      <c r="F41" s="523"/>
      <c r="G41" s="412">
        <f t="shared" si="0"/>
        <v>16.292</v>
      </c>
      <c r="H41" s="528"/>
      <c r="I41" s="528"/>
      <c r="J41" s="13">
        <f t="shared" si="1"/>
      </c>
      <c r="K41" s="14">
        <f t="shared" si="2"/>
      </c>
      <c r="L41" s="529"/>
      <c r="M41" s="530">
        <f t="shared" si="3"/>
      </c>
      <c r="N41" s="531" t="str">
        <f t="shared" si="4"/>
        <v>--</v>
      </c>
      <c r="O41" s="532" t="str">
        <f t="shared" si="5"/>
        <v>--</v>
      </c>
      <c r="P41" s="533" t="str">
        <f t="shared" si="6"/>
        <v>--</v>
      </c>
      <c r="Q41" s="534" t="str">
        <f t="shared" si="7"/>
        <v>--</v>
      </c>
      <c r="R41" s="535" t="str">
        <f t="shared" si="8"/>
        <v>--</v>
      </c>
      <c r="S41" s="536" t="str">
        <f t="shared" si="9"/>
        <v>--</v>
      </c>
      <c r="T41" s="537" t="str">
        <f t="shared" si="10"/>
        <v>--</v>
      </c>
      <c r="U41" s="538" t="str">
        <f t="shared" si="11"/>
        <v>--</v>
      </c>
      <c r="V41" s="539" t="str">
        <f t="shared" si="12"/>
        <v>--</v>
      </c>
      <c r="W41" s="540" t="str">
        <f t="shared" si="13"/>
        <v>--</v>
      </c>
      <c r="X41" s="541">
        <f t="shared" si="14"/>
      </c>
      <c r="Y41" s="55">
        <f t="shared" si="15"/>
      </c>
      <c r="Z41" s="3"/>
    </row>
    <row r="42" spans="1:26" ht="16.5" customHeight="1" thickBot="1">
      <c r="A42" s="1"/>
      <c r="B42" s="2"/>
      <c r="C42" s="524"/>
      <c r="D42" s="525"/>
      <c r="E42" s="526"/>
      <c r="F42" s="527"/>
      <c r="G42" s="413"/>
      <c r="H42" s="527"/>
      <c r="I42" s="527"/>
      <c r="J42" s="15"/>
      <c r="K42" s="15"/>
      <c r="L42" s="527"/>
      <c r="M42" s="542"/>
      <c r="N42" s="543"/>
      <c r="O42" s="544"/>
      <c r="P42" s="545"/>
      <c r="Q42" s="546"/>
      <c r="R42" s="547"/>
      <c r="S42" s="548"/>
      <c r="T42" s="549"/>
      <c r="U42" s="550"/>
      <c r="V42" s="551"/>
      <c r="W42" s="552"/>
      <c r="X42" s="553"/>
      <c r="Y42" s="57"/>
      <c r="Z42" s="3"/>
    </row>
    <row r="43" spans="1:26" ht="16.5" customHeight="1" thickBot="1" thickTop="1">
      <c r="A43" s="1"/>
      <c r="B43" s="2"/>
      <c r="C43" s="249" t="s">
        <v>79</v>
      </c>
      <c r="D43" s="250" t="s">
        <v>177</v>
      </c>
      <c r="E43" s="16"/>
      <c r="F43" s="17"/>
      <c r="G43" s="58"/>
      <c r="H43" s="58"/>
      <c r="I43" s="58"/>
      <c r="J43" s="58"/>
      <c r="K43" s="58"/>
      <c r="L43" s="58"/>
      <c r="M43" s="59"/>
      <c r="N43" s="336">
        <f aca="true" t="shared" si="16" ref="N43:W43">ROUND(SUM(N20:N42),2)</f>
        <v>0</v>
      </c>
      <c r="O43" s="337">
        <f t="shared" si="16"/>
        <v>0</v>
      </c>
      <c r="P43" s="338">
        <f t="shared" si="16"/>
        <v>488.76</v>
      </c>
      <c r="Q43" s="338">
        <f t="shared" si="16"/>
        <v>122.19</v>
      </c>
      <c r="R43" s="339">
        <f t="shared" si="16"/>
        <v>0</v>
      </c>
      <c r="S43" s="340">
        <f t="shared" si="16"/>
        <v>0</v>
      </c>
      <c r="T43" s="340">
        <f t="shared" si="16"/>
        <v>0</v>
      </c>
      <c r="U43" s="341">
        <f t="shared" si="16"/>
        <v>0</v>
      </c>
      <c r="V43" s="342">
        <f t="shared" si="16"/>
        <v>0</v>
      </c>
      <c r="W43" s="343">
        <f t="shared" si="16"/>
        <v>0</v>
      </c>
      <c r="X43" s="60"/>
      <c r="Y43" s="736">
        <f>ROUND(SUM(Y20:Y42),2)</f>
        <v>610.95</v>
      </c>
      <c r="Z43" s="61"/>
    </row>
    <row r="44" spans="1:26" s="264" customFormat="1" ht="9.75" thickTop="1">
      <c r="A44" s="253"/>
      <c r="B44" s="254"/>
      <c r="C44" s="251"/>
      <c r="D44" s="252"/>
      <c r="E44" s="255"/>
      <c r="F44" s="256"/>
      <c r="G44" s="257"/>
      <c r="H44" s="257"/>
      <c r="I44" s="257"/>
      <c r="J44" s="257"/>
      <c r="K44" s="257"/>
      <c r="L44" s="257"/>
      <c r="M44" s="258"/>
      <c r="N44" s="259"/>
      <c r="O44" s="259"/>
      <c r="P44" s="260"/>
      <c r="Q44" s="260"/>
      <c r="R44" s="261"/>
      <c r="S44" s="261"/>
      <c r="T44" s="261"/>
      <c r="U44" s="261"/>
      <c r="V44" s="261"/>
      <c r="W44" s="261"/>
      <c r="X44" s="261"/>
      <c r="Y44" s="262"/>
      <c r="Z44" s="263"/>
    </row>
    <row r="45" spans="1:26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50"/>
    </row>
    <row r="46" spans="1:26" ht="13.5" thickTop="1">
      <c r="A46" s="1"/>
      <c r="B46" s="1"/>
      <c r="Z46" s="1"/>
    </row>
    <row r="91" spans="1:2" ht="12.75">
      <c r="A91" s="1"/>
      <c r="B91" s="1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Roman,Normal"&amp;8&amp;F-&amp;A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B48"/>
  <sheetViews>
    <sheetView zoomScale="75" zoomScaleNormal="75" workbookViewId="0" topLeftCell="A1">
      <selection activeCell="B12" sqref="B12"/>
    </sheetView>
  </sheetViews>
  <sheetFormatPr defaultColWidth="11.421875" defaultRowHeight="12.75"/>
  <cols>
    <col min="1" max="1" width="20.7109375" style="666" customWidth="1"/>
    <col min="2" max="2" width="15.7109375" style="666" customWidth="1"/>
    <col min="3" max="3" width="4.140625" style="666" customWidth="1"/>
    <col min="4" max="5" width="25.7109375" style="666" customWidth="1"/>
    <col min="6" max="6" width="7.7109375" style="666" customWidth="1"/>
    <col min="7" max="7" width="12.7109375" style="666" customWidth="1"/>
    <col min="8" max="8" width="11.8515625" style="666" hidden="1" customWidth="1"/>
    <col min="9" max="10" width="15.7109375" style="666" customWidth="1"/>
    <col min="11" max="13" width="9.7109375" style="666" customWidth="1"/>
    <col min="14" max="14" width="5.8515625" style="666" customWidth="1"/>
    <col min="15" max="16" width="7.00390625" style="666" customWidth="1"/>
    <col min="17" max="17" width="11.7109375" style="666" hidden="1" customWidth="1"/>
    <col min="18" max="19" width="14.00390625" style="666" hidden="1" customWidth="1"/>
    <col min="20" max="20" width="14.28125" style="666" hidden="1" customWidth="1"/>
    <col min="21" max="25" width="14.140625" style="666" hidden="1" customWidth="1"/>
    <col min="26" max="26" width="9.00390625" style="666" customWidth="1"/>
    <col min="27" max="28" width="15.7109375" style="666" customWidth="1"/>
    <col min="29" max="16384" width="11.421875" style="666" customWidth="1"/>
  </cols>
  <sheetData>
    <row r="1" spans="1:28" s="571" customFormat="1" ht="26.25">
      <c r="A1" s="569"/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70"/>
    </row>
    <row r="2" spans="1:28" s="571" customFormat="1" ht="26.25">
      <c r="A2" s="569"/>
      <c r="B2" s="572" t="str">
        <f>+'TOT-0806'!B2</f>
        <v>ANEXO VI al Memorándum D.T.E.E. N°  452  /2010</v>
      </c>
      <c r="C2" s="573"/>
      <c r="D2" s="573"/>
      <c r="E2" s="572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</row>
    <row r="3" spans="1:28" s="575" customFormat="1" ht="12.75">
      <c r="A3" s="574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</row>
    <row r="4" spans="1:28" s="578" customFormat="1" ht="11.25">
      <c r="A4" s="129" t="s">
        <v>28</v>
      </c>
      <c r="B4" s="576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</row>
    <row r="5" spans="1:28" s="578" customFormat="1" ht="11.25">
      <c r="A5" s="129" t="s">
        <v>29</v>
      </c>
      <c r="B5" s="576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7"/>
      <c r="AA5" s="577"/>
      <c r="AB5" s="577"/>
    </row>
    <row r="6" spans="1:28" s="575" customFormat="1" ht="13.5" thickBot="1">
      <c r="A6" s="574"/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574"/>
      <c r="AB6" s="574"/>
    </row>
    <row r="7" spans="1:28" s="575" customFormat="1" ht="13.5" thickTop="1">
      <c r="A7" s="574"/>
      <c r="B7" s="579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580"/>
      <c r="AB7" s="581"/>
    </row>
    <row r="8" spans="1:28" s="585" customFormat="1" ht="20.25">
      <c r="A8" s="582"/>
      <c r="B8" s="583"/>
      <c r="C8" s="194"/>
      <c r="D8" s="584" t="s">
        <v>55</v>
      </c>
      <c r="F8" s="194"/>
      <c r="G8" s="582"/>
      <c r="H8" s="582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586"/>
    </row>
    <row r="9" spans="1:28" s="575" customFormat="1" ht="12.75">
      <c r="A9" s="574"/>
      <c r="B9" s="587"/>
      <c r="C9" s="179"/>
      <c r="D9" s="179"/>
      <c r="E9" s="179"/>
      <c r="F9" s="179"/>
      <c r="G9" s="574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588"/>
    </row>
    <row r="10" spans="1:28" s="585" customFormat="1" ht="20.25">
      <c r="A10" s="582"/>
      <c r="B10" s="583"/>
      <c r="C10" s="194"/>
      <c r="D10" s="584" t="s">
        <v>80</v>
      </c>
      <c r="E10" s="194"/>
      <c r="F10" s="194"/>
      <c r="G10" s="582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586"/>
    </row>
    <row r="11" spans="1:28" s="575" customFormat="1" ht="12.75">
      <c r="A11" s="574"/>
      <c r="B11" s="587"/>
      <c r="C11" s="179"/>
      <c r="D11" s="589"/>
      <c r="E11" s="179"/>
      <c r="F11" s="179"/>
      <c r="G11" s="574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588"/>
    </row>
    <row r="12" spans="1:28" s="585" customFormat="1" ht="20.25">
      <c r="A12" s="582"/>
      <c r="B12" s="583"/>
      <c r="C12" s="194"/>
      <c r="D12" s="584" t="s">
        <v>81</v>
      </c>
      <c r="E12" s="590"/>
      <c r="F12" s="582"/>
      <c r="G12" s="582"/>
      <c r="H12" s="194"/>
      <c r="I12" s="194"/>
      <c r="J12" s="582"/>
      <c r="K12" s="582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586"/>
    </row>
    <row r="13" spans="1:28" s="575" customFormat="1" ht="12.75">
      <c r="A13" s="574"/>
      <c r="B13" s="587"/>
      <c r="C13" s="179"/>
      <c r="D13" s="591"/>
      <c r="E13" s="592"/>
      <c r="F13" s="574"/>
      <c r="G13" s="574"/>
      <c r="H13" s="179"/>
      <c r="I13" s="179"/>
      <c r="J13" s="574"/>
      <c r="K13" s="574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588"/>
    </row>
    <row r="14" spans="1:28" s="585" customFormat="1" ht="20.25">
      <c r="A14" s="582"/>
      <c r="B14" s="583"/>
      <c r="C14" s="194"/>
      <c r="D14" s="584" t="s">
        <v>82</v>
      </c>
      <c r="E14" s="195"/>
      <c r="F14" s="195"/>
      <c r="G14" s="196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586"/>
    </row>
    <row r="15" spans="1:28" s="575" customFormat="1" ht="12.75">
      <c r="A15" s="574"/>
      <c r="B15" s="587"/>
      <c r="C15" s="179"/>
      <c r="D15" s="593"/>
      <c r="E15" s="180"/>
      <c r="F15" s="180"/>
      <c r="G15" s="181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588"/>
    </row>
    <row r="16" spans="1:28" s="599" customFormat="1" ht="19.5">
      <c r="A16" s="594"/>
      <c r="B16" s="87" t="str">
        <f>+'TOT-0806'!B14</f>
        <v>Desde el 01 al 30 de junio de 2008</v>
      </c>
      <c r="C16" s="595"/>
      <c r="D16" s="595"/>
      <c r="E16" s="595"/>
      <c r="F16" s="595"/>
      <c r="G16" s="596"/>
      <c r="H16" s="595"/>
      <c r="I16" s="597"/>
      <c r="J16" s="597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595"/>
      <c r="AB16" s="598"/>
    </row>
    <row r="17" spans="1:28" s="575" customFormat="1" ht="14.25" thickBot="1">
      <c r="A17" s="574"/>
      <c r="B17" s="587"/>
      <c r="C17" s="179"/>
      <c r="D17" s="179"/>
      <c r="E17" s="179"/>
      <c r="F17" s="179"/>
      <c r="G17" s="37"/>
      <c r="H17" s="179"/>
      <c r="I17" s="600"/>
      <c r="J17" s="601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588"/>
    </row>
    <row r="18" spans="1:28" s="575" customFormat="1" ht="16.5" customHeight="1" thickBot="1" thickTop="1">
      <c r="A18" s="574"/>
      <c r="B18" s="587"/>
      <c r="C18" s="179"/>
      <c r="D18" s="201" t="s">
        <v>83</v>
      </c>
      <c r="E18" s="202"/>
      <c r="F18" s="602"/>
      <c r="G18" s="603">
        <v>0.227</v>
      </c>
      <c r="H18" s="574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588"/>
    </row>
    <row r="19" spans="1:28" s="575" customFormat="1" ht="16.5" customHeight="1" thickBot="1" thickTop="1">
      <c r="A19" s="574"/>
      <c r="B19" s="587"/>
      <c r="C19" s="179"/>
      <c r="D19" s="205" t="s">
        <v>84</v>
      </c>
      <c r="E19" s="206"/>
      <c r="F19" s="206"/>
      <c r="G19" s="207">
        <f>30*'TOT-0806'!B13</f>
        <v>30</v>
      </c>
      <c r="H19" s="179"/>
      <c r="I19" s="243" t="str">
        <f>IF(G19=30," ",IF(G19=60,"Coeficiente duplicado por tasa de falla &gt;4 Sal. x año/100 km.","REVISAR COEFICIENTE"))</f>
        <v> </v>
      </c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604"/>
      <c r="V19" s="604"/>
      <c r="W19" s="604"/>
      <c r="X19" s="604"/>
      <c r="Y19" s="604"/>
      <c r="Z19" s="604"/>
      <c r="AA19" s="604"/>
      <c r="AB19" s="588"/>
    </row>
    <row r="20" spans="1:28" s="575" customFormat="1" ht="16.5" customHeight="1" thickBot="1" thickTop="1">
      <c r="A20" s="574"/>
      <c r="B20" s="587"/>
      <c r="C20" s="179"/>
      <c r="D20" s="179"/>
      <c r="E20" s="179"/>
      <c r="F20" s="179"/>
      <c r="G20" s="37"/>
      <c r="H20" s="179"/>
      <c r="I20" s="183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588"/>
    </row>
    <row r="21" spans="1:28" s="614" customFormat="1" ht="33.75" customHeight="1" thickBot="1" thickTop="1">
      <c r="A21" s="605"/>
      <c r="B21" s="606"/>
      <c r="C21" s="216" t="s">
        <v>61</v>
      </c>
      <c r="D21" s="215" t="s">
        <v>85</v>
      </c>
      <c r="E21" s="211" t="s">
        <v>26</v>
      </c>
      <c r="F21" s="212" t="s">
        <v>86</v>
      </c>
      <c r="G21" s="215" t="s">
        <v>62</v>
      </c>
      <c r="H21" s="274" t="s">
        <v>64</v>
      </c>
      <c r="I21" s="214" t="s">
        <v>87</v>
      </c>
      <c r="J21" s="214" t="s">
        <v>88</v>
      </c>
      <c r="K21" s="215" t="s">
        <v>89</v>
      </c>
      <c r="L21" s="215" t="s">
        <v>90</v>
      </c>
      <c r="M21" s="104" t="s">
        <v>69</v>
      </c>
      <c r="N21" s="216" t="s">
        <v>91</v>
      </c>
      <c r="O21" s="215" t="s">
        <v>92</v>
      </c>
      <c r="P21" s="211" t="s">
        <v>93</v>
      </c>
      <c r="Q21" s="344" t="s">
        <v>94</v>
      </c>
      <c r="R21" s="607" t="s">
        <v>71</v>
      </c>
      <c r="S21" s="608" t="s">
        <v>72</v>
      </c>
      <c r="T21" s="360" t="s">
        <v>95</v>
      </c>
      <c r="U21" s="609"/>
      <c r="V21" s="369" t="s">
        <v>95</v>
      </c>
      <c r="W21" s="610"/>
      <c r="X21" s="611" t="s">
        <v>75</v>
      </c>
      <c r="Y21" s="612" t="s">
        <v>76</v>
      </c>
      <c r="Z21" s="215" t="s">
        <v>77</v>
      </c>
      <c r="AA21" s="215" t="s">
        <v>78</v>
      </c>
      <c r="AB21" s="613"/>
    </row>
    <row r="22" spans="1:28" s="575" customFormat="1" ht="16.5" customHeight="1" hidden="1" thickTop="1">
      <c r="A22" s="574"/>
      <c r="B22" s="587"/>
      <c r="C22" s="615"/>
      <c r="D22" s="616"/>
      <c r="E22" s="617"/>
      <c r="F22" s="617"/>
      <c r="G22" s="617"/>
      <c r="H22" s="618"/>
      <c r="I22" s="616"/>
      <c r="J22" s="617"/>
      <c r="K22" s="616"/>
      <c r="L22" s="616"/>
      <c r="M22" s="617"/>
      <c r="N22" s="617"/>
      <c r="O22" s="617"/>
      <c r="P22" s="617"/>
      <c r="Q22" s="619"/>
      <c r="R22" s="620"/>
      <c r="S22" s="621"/>
      <c r="T22" s="622"/>
      <c r="U22" s="623"/>
      <c r="V22" s="624"/>
      <c r="W22" s="625"/>
      <c r="X22" s="626"/>
      <c r="Y22" s="627"/>
      <c r="Z22" s="617"/>
      <c r="AA22" s="628"/>
      <c r="AB22" s="588"/>
    </row>
    <row r="23" spans="1:28" s="575" customFormat="1" ht="16.5" customHeight="1" thickTop="1">
      <c r="A23" s="574"/>
      <c r="B23" s="587"/>
      <c r="C23" s="615"/>
      <c r="D23" s="629"/>
      <c r="E23" s="629"/>
      <c r="F23" s="629"/>
      <c r="G23" s="629"/>
      <c r="H23" s="630"/>
      <c r="I23" s="631"/>
      <c r="J23" s="629"/>
      <c r="K23" s="631"/>
      <c r="L23" s="631"/>
      <c r="M23" s="629"/>
      <c r="N23" s="629"/>
      <c r="O23" s="629"/>
      <c r="P23" s="629"/>
      <c r="Q23" s="632"/>
      <c r="R23" s="633"/>
      <c r="S23" s="634"/>
      <c r="T23" s="635"/>
      <c r="U23" s="636"/>
      <c r="V23" s="637"/>
      <c r="W23" s="638"/>
      <c r="X23" s="639"/>
      <c r="Y23" s="640"/>
      <c r="Z23" s="629"/>
      <c r="AA23" s="641"/>
      <c r="AB23" s="588"/>
    </row>
    <row r="24" spans="1:28" s="575" customFormat="1" ht="16.5" customHeight="1">
      <c r="A24" s="574"/>
      <c r="B24" s="587"/>
      <c r="C24" s="669">
        <v>2</v>
      </c>
      <c r="D24" s="521" t="s">
        <v>12</v>
      </c>
      <c r="E24" s="520" t="s">
        <v>11</v>
      </c>
      <c r="F24" s="670">
        <v>30</v>
      </c>
      <c r="G24" s="671" t="s">
        <v>9</v>
      </c>
      <c r="H24" s="277">
        <f aca="true" t="shared" si="0" ref="H24:H43">F24*$G$18</f>
        <v>6.8100000000000005</v>
      </c>
      <c r="I24" s="673">
        <v>39617.370833333334</v>
      </c>
      <c r="J24" s="673">
        <v>39617.54652777778</v>
      </c>
      <c r="K24" s="26">
        <f aca="true" t="shared" si="1" ref="K24:K43">IF(D24="","",(J24-I24)*24)</f>
        <v>4.21666666661622</v>
      </c>
      <c r="L24" s="27">
        <f aca="true" t="shared" si="2" ref="L24:L43">IF(D24="","",ROUND((J24-I24)*24*60,0))</f>
        <v>253</v>
      </c>
      <c r="M24" s="674" t="s">
        <v>178</v>
      </c>
      <c r="N24" s="674" t="str">
        <f aca="true" t="shared" si="3" ref="N24:N43">IF(D24="","",IF(OR(M24="P",M24="RP"),"--","NO"))</f>
        <v>--</v>
      </c>
      <c r="O24" s="675">
        <v>60</v>
      </c>
      <c r="P24" s="674" t="str">
        <f aca="true" t="shared" si="4" ref="P24:P43">IF(D24="","","NO")</f>
        <v>NO</v>
      </c>
      <c r="Q24" s="676">
        <f aca="true" t="shared" si="5" ref="Q24:Q43">$G$19*IF(OR(M24="P",M24="RP"),0.1,1)*IF(P24="SI",1,0.1)</f>
        <v>0.30000000000000004</v>
      </c>
      <c r="R24" s="677">
        <f aca="true" t="shared" si="6" ref="R24:R43">IF(M24="P",H24*Q24*ROUND(L24/60,2),"--")</f>
        <v>8.621460000000003</v>
      </c>
      <c r="S24" s="678" t="str">
        <f aca="true" t="shared" si="7" ref="S24:S43">IF(M24="RP",H24*Q24*ROUND(L24/60,2)*O24/100,"--")</f>
        <v>--</v>
      </c>
      <c r="T24" s="679" t="str">
        <f aca="true" t="shared" si="8" ref="T24:T43">IF(AND(M24="F",N24="NO"),H24*Q24,"--")</f>
        <v>--</v>
      </c>
      <c r="U24" s="680" t="str">
        <f aca="true" t="shared" si="9" ref="U24:U43">IF(M24="F",H24*Q24*ROUND(L24/60,2),"--")</f>
        <v>--</v>
      </c>
      <c r="V24" s="681" t="str">
        <f aca="true" t="shared" si="10" ref="V24:V43">IF(AND(M24="R",N24="NO"),H24*Q24*O24/100,"--")</f>
        <v>--</v>
      </c>
      <c r="W24" s="682" t="str">
        <f aca="true" t="shared" si="11" ref="W24:W43">IF(M24="R",H24*Q24*ROUND(L24/60,2)*O24/100,"--")</f>
        <v>--</v>
      </c>
      <c r="X24" s="683" t="str">
        <f aca="true" t="shared" si="12" ref="X24:X43">IF(M24="RF",H24*Q24*ROUND(L24/60,2),"--")</f>
        <v>--</v>
      </c>
      <c r="Y24" s="684" t="str">
        <f aca="true" t="shared" si="13" ref="Y24:Y43">IF(M24="RR",H24*Q24*ROUND(L24/60,2)*O24/100,"--")</f>
        <v>--</v>
      </c>
      <c r="Z24" s="674" t="str">
        <f aca="true" t="shared" si="14" ref="Z24:Z43">IF(D24="","","SI")</f>
        <v>SI</v>
      </c>
      <c r="AA24" s="642">
        <f aca="true" t="shared" si="15" ref="AA24:AA43">IF(D24="","",SUM(R24:Y24)*IF(Z24="SI",1,2))</f>
        <v>8.621460000000003</v>
      </c>
      <c r="AB24" s="643"/>
    </row>
    <row r="25" spans="1:28" s="575" customFormat="1" ht="16.5" customHeight="1">
      <c r="A25" s="574"/>
      <c r="B25" s="587"/>
      <c r="C25" s="669">
        <v>3</v>
      </c>
      <c r="D25" s="521" t="s">
        <v>12</v>
      </c>
      <c r="E25" s="520" t="s">
        <v>13</v>
      </c>
      <c r="F25" s="670">
        <v>30</v>
      </c>
      <c r="G25" s="671" t="s">
        <v>9</v>
      </c>
      <c r="H25" s="277">
        <f t="shared" si="0"/>
        <v>6.8100000000000005</v>
      </c>
      <c r="I25" s="673">
        <v>39618.381944444445</v>
      </c>
      <c r="J25" s="673">
        <v>39618.55</v>
      </c>
      <c r="K25" s="26">
        <f t="shared" si="1"/>
        <v>4.03333333338378</v>
      </c>
      <c r="L25" s="27">
        <f t="shared" si="2"/>
        <v>242</v>
      </c>
      <c r="M25" s="674" t="s">
        <v>178</v>
      </c>
      <c r="N25" s="674" t="str">
        <f t="shared" si="3"/>
        <v>--</v>
      </c>
      <c r="O25" s="675">
        <v>60</v>
      </c>
      <c r="P25" s="674" t="str">
        <f t="shared" si="4"/>
        <v>NO</v>
      </c>
      <c r="Q25" s="676">
        <f t="shared" si="5"/>
        <v>0.30000000000000004</v>
      </c>
      <c r="R25" s="677">
        <f t="shared" si="6"/>
        <v>8.233290000000004</v>
      </c>
      <c r="S25" s="678" t="str">
        <f t="shared" si="7"/>
        <v>--</v>
      </c>
      <c r="T25" s="679" t="str">
        <f t="shared" si="8"/>
        <v>--</v>
      </c>
      <c r="U25" s="680" t="str">
        <f t="shared" si="9"/>
        <v>--</v>
      </c>
      <c r="V25" s="681" t="str">
        <f t="shared" si="10"/>
        <v>--</v>
      </c>
      <c r="W25" s="682" t="str">
        <f t="shared" si="11"/>
        <v>--</v>
      </c>
      <c r="X25" s="683" t="str">
        <f t="shared" si="12"/>
        <v>--</v>
      </c>
      <c r="Y25" s="684" t="str">
        <f t="shared" si="13"/>
        <v>--</v>
      </c>
      <c r="Z25" s="674" t="str">
        <f t="shared" si="14"/>
        <v>SI</v>
      </c>
      <c r="AA25" s="642">
        <f t="shared" si="15"/>
        <v>8.233290000000004</v>
      </c>
      <c r="AB25" s="643"/>
    </row>
    <row r="26" spans="1:28" s="575" customFormat="1" ht="16.5" customHeight="1">
      <c r="A26" s="574"/>
      <c r="B26" s="587"/>
      <c r="C26" s="669"/>
      <c r="D26" s="521"/>
      <c r="E26" s="520"/>
      <c r="F26" s="670"/>
      <c r="G26" s="671"/>
      <c r="H26" s="277">
        <f t="shared" si="0"/>
        <v>0</v>
      </c>
      <c r="I26" s="673"/>
      <c r="J26" s="673"/>
      <c r="K26" s="26">
        <f t="shared" si="1"/>
      </c>
      <c r="L26" s="27">
        <f t="shared" si="2"/>
      </c>
      <c r="M26" s="674"/>
      <c r="N26" s="674">
        <f t="shared" si="3"/>
      </c>
      <c r="O26" s="675">
        <f aca="true" t="shared" si="16" ref="O26:O43">IF(D26="","","--")</f>
      </c>
      <c r="P26" s="674">
        <f t="shared" si="4"/>
      </c>
      <c r="Q26" s="676">
        <f t="shared" si="5"/>
        <v>3</v>
      </c>
      <c r="R26" s="677" t="str">
        <f t="shared" si="6"/>
        <v>--</v>
      </c>
      <c r="S26" s="678" t="str">
        <f t="shared" si="7"/>
        <v>--</v>
      </c>
      <c r="T26" s="679" t="str">
        <f t="shared" si="8"/>
        <v>--</v>
      </c>
      <c r="U26" s="680" t="str">
        <f t="shared" si="9"/>
        <v>--</v>
      </c>
      <c r="V26" s="681" t="str">
        <f t="shared" si="10"/>
        <v>--</v>
      </c>
      <c r="W26" s="682" t="str">
        <f t="shared" si="11"/>
        <v>--</v>
      </c>
      <c r="X26" s="683" t="str">
        <f t="shared" si="12"/>
        <v>--</v>
      </c>
      <c r="Y26" s="684" t="str">
        <f t="shared" si="13"/>
        <v>--</v>
      </c>
      <c r="Z26" s="674">
        <f t="shared" si="14"/>
      </c>
      <c r="AA26" s="642">
        <f t="shared" si="15"/>
      </c>
      <c r="AB26" s="643"/>
    </row>
    <row r="27" spans="1:28" s="575" customFormat="1" ht="16.5" customHeight="1">
      <c r="A27" s="574"/>
      <c r="B27" s="587"/>
      <c r="C27" s="669"/>
      <c r="D27" s="521"/>
      <c r="E27" s="520"/>
      <c r="F27" s="670"/>
      <c r="G27" s="671"/>
      <c r="H27" s="277">
        <f t="shared" si="0"/>
        <v>0</v>
      </c>
      <c r="I27" s="673"/>
      <c r="J27" s="673"/>
      <c r="K27" s="26">
        <f t="shared" si="1"/>
      </c>
      <c r="L27" s="27">
        <f t="shared" si="2"/>
      </c>
      <c r="M27" s="674"/>
      <c r="N27" s="674">
        <f t="shared" si="3"/>
      </c>
      <c r="O27" s="675">
        <f t="shared" si="16"/>
      </c>
      <c r="P27" s="674">
        <f t="shared" si="4"/>
      </c>
      <c r="Q27" s="676">
        <f t="shared" si="5"/>
        <v>3</v>
      </c>
      <c r="R27" s="677" t="str">
        <f t="shared" si="6"/>
        <v>--</v>
      </c>
      <c r="S27" s="678" t="str">
        <f t="shared" si="7"/>
        <v>--</v>
      </c>
      <c r="T27" s="679" t="str">
        <f t="shared" si="8"/>
        <v>--</v>
      </c>
      <c r="U27" s="680" t="str">
        <f t="shared" si="9"/>
        <v>--</v>
      </c>
      <c r="V27" s="681" t="str">
        <f t="shared" si="10"/>
        <v>--</v>
      </c>
      <c r="W27" s="682" t="str">
        <f t="shared" si="11"/>
        <v>--</v>
      </c>
      <c r="X27" s="683" t="str">
        <f t="shared" si="12"/>
        <v>--</v>
      </c>
      <c r="Y27" s="684" t="str">
        <f t="shared" si="13"/>
        <v>--</v>
      </c>
      <c r="Z27" s="674">
        <f t="shared" si="14"/>
      </c>
      <c r="AA27" s="642">
        <f t="shared" si="15"/>
      </c>
      <c r="AB27" s="643"/>
    </row>
    <row r="28" spans="1:28" s="575" customFormat="1" ht="16.5" customHeight="1">
      <c r="A28" s="574"/>
      <c r="B28" s="587"/>
      <c r="C28" s="669"/>
      <c r="D28" s="521"/>
      <c r="E28" s="520"/>
      <c r="F28" s="670"/>
      <c r="G28" s="671"/>
      <c r="H28" s="277">
        <f t="shared" si="0"/>
        <v>0</v>
      </c>
      <c r="I28" s="673"/>
      <c r="J28" s="673"/>
      <c r="K28" s="26">
        <f t="shared" si="1"/>
      </c>
      <c r="L28" s="27">
        <f t="shared" si="2"/>
      </c>
      <c r="M28" s="674"/>
      <c r="N28" s="674">
        <f t="shared" si="3"/>
      </c>
      <c r="O28" s="675">
        <f t="shared" si="16"/>
      </c>
      <c r="P28" s="674">
        <f t="shared" si="4"/>
      </c>
      <c r="Q28" s="676">
        <f t="shared" si="5"/>
        <v>3</v>
      </c>
      <c r="R28" s="677" t="str">
        <f t="shared" si="6"/>
        <v>--</v>
      </c>
      <c r="S28" s="678" t="str">
        <f t="shared" si="7"/>
        <v>--</v>
      </c>
      <c r="T28" s="679" t="str">
        <f t="shared" si="8"/>
        <v>--</v>
      </c>
      <c r="U28" s="680" t="str">
        <f t="shared" si="9"/>
        <v>--</v>
      </c>
      <c r="V28" s="681" t="str">
        <f t="shared" si="10"/>
        <v>--</v>
      </c>
      <c r="W28" s="682" t="str">
        <f t="shared" si="11"/>
        <v>--</v>
      </c>
      <c r="X28" s="683" t="str">
        <f t="shared" si="12"/>
        <v>--</v>
      </c>
      <c r="Y28" s="684" t="str">
        <f t="shared" si="13"/>
        <v>--</v>
      </c>
      <c r="Z28" s="674">
        <f t="shared" si="14"/>
      </c>
      <c r="AA28" s="642">
        <f t="shared" si="15"/>
      </c>
      <c r="AB28" s="643"/>
    </row>
    <row r="29" spans="1:28" s="575" customFormat="1" ht="16.5" customHeight="1">
      <c r="A29" s="574"/>
      <c r="B29" s="587"/>
      <c r="C29" s="669"/>
      <c r="D29" s="521"/>
      <c r="E29" s="520"/>
      <c r="F29" s="670"/>
      <c r="G29" s="671"/>
      <c r="H29" s="277">
        <f t="shared" si="0"/>
        <v>0</v>
      </c>
      <c r="I29" s="673"/>
      <c r="J29" s="673"/>
      <c r="K29" s="26">
        <f t="shared" si="1"/>
      </c>
      <c r="L29" s="27">
        <f t="shared" si="2"/>
      </c>
      <c r="M29" s="674"/>
      <c r="N29" s="674">
        <f t="shared" si="3"/>
      </c>
      <c r="O29" s="675">
        <f t="shared" si="16"/>
      </c>
      <c r="P29" s="674">
        <f t="shared" si="4"/>
      </c>
      <c r="Q29" s="676">
        <f t="shared" si="5"/>
        <v>3</v>
      </c>
      <c r="R29" s="677" t="str">
        <f t="shared" si="6"/>
        <v>--</v>
      </c>
      <c r="S29" s="678" t="str">
        <f t="shared" si="7"/>
        <v>--</v>
      </c>
      <c r="T29" s="679" t="str">
        <f t="shared" si="8"/>
        <v>--</v>
      </c>
      <c r="U29" s="680" t="str">
        <f t="shared" si="9"/>
        <v>--</v>
      </c>
      <c r="V29" s="681" t="str">
        <f t="shared" si="10"/>
        <v>--</v>
      </c>
      <c r="W29" s="682" t="str">
        <f t="shared" si="11"/>
        <v>--</v>
      </c>
      <c r="X29" s="683" t="str">
        <f t="shared" si="12"/>
        <v>--</v>
      </c>
      <c r="Y29" s="684" t="str">
        <f t="shared" si="13"/>
        <v>--</v>
      </c>
      <c r="Z29" s="674">
        <f t="shared" si="14"/>
      </c>
      <c r="AA29" s="642">
        <f t="shared" si="15"/>
      </c>
      <c r="AB29" s="643"/>
    </row>
    <row r="30" spans="1:28" s="575" customFormat="1" ht="16.5" customHeight="1">
      <c r="A30" s="574"/>
      <c r="B30" s="587"/>
      <c r="C30" s="669"/>
      <c r="D30" s="521"/>
      <c r="E30" s="520"/>
      <c r="F30" s="670"/>
      <c r="G30" s="671"/>
      <c r="H30" s="277">
        <f t="shared" si="0"/>
        <v>0</v>
      </c>
      <c r="I30" s="673"/>
      <c r="J30" s="673"/>
      <c r="K30" s="26">
        <f t="shared" si="1"/>
      </c>
      <c r="L30" s="27">
        <f t="shared" si="2"/>
      </c>
      <c r="M30" s="674"/>
      <c r="N30" s="674">
        <f t="shared" si="3"/>
      </c>
      <c r="O30" s="675">
        <f t="shared" si="16"/>
      </c>
      <c r="P30" s="674">
        <f t="shared" si="4"/>
      </c>
      <c r="Q30" s="676">
        <f t="shared" si="5"/>
        <v>3</v>
      </c>
      <c r="R30" s="677" t="str">
        <f t="shared" si="6"/>
        <v>--</v>
      </c>
      <c r="S30" s="678" t="str">
        <f t="shared" si="7"/>
        <v>--</v>
      </c>
      <c r="T30" s="679" t="str">
        <f t="shared" si="8"/>
        <v>--</v>
      </c>
      <c r="U30" s="680" t="str">
        <f t="shared" si="9"/>
        <v>--</v>
      </c>
      <c r="V30" s="681" t="str">
        <f t="shared" si="10"/>
        <v>--</v>
      </c>
      <c r="W30" s="682" t="str">
        <f t="shared" si="11"/>
        <v>--</v>
      </c>
      <c r="X30" s="683" t="str">
        <f t="shared" si="12"/>
        <v>--</v>
      </c>
      <c r="Y30" s="684" t="str">
        <f t="shared" si="13"/>
        <v>--</v>
      </c>
      <c r="Z30" s="674">
        <f t="shared" si="14"/>
      </c>
      <c r="AA30" s="642">
        <f t="shared" si="15"/>
      </c>
      <c r="AB30" s="643"/>
    </row>
    <row r="31" spans="1:28" s="575" customFormat="1" ht="16.5" customHeight="1">
      <c r="A31" s="574"/>
      <c r="B31" s="587"/>
      <c r="C31" s="669"/>
      <c r="D31" s="521"/>
      <c r="E31" s="520"/>
      <c r="F31" s="670"/>
      <c r="G31" s="671"/>
      <c r="H31" s="277">
        <f t="shared" si="0"/>
        <v>0</v>
      </c>
      <c r="I31" s="673"/>
      <c r="J31" s="673"/>
      <c r="K31" s="26">
        <f t="shared" si="1"/>
      </c>
      <c r="L31" s="27">
        <f t="shared" si="2"/>
      </c>
      <c r="M31" s="674"/>
      <c r="N31" s="674">
        <f t="shared" si="3"/>
      </c>
      <c r="O31" s="675">
        <f t="shared" si="16"/>
      </c>
      <c r="P31" s="674">
        <f t="shared" si="4"/>
      </c>
      <c r="Q31" s="676">
        <f t="shared" si="5"/>
        <v>3</v>
      </c>
      <c r="R31" s="677" t="str">
        <f t="shared" si="6"/>
        <v>--</v>
      </c>
      <c r="S31" s="678" t="str">
        <f t="shared" si="7"/>
        <v>--</v>
      </c>
      <c r="T31" s="679" t="str">
        <f t="shared" si="8"/>
        <v>--</v>
      </c>
      <c r="U31" s="680" t="str">
        <f t="shared" si="9"/>
        <v>--</v>
      </c>
      <c r="V31" s="681" t="str">
        <f t="shared" si="10"/>
        <v>--</v>
      </c>
      <c r="W31" s="682" t="str">
        <f t="shared" si="11"/>
        <v>--</v>
      </c>
      <c r="X31" s="683" t="str">
        <f t="shared" si="12"/>
        <v>--</v>
      </c>
      <c r="Y31" s="684" t="str">
        <f t="shared" si="13"/>
        <v>--</v>
      </c>
      <c r="Z31" s="674">
        <f t="shared" si="14"/>
      </c>
      <c r="AA31" s="642">
        <f t="shared" si="15"/>
      </c>
      <c r="AB31" s="643"/>
    </row>
    <row r="32" spans="1:28" s="575" customFormat="1" ht="16.5" customHeight="1">
      <c r="A32" s="574"/>
      <c r="B32" s="587"/>
      <c r="C32" s="669"/>
      <c r="D32" s="521"/>
      <c r="E32" s="520"/>
      <c r="F32" s="670"/>
      <c r="G32" s="671"/>
      <c r="H32" s="277">
        <f t="shared" si="0"/>
        <v>0</v>
      </c>
      <c r="I32" s="673"/>
      <c r="J32" s="673"/>
      <c r="K32" s="26">
        <f t="shared" si="1"/>
      </c>
      <c r="L32" s="27">
        <f t="shared" si="2"/>
      </c>
      <c r="M32" s="674"/>
      <c r="N32" s="674">
        <f t="shared" si="3"/>
      </c>
      <c r="O32" s="675">
        <f t="shared" si="16"/>
      </c>
      <c r="P32" s="674">
        <f t="shared" si="4"/>
      </c>
      <c r="Q32" s="676">
        <f t="shared" si="5"/>
        <v>3</v>
      </c>
      <c r="R32" s="677" t="str">
        <f t="shared" si="6"/>
        <v>--</v>
      </c>
      <c r="S32" s="678" t="str">
        <f t="shared" si="7"/>
        <v>--</v>
      </c>
      <c r="T32" s="679" t="str">
        <f t="shared" si="8"/>
        <v>--</v>
      </c>
      <c r="U32" s="680" t="str">
        <f t="shared" si="9"/>
        <v>--</v>
      </c>
      <c r="V32" s="681" t="str">
        <f t="shared" si="10"/>
        <v>--</v>
      </c>
      <c r="W32" s="682" t="str">
        <f t="shared" si="11"/>
        <v>--</v>
      </c>
      <c r="X32" s="683" t="str">
        <f t="shared" si="12"/>
        <v>--</v>
      </c>
      <c r="Y32" s="684" t="str">
        <f t="shared" si="13"/>
        <v>--</v>
      </c>
      <c r="Z32" s="674">
        <f t="shared" si="14"/>
      </c>
      <c r="AA32" s="642">
        <f t="shared" si="15"/>
      </c>
      <c r="AB32" s="588"/>
    </row>
    <row r="33" spans="1:28" s="575" customFormat="1" ht="16.5" customHeight="1">
      <c r="A33" s="574"/>
      <c r="B33" s="587"/>
      <c r="C33" s="669"/>
      <c r="D33" s="521"/>
      <c r="E33" s="520"/>
      <c r="F33" s="670"/>
      <c r="G33" s="671"/>
      <c r="H33" s="277">
        <f t="shared" si="0"/>
        <v>0</v>
      </c>
      <c r="I33" s="673"/>
      <c r="J33" s="673"/>
      <c r="K33" s="26">
        <f t="shared" si="1"/>
      </c>
      <c r="L33" s="27">
        <f t="shared" si="2"/>
      </c>
      <c r="M33" s="674"/>
      <c r="N33" s="674">
        <f t="shared" si="3"/>
      </c>
      <c r="O33" s="675">
        <f t="shared" si="16"/>
      </c>
      <c r="P33" s="674">
        <f t="shared" si="4"/>
      </c>
      <c r="Q33" s="676">
        <f t="shared" si="5"/>
        <v>3</v>
      </c>
      <c r="R33" s="677" t="str">
        <f t="shared" si="6"/>
        <v>--</v>
      </c>
      <c r="S33" s="678" t="str">
        <f t="shared" si="7"/>
        <v>--</v>
      </c>
      <c r="T33" s="679" t="str">
        <f t="shared" si="8"/>
        <v>--</v>
      </c>
      <c r="U33" s="680" t="str">
        <f t="shared" si="9"/>
        <v>--</v>
      </c>
      <c r="V33" s="681" t="str">
        <f t="shared" si="10"/>
        <v>--</v>
      </c>
      <c r="W33" s="682" t="str">
        <f t="shared" si="11"/>
        <v>--</v>
      </c>
      <c r="X33" s="683" t="str">
        <f t="shared" si="12"/>
        <v>--</v>
      </c>
      <c r="Y33" s="684" t="str">
        <f t="shared" si="13"/>
        <v>--</v>
      </c>
      <c r="Z33" s="674">
        <f t="shared" si="14"/>
      </c>
      <c r="AA33" s="642">
        <f t="shared" si="15"/>
      </c>
      <c r="AB33" s="588"/>
    </row>
    <row r="34" spans="1:28" s="575" customFormat="1" ht="16.5" customHeight="1">
      <c r="A34" s="574"/>
      <c r="B34" s="587"/>
      <c r="C34" s="669"/>
      <c r="D34" s="521"/>
      <c r="E34" s="520"/>
      <c r="F34" s="670"/>
      <c r="G34" s="671"/>
      <c r="H34" s="277">
        <f t="shared" si="0"/>
        <v>0</v>
      </c>
      <c r="I34" s="673"/>
      <c r="J34" s="673"/>
      <c r="K34" s="26">
        <f t="shared" si="1"/>
      </c>
      <c r="L34" s="27">
        <f t="shared" si="2"/>
      </c>
      <c r="M34" s="674"/>
      <c r="N34" s="674">
        <f t="shared" si="3"/>
      </c>
      <c r="O34" s="675">
        <f t="shared" si="16"/>
      </c>
      <c r="P34" s="674">
        <f t="shared" si="4"/>
      </c>
      <c r="Q34" s="676">
        <f t="shared" si="5"/>
        <v>3</v>
      </c>
      <c r="R34" s="677" t="str">
        <f t="shared" si="6"/>
        <v>--</v>
      </c>
      <c r="S34" s="678" t="str">
        <f t="shared" si="7"/>
        <v>--</v>
      </c>
      <c r="T34" s="679" t="str">
        <f t="shared" si="8"/>
        <v>--</v>
      </c>
      <c r="U34" s="680" t="str">
        <f t="shared" si="9"/>
        <v>--</v>
      </c>
      <c r="V34" s="681" t="str">
        <f t="shared" si="10"/>
        <v>--</v>
      </c>
      <c r="W34" s="682" t="str">
        <f t="shared" si="11"/>
        <v>--</v>
      </c>
      <c r="X34" s="683" t="str">
        <f t="shared" si="12"/>
        <v>--</v>
      </c>
      <c r="Y34" s="684" t="str">
        <f t="shared" si="13"/>
        <v>--</v>
      </c>
      <c r="Z34" s="674">
        <f t="shared" si="14"/>
      </c>
      <c r="AA34" s="642">
        <f t="shared" si="15"/>
      </c>
      <c r="AB34" s="588"/>
    </row>
    <row r="35" spans="1:28" s="575" customFormat="1" ht="16.5" customHeight="1">
      <c r="A35" s="574"/>
      <c r="B35" s="587"/>
      <c r="C35" s="669"/>
      <c r="D35" s="521"/>
      <c r="E35" s="520"/>
      <c r="F35" s="670"/>
      <c r="G35" s="671"/>
      <c r="H35" s="277">
        <f t="shared" si="0"/>
        <v>0</v>
      </c>
      <c r="I35" s="673"/>
      <c r="J35" s="673"/>
      <c r="K35" s="26">
        <f t="shared" si="1"/>
      </c>
      <c r="L35" s="27">
        <f t="shared" si="2"/>
      </c>
      <c r="M35" s="674"/>
      <c r="N35" s="674">
        <f t="shared" si="3"/>
      </c>
      <c r="O35" s="675">
        <f t="shared" si="16"/>
      </c>
      <c r="P35" s="674">
        <f t="shared" si="4"/>
      </c>
      <c r="Q35" s="676">
        <f t="shared" si="5"/>
        <v>3</v>
      </c>
      <c r="R35" s="677" t="str">
        <f t="shared" si="6"/>
        <v>--</v>
      </c>
      <c r="S35" s="678" t="str">
        <f t="shared" si="7"/>
        <v>--</v>
      </c>
      <c r="T35" s="679" t="str">
        <f t="shared" si="8"/>
        <v>--</v>
      </c>
      <c r="U35" s="680" t="str">
        <f t="shared" si="9"/>
        <v>--</v>
      </c>
      <c r="V35" s="681" t="str">
        <f t="shared" si="10"/>
        <v>--</v>
      </c>
      <c r="W35" s="682" t="str">
        <f t="shared" si="11"/>
        <v>--</v>
      </c>
      <c r="X35" s="683" t="str">
        <f t="shared" si="12"/>
        <v>--</v>
      </c>
      <c r="Y35" s="684" t="str">
        <f t="shared" si="13"/>
        <v>--</v>
      </c>
      <c r="Z35" s="674">
        <f t="shared" si="14"/>
      </c>
      <c r="AA35" s="642">
        <f t="shared" si="15"/>
      </c>
      <c r="AB35" s="588"/>
    </row>
    <row r="36" spans="1:28" s="575" customFormat="1" ht="16.5" customHeight="1">
      <c r="A36" s="574"/>
      <c r="B36" s="587"/>
      <c r="C36" s="669"/>
      <c r="D36" s="521"/>
      <c r="E36" s="520"/>
      <c r="F36" s="670"/>
      <c r="G36" s="671"/>
      <c r="H36" s="277">
        <f t="shared" si="0"/>
        <v>0</v>
      </c>
      <c r="I36" s="673"/>
      <c r="J36" s="673"/>
      <c r="K36" s="26">
        <f t="shared" si="1"/>
      </c>
      <c r="L36" s="27">
        <f t="shared" si="2"/>
      </c>
      <c r="M36" s="674"/>
      <c r="N36" s="674">
        <f t="shared" si="3"/>
      </c>
      <c r="O36" s="675">
        <f t="shared" si="16"/>
      </c>
      <c r="P36" s="674">
        <f t="shared" si="4"/>
      </c>
      <c r="Q36" s="676">
        <f t="shared" si="5"/>
        <v>3</v>
      </c>
      <c r="R36" s="677" t="str">
        <f t="shared" si="6"/>
        <v>--</v>
      </c>
      <c r="S36" s="678" t="str">
        <f t="shared" si="7"/>
        <v>--</v>
      </c>
      <c r="T36" s="679" t="str">
        <f t="shared" si="8"/>
        <v>--</v>
      </c>
      <c r="U36" s="680" t="str">
        <f t="shared" si="9"/>
        <v>--</v>
      </c>
      <c r="V36" s="681" t="str">
        <f t="shared" si="10"/>
        <v>--</v>
      </c>
      <c r="W36" s="682" t="str">
        <f t="shared" si="11"/>
        <v>--</v>
      </c>
      <c r="X36" s="683" t="str">
        <f t="shared" si="12"/>
        <v>--</v>
      </c>
      <c r="Y36" s="684" t="str">
        <f t="shared" si="13"/>
        <v>--</v>
      </c>
      <c r="Z36" s="674">
        <f t="shared" si="14"/>
      </c>
      <c r="AA36" s="642">
        <f t="shared" si="15"/>
      </c>
      <c r="AB36" s="588"/>
    </row>
    <row r="37" spans="1:28" s="575" customFormat="1" ht="16.5" customHeight="1">
      <c r="A37" s="574"/>
      <c r="B37" s="587"/>
      <c r="C37" s="669"/>
      <c r="D37" s="521"/>
      <c r="E37" s="520"/>
      <c r="F37" s="670"/>
      <c r="G37" s="671"/>
      <c r="H37" s="277">
        <f t="shared" si="0"/>
        <v>0</v>
      </c>
      <c r="I37" s="673"/>
      <c r="J37" s="673"/>
      <c r="K37" s="26">
        <f t="shared" si="1"/>
      </c>
      <c r="L37" s="27">
        <f t="shared" si="2"/>
      </c>
      <c r="M37" s="674"/>
      <c r="N37" s="674">
        <f t="shared" si="3"/>
      </c>
      <c r="O37" s="675">
        <f t="shared" si="16"/>
      </c>
      <c r="P37" s="674">
        <f t="shared" si="4"/>
      </c>
      <c r="Q37" s="676">
        <f t="shared" si="5"/>
        <v>3</v>
      </c>
      <c r="R37" s="677" t="str">
        <f t="shared" si="6"/>
        <v>--</v>
      </c>
      <c r="S37" s="678" t="str">
        <f t="shared" si="7"/>
        <v>--</v>
      </c>
      <c r="T37" s="679" t="str">
        <f t="shared" si="8"/>
        <v>--</v>
      </c>
      <c r="U37" s="680" t="str">
        <f t="shared" si="9"/>
        <v>--</v>
      </c>
      <c r="V37" s="681" t="str">
        <f t="shared" si="10"/>
        <v>--</v>
      </c>
      <c r="W37" s="682" t="str">
        <f t="shared" si="11"/>
        <v>--</v>
      </c>
      <c r="X37" s="683" t="str">
        <f t="shared" si="12"/>
        <v>--</v>
      </c>
      <c r="Y37" s="684" t="str">
        <f t="shared" si="13"/>
        <v>--</v>
      </c>
      <c r="Z37" s="674">
        <f t="shared" si="14"/>
      </c>
      <c r="AA37" s="642">
        <f t="shared" si="15"/>
      </c>
      <c r="AB37" s="588"/>
    </row>
    <row r="38" spans="1:28" s="575" customFormat="1" ht="16.5" customHeight="1">
      <c r="A38" s="574"/>
      <c r="B38" s="587"/>
      <c r="C38" s="669"/>
      <c r="D38" s="521"/>
      <c r="E38" s="520"/>
      <c r="F38" s="670"/>
      <c r="G38" s="671"/>
      <c r="H38" s="277">
        <f t="shared" si="0"/>
        <v>0</v>
      </c>
      <c r="I38" s="673"/>
      <c r="J38" s="673"/>
      <c r="K38" s="26">
        <f t="shared" si="1"/>
      </c>
      <c r="L38" s="27">
        <f t="shared" si="2"/>
      </c>
      <c r="M38" s="674"/>
      <c r="N38" s="674">
        <f t="shared" si="3"/>
      </c>
      <c r="O38" s="675">
        <f t="shared" si="16"/>
      </c>
      <c r="P38" s="674">
        <f t="shared" si="4"/>
      </c>
      <c r="Q38" s="676">
        <f t="shared" si="5"/>
        <v>3</v>
      </c>
      <c r="R38" s="677" t="str">
        <f t="shared" si="6"/>
        <v>--</v>
      </c>
      <c r="S38" s="678" t="str">
        <f t="shared" si="7"/>
        <v>--</v>
      </c>
      <c r="T38" s="679" t="str">
        <f t="shared" si="8"/>
        <v>--</v>
      </c>
      <c r="U38" s="680" t="str">
        <f t="shared" si="9"/>
        <v>--</v>
      </c>
      <c r="V38" s="681" t="str">
        <f t="shared" si="10"/>
        <v>--</v>
      </c>
      <c r="W38" s="682" t="str">
        <f t="shared" si="11"/>
        <v>--</v>
      </c>
      <c r="X38" s="683" t="str">
        <f t="shared" si="12"/>
        <v>--</v>
      </c>
      <c r="Y38" s="684" t="str">
        <f t="shared" si="13"/>
        <v>--</v>
      </c>
      <c r="Z38" s="674">
        <f t="shared" si="14"/>
      </c>
      <c r="AA38" s="642">
        <f t="shared" si="15"/>
      </c>
      <c r="AB38" s="588"/>
    </row>
    <row r="39" spans="1:28" s="575" customFormat="1" ht="16.5" customHeight="1">
      <c r="A39" s="574"/>
      <c r="B39" s="587"/>
      <c r="C39" s="669"/>
      <c r="D39" s="521"/>
      <c r="E39" s="520"/>
      <c r="F39" s="670"/>
      <c r="G39" s="671"/>
      <c r="H39" s="277">
        <f t="shared" si="0"/>
        <v>0</v>
      </c>
      <c r="I39" s="673"/>
      <c r="J39" s="673"/>
      <c r="K39" s="26">
        <f t="shared" si="1"/>
      </c>
      <c r="L39" s="27">
        <f t="shared" si="2"/>
      </c>
      <c r="M39" s="674"/>
      <c r="N39" s="674">
        <f t="shared" si="3"/>
      </c>
      <c r="O39" s="675">
        <f t="shared" si="16"/>
      </c>
      <c r="P39" s="674">
        <f t="shared" si="4"/>
      </c>
      <c r="Q39" s="676">
        <f t="shared" si="5"/>
        <v>3</v>
      </c>
      <c r="R39" s="677" t="str">
        <f t="shared" si="6"/>
        <v>--</v>
      </c>
      <c r="S39" s="678" t="str">
        <f t="shared" si="7"/>
        <v>--</v>
      </c>
      <c r="T39" s="679" t="str">
        <f t="shared" si="8"/>
        <v>--</v>
      </c>
      <c r="U39" s="680" t="str">
        <f t="shared" si="9"/>
        <v>--</v>
      </c>
      <c r="V39" s="681" t="str">
        <f t="shared" si="10"/>
        <v>--</v>
      </c>
      <c r="W39" s="682" t="str">
        <f t="shared" si="11"/>
        <v>--</v>
      </c>
      <c r="X39" s="683" t="str">
        <f t="shared" si="12"/>
        <v>--</v>
      </c>
      <c r="Y39" s="684" t="str">
        <f t="shared" si="13"/>
        <v>--</v>
      </c>
      <c r="Z39" s="674">
        <f t="shared" si="14"/>
      </c>
      <c r="AA39" s="642">
        <f t="shared" si="15"/>
      </c>
      <c r="AB39" s="588"/>
    </row>
    <row r="40" spans="1:28" s="575" customFormat="1" ht="16.5" customHeight="1">
      <c r="A40" s="574"/>
      <c r="B40" s="587"/>
      <c r="C40" s="669"/>
      <c r="D40" s="521"/>
      <c r="E40" s="520"/>
      <c r="F40" s="670"/>
      <c r="G40" s="671"/>
      <c r="H40" s="277">
        <f t="shared" si="0"/>
        <v>0</v>
      </c>
      <c r="I40" s="673"/>
      <c r="J40" s="673"/>
      <c r="K40" s="26">
        <f t="shared" si="1"/>
      </c>
      <c r="L40" s="27">
        <f t="shared" si="2"/>
      </c>
      <c r="M40" s="674"/>
      <c r="N40" s="674">
        <f t="shared" si="3"/>
      </c>
      <c r="O40" s="675">
        <f t="shared" si="16"/>
      </c>
      <c r="P40" s="674">
        <f t="shared" si="4"/>
      </c>
      <c r="Q40" s="676">
        <f t="shared" si="5"/>
        <v>3</v>
      </c>
      <c r="R40" s="677" t="str">
        <f t="shared" si="6"/>
        <v>--</v>
      </c>
      <c r="S40" s="678" t="str">
        <f t="shared" si="7"/>
        <v>--</v>
      </c>
      <c r="T40" s="679" t="str">
        <f t="shared" si="8"/>
        <v>--</v>
      </c>
      <c r="U40" s="680" t="str">
        <f t="shared" si="9"/>
        <v>--</v>
      </c>
      <c r="V40" s="681" t="str">
        <f t="shared" si="10"/>
        <v>--</v>
      </c>
      <c r="W40" s="682" t="str">
        <f t="shared" si="11"/>
        <v>--</v>
      </c>
      <c r="X40" s="683" t="str">
        <f t="shared" si="12"/>
        <v>--</v>
      </c>
      <c r="Y40" s="684" t="str">
        <f t="shared" si="13"/>
        <v>--</v>
      </c>
      <c r="Z40" s="674">
        <f t="shared" si="14"/>
      </c>
      <c r="AA40" s="642">
        <f t="shared" si="15"/>
      </c>
      <c r="AB40" s="588"/>
    </row>
    <row r="41" spans="1:28" s="575" customFormat="1" ht="16.5" customHeight="1">
      <c r="A41" s="574"/>
      <c r="B41" s="587"/>
      <c r="C41" s="669"/>
      <c r="D41" s="521"/>
      <c r="E41" s="520"/>
      <c r="F41" s="670"/>
      <c r="G41" s="671"/>
      <c r="H41" s="277">
        <f t="shared" si="0"/>
        <v>0</v>
      </c>
      <c r="I41" s="673"/>
      <c r="J41" s="673"/>
      <c r="K41" s="26">
        <f t="shared" si="1"/>
      </c>
      <c r="L41" s="27">
        <f t="shared" si="2"/>
      </c>
      <c r="M41" s="674"/>
      <c r="N41" s="674">
        <f t="shared" si="3"/>
      </c>
      <c r="O41" s="675">
        <f t="shared" si="16"/>
      </c>
      <c r="P41" s="674">
        <f t="shared" si="4"/>
      </c>
      <c r="Q41" s="676">
        <f t="shared" si="5"/>
        <v>3</v>
      </c>
      <c r="R41" s="677" t="str">
        <f t="shared" si="6"/>
        <v>--</v>
      </c>
      <c r="S41" s="678" t="str">
        <f t="shared" si="7"/>
        <v>--</v>
      </c>
      <c r="T41" s="679" t="str">
        <f t="shared" si="8"/>
        <v>--</v>
      </c>
      <c r="U41" s="680" t="str">
        <f t="shared" si="9"/>
        <v>--</v>
      </c>
      <c r="V41" s="681" t="str">
        <f t="shared" si="10"/>
        <v>--</v>
      </c>
      <c r="W41" s="682" t="str">
        <f t="shared" si="11"/>
        <v>--</v>
      </c>
      <c r="X41" s="683" t="str">
        <f t="shared" si="12"/>
        <v>--</v>
      </c>
      <c r="Y41" s="684" t="str">
        <f t="shared" si="13"/>
        <v>--</v>
      </c>
      <c r="Z41" s="674">
        <f t="shared" si="14"/>
      </c>
      <c r="AA41" s="642">
        <f t="shared" si="15"/>
      </c>
      <c r="AB41" s="588"/>
    </row>
    <row r="42" spans="1:28" s="575" customFormat="1" ht="16.5" customHeight="1">
      <c r="A42" s="574"/>
      <c r="B42" s="587"/>
      <c r="C42" s="669"/>
      <c r="D42" s="521"/>
      <c r="E42" s="520"/>
      <c r="F42" s="670"/>
      <c r="G42" s="671"/>
      <c r="H42" s="277">
        <f t="shared" si="0"/>
        <v>0</v>
      </c>
      <c r="I42" s="673"/>
      <c r="J42" s="673"/>
      <c r="K42" s="26">
        <f t="shared" si="1"/>
      </c>
      <c r="L42" s="27">
        <f t="shared" si="2"/>
      </c>
      <c r="M42" s="674"/>
      <c r="N42" s="674">
        <f t="shared" si="3"/>
      </c>
      <c r="O42" s="675">
        <f t="shared" si="16"/>
      </c>
      <c r="P42" s="674">
        <f t="shared" si="4"/>
      </c>
      <c r="Q42" s="676">
        <f t="shared" si="5"/>
        <v>3</v>
      </c>
      <c r="R42" s="677" t="str">
        <f t="shared" si="6"/>
        <v>--</v>
      </c>
      <c r="S42" s="678" t="str">
        <f t="shared" si="7"/>
        <v>--</v>
      </c>
      <c r="T42" s="679" t="str">
        <f t="shared" si="8"/>
        <v>--</v>
      </c>
      <c r="U42" s="680" t="str">
        <f t="shared" si="9"/>
        <v>--</v>
      </c>
      <c r="V42" s="681" t="str">
        <f t="shared" si="10"/>
        <v>--</v>
      </c>
      <c r="W42" s="682" t="str">
        <f t="shared" si="11"/>
        <v>--</v>
      </c>
      <c r="X42" s="683" t="str">
        <f t="shared" si="12"/>
        <v>--</v>
      </c>
      <c r="Y42" s="684" t="str">
        <f t="shared" si="13"/>
        <v>--</v>
      </c>
      <c r="Z42" s="674">
        <f t="shared" si="14"/>
      </c>
      <c r="AA42" s="642">
        <f t="shared" si="15"/>
      </c>
      <c r="AB42" s="588"/>
    </row>
    <row r="43" spans="1:28" s="575" customFormat="1" ht="16.5" customHeight="1">
      <c r="A43" s="574"/>
      <c r="B43" s="587"/>
      <c r="C43" s="669"/>
      <c r="D43" s="521"/>
      <c r="E43" s="520"/>
      <c r="F43" s="670"/>
      <c r="G43" s="671"/>
      <c r="H43" s="277">
        <f t="shared" si="0"/>
        <v>0</v>
      </c>
      <c r="I43" s="673"/>
      <c r="J43" s="673"/>
      <c r="K43" s="26">
        <f t="shared" si="1"/>
      </c>
      <c r="L43" s="27">
        <f t="shared" si="2"/>
      </c>
      <c r="M43" s="674"/>
      <c r="N43" s="674">
        <f t="shared" si="3"/>
      </c>
      <c r="O43" s="675">
        <f t="shared" si="16"/>
      </c>
      <c r="P43" s="674">
        <f t="shared" si="4"/>
      </c>
      <c r="Q43" s="676">
        <f t="shared" si="5"/>
        <v>3</v>
      </c>
      <c r="R43" s="677" t="str">
        <f t="shared" si="6"/>
        <v>--</v>
      </c>
      <c r="S43" s="678" t="str">
        <f t="shared" si="7"/>
        <v>--</v>
      </c>
      <c r="T43" s="679" t="str">
        <f t="shared" si="8"/>
        <v>--</v>
      </c>
      <c r="U43" s="680" t="str">
        <f t="shared" si="9"/>
        <v>--</v>
      </c>
      <c r="V43" s="681" t="str">
        <f t="shared" si="10"/>
        <v>--</v>
      </c>
      <c r="W43" s="682" t="str">
        <f t="shared" si="11"/>
        <v>--</v>
      </c>
      <c r="X43" s="683" t="str">
        <f t="shared" si="12"/>
        <v>--</v>
      </c>
      <c r="Y43" s="684" t="str">
        <f t="shared" si="13"/>
        <v>--</v>
      </c>
      <c r="Z43" s="674">
        <f t="shared" si="14"/>
      </c>
      <c r="AA43" s="642">
        <f t="shared" si="15"/>
      </c>
      <c r="AB43" s="588"/>
    </row>
    <row r="44" spans="1:28" s="575" customFormat="1" ht="16.5" customHeight="1" thickBot="1">
      <c r="A44" s="574"/>
      <c r="B44" s="587"/>
      <c r="C44" s="672"/>
      <c r="D44" s="672"/>
      <c r="E44" s="672"/>
      <c r="F44" s="672"/>
      <c r="G44" s="672"/>
      <c r="H44" s="645"/>
      <c r="I44" s="672"/>
      <c r="J44" s="672"/>
      <c r="K44" s="644"/>
      <c r="L44" s="644"/>
      <c r="M44" s="672"/>
      <c r="N44" s="672"/>
      <c r="O44" s="672"/>
      <c r="P44" s="672"/>
      <c r="Q44" s="685"/>
      <c r="R44" s="686"/>
      <c r="S44" s="687"/>
      <c r="T44" s="688"/>
      <c r="U44" s="689"/>
      <c r="V44" s="690"/>
      <c r="W44" s="691"/>
      <c r="X44" s="692"/>
      <c r="Y44" s="693"/>
      <c r="Z44" s="672"/>
      <c r="AA44" s="646"/>
      <c r="AB44" s="588"/>
    </row>
    <row r="45" spans="1:28" s="575" customFormat="1" ht="16.5" customHeight="1" thickBot="1" thickTop="1">
      <c r="A45" s="574"/>
      <c r="B45" s="587"/>
      <c r="C45" s="647" t="s">
        <v>79</v>
      </c>
      <c r="D45" s="250" t="s">
        <v>179</v>
      </c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648">
        <f aca="true" t="shared" si="17" ref="R45:Y45">SUM(R22:R44)</f>
        <v>16.854750000000006</v>
      </c>
      <c r="S45" s="649">
        <f t="shared" si="17"/>
        <v>0</v>
      </c>
      <c r="T45" s="650">
        <f t="shared" si="17"/>
        <v>0</v>
      </c>
      <c r="U45" s="650">
        <f t="shared" si="17"/>
        <v>0</v>
      </c>
      <c r="V45" s="651">
        <f t="shared" si="17"/>
        <v>0</v>
      </c>
      <c r="W45" s="651">
        <f t="shared" si="17"/>
        <v>0</v>
      </c>
      <c r="X45" s="652">
        <f t="shared" si="17"/>
        <v>0</v>
      </c>
      <c r="Y45" s="653">
        <f t="shared" si="17"/>
        <v>0</v>
      </c>
      <c r="Z45" s="654"/>
      <c r="AA45" s="737">
        <f>ROUND(SUM(AA22:AA44),2)</f>
        <v>16.85</v>
      </c>
      <c r="AB45" s="588"/>
    </row>
    <row r="46" spans="1:28" s="662" customFormat="1" ht="9.75" thickTop="1">
      <c r="A46" s="655"/>
      <c r="B46" s="656"/>
      <c r="C46" s="657"/>
      <c r="D46" s="252"/>
      <c r="E46" s="658"/>
      <c r="F46" s="658"/>
      <c r="G46" s="658"/>
      <c r="H46" s="658"/>
      <c r="I46" s="658"/>
      <c r="J46" s="658"/>
      <c r="K46" s="658"/>
      <c r="L46" s="658"/>
      <c r="M46" s="658"/>
      <c r="N46" s="658"/>
      <c r="O46" s="658"/>
      <c r="P46" s="658"/>
      <c r="Q46" s="658"/>
      <c r="R46" s="659"/>
      <c r="S46" s="659"/>
      <c r="T46" s="659"/>
      <c r="U46" s="659"/>
      <c r="V46" s="659"/>
      <c r="W46" s="659"/>
      <c r="X46" s="659"/>
      <c r="Y46" s="659"/>
      <c r="Z46" s="658"/>
      <c r="AA46" s="660"/>
      <c r="AB46" s="661"/>
    </row>
    <row r="47" spans="1:28" s="575" customFormat="1" ht="16.5" customHeight="1" thickBot="1">
      <c r="A47" s="574"/>
      <c r="B47" s="663"/>
      <c r="C47" s="664"/>
      <c r="D47" s="664"/>
      <c r="E47" s="664"/>
      <c r="F47" s="664"/>
      <c r="G47" s="664"/>
      <c r="H47" s="664"/>
      <c r="I47" s="664"/>
      <c r="J47" s="664"/>
      <c r="K47" s="664"/>
      <c r="L47" s="664"/>
      <c r="M47" s="664"/>
      <c r="N47" s="664"/>
      <c r="O47" s="664"/>
      <c r="P47" s="664"/>
      <c r="Q47" s="664"/>
      <c r="R47" s="664"/>
      <c r="S47" s="664"/>
      <c r="T47" s="664"/>
      <c r="U47" s="664"/>
      <c r="V47" s="664"/>
      <c r="W47" s="664"/>
      <c r="X47" s="664"/>
      <c r="Y47" s="664"/>
      <c r="Z47" s="664"/>
      <c r="AA47" s="664"/>
      <c r="AB47" s="665"/>
    </row>
    <row r="48" spans="2:28" ht="16.5" customHeight="1" thickTop="1">
      <c r="B48" s="667"/>
      <c r="C48" s="667"/>
      <c r="D48" s="667"/>
      <c r="E48" s="667"/>
      <c r="F48" s="667"/>
      <c r="G48" s="667"/>
      <c r="H48" s="667"/>
      <c r="I48" s="667"/>
      <c r="J48" s="667"/>
      <c r="K48" s="667"/>
      <c r="L48" s="667"/>
      <c r="M48" s="667"/>
      <c r="N48" s="667"/>
      <c r="O48" s="667"/>
      <c r="P48" s="667"/>
      <c r="Q48" s="667"/>
      <c r="R48" s="667"/>
      <c r="S48" s="667"/>
      <c r="T48" s="667"/>
      <c r="U48" s="667"/>
      <c r="V48" s="667"/>
      <c r="W48" s="667"/>
      <c r="X48" s="667"/>
      <c r="Y48" s="667"/>
      <c r="Z48" s="667"/>
      <c r="AA48" s="667"/>
      <c r="AB48" s="668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U49"/>
  <sheetViews>
    <sheetView zoomScale="75" zoomScaleNormal="75" workbookViewId="0" topLeftCell="A1">
      <selection activeCell="B12" sqref="B1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3.140625" style="0" hidden="1" customWidth="1"/>
    <col min="8" max="9" width="15.7109375" style="0" customWidth="1"/>
    <col min="10" max="12" width="9.7109375" style="0" customWidth="1"/>
    <col min="13" max="13" width="7.7109375" style="0" customWidth="1"/>
    <col min="14" max="14" width="12.140625" style="0" hidden="1" customWidth="1"/>
    <col min="15" max="15" width="16.8515625" style="0" hidden="1" customWidth="1"/>
    <col min="16" max="16" width="16.57421875" style="0" hidden="1" customWidth="1"/>
    <col min="17" max="18" width="15.57421875" style="0" hidden="1" customWidth="1"/>
    <col min="19" max="19" width="9.7109375" style="0" customWidth="1"/>
    <col min="20" max="21" width="15.7109375" style="0" customWidth="1"/>
  </cols>
  <sheetData>
    <row r="1" s="108" customFormat="1" ht="26.25">
      <c r="U1" s="421"/>
    </row>
    <row r="2" spans="2:21" s="108" customFormat="1" ht="26.25">
      <c r="B2" s="109" t="str">
        <f>+'TOT-0806'!B2</f>
        <v>ANEXO VI al Memorándum D.T.E.E. N°  452  /2010</v>
      </c>
      <c r="C2" s="110"/>
      <c r="D2" s="110"/>
      <c r="E2" s="109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="10" customFormat="1" ht="12.75"/>
    <row r="4" spans="1:2" s="111" customFormat="1" ht="11.25">
      <c r="A4" s="129" t="s">
        <v>28</v>
      </c>
      <c r="B4" s="221"/>
    </row>
    <row r="5" spans="1:2" s="111" customFormat="1" ht="11.25">
      <c r="A5" s="129" t="s">
        <v>29</v>
      </c>
      <c r="B5" s="221"/>
    </row>
    <row r="6" s="10" customFormat="1" ht="13.5" thickBot="1"/>
    <row r="7" spans="2:21" s="10" customFormat="1" ht="13.5" thickTop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2:21" s="113" customFormat="1" ht="20.25">
      <c r="B8" s="112"/>
      <c r="C8" s="45"/>
      <c r="D8" s="21" t="s">
        <v>55</v>
      </c>
      <c r="N8" s="45"/>
      <c r="O8" s="45"/>
      <c r="P8" s="45"/>
      <c r="Q8" s="45"/>
      <c r="R8" s="45"/>
      <c r="S8" s="45"/>
      <c r="T8" s="45"/>
      <c r="U8" s="114"/>
    </row>
    <row r="9" spans="2:21" s="10" customFormat="1" ht="12.75">
      <c r="B9" s="44"/>
      <c r="C9" s="8"/>
      <c r="D9" s="8"/>
      <c r="E9" s="8"/>
      <c r="F9" s="8"/>
      <c r="G9" s="122"/>
      <c r="H9" s="122"/>
      <c r="I9" s="122"/>
      <c r="J9" s="122"/>
      <c r="K9" s="122"/>
      <c r="N9" s="8"/>
      <c r="O9" s="8"/>
      <c r="P9" s="8"/>
      <c r="Q9" s="8"/>
      <c r="R9" s="8"/>
      <c r="S9" s="8"/>
      <c r="T9" s="8"/>
      <c r="U9" s="11"/>
    </row>
    <row r="10" spans="2:21" s="113" customFormat="1" ht="20.25">
      <c r="B10" s="112"/>
      <c r="C10" s="45"/>
      <c r="D10" s="21" t="s">
        <v>97</v>
      </c>
      <c r="E10" s="21"/>
      <c r="F10" s="45"/>
      <c r="G10" s="21"/>
      <c r="H10" s="21"/>
      <c r="I10" s="21"/>
      <c r="J10" s="21"/>
      <c r="K10" s="21"/>
      <c r="N10" s="45"/>
      <c r="O10" s="45"/>
      <c r="P10" s="45"/>
      <c r="Q10" s="45"/>
      <c r="R10" s="45"/>
      <c r="S10" s="45"/>
      <c r="T10" s="45"/>
      <c r="U10" s="114"/>
    </row>
    <row r="11" spans="2:21" s="10" customFormat="1" ht="12.75">
      <c r="B11" s="44"/>
      <c r="C11" s="8"/>
      <c r="D11" s="187"/>
      <c r="E11" s="122"/>
      <c r="F11" s="8"/>
      <c r="G11" s="122"/>
      <c r="H11" s="122"/>
      <c r="I11" s="122"/>
      <c r="J11" s="122"/>
      <c r="K11" s="122"/>
      <c r="N11" s="8"/>
      <c r="O11" s="8"/>
      <c r="P11" s="8"/>
      <c r="Q11" s="8"/>
      <c r="R11" s="8"/>
      <c r="S11" s="8"/>
      <c r="T11" s="8"/>
      <c r="U11" s="11"/>
    </row>
    <row r="12" spans="2:21" s="113" customFormat="1" ht="20.25">
      <c r="B12" s="112"/>
      <c r="C12" s="45"/>
      <c r="D12" s="21" t="s">
        <v>98</v>
      </c>
      <c r="E12" s="21"/>
      <c r="F12" s="45"/>
      <c r="G12" s="21"/>
      <c r="H12" s="21"/>
      <c r="I12" s="21"/>
      <c r="J12" s="21"/>
      <c r="K12" s="21"/>
      <c r="N12" s="45"/>
      <c r="O12" s="45"/>
      <c r="P12" s="45"/>
      <c r="Q12" s="45"/>
      <c r="R12" s="45"/>
      <c r="S12" s="45"/>
      <c r="T12" s="45"/>
      <c r="U12" s="114"/>
    </row>
    <row r="13" spans="2:21" s="10" customFormat="1" ht="12.75">
      <c r="B13" s="44"/>
      <c r="C13" s="8"/>
      <c r="D13" s="124"/>
      <c r="E13" s="122"/>
      <c r="F13" s="8"/>
      <c r="G13" s="122"/>
      <c r="H13" s="122"/>
      <c r="I13" s="122"/>
      <c r="J13" s="122"/>
      <c r="K13" s="122"/>
      <c r="N13" s="8"/>
      <c r="O13" s="8"/>
      <c r="P13" s="8"/>
      <c r="Q13" s="8"/>
      <c r="R13" s="8"/>
      <c r="S13" s="8"/>
      <c r="T13" s="8"/>
      <c r="U13" s="11"/>
    </row>
    <row r="14" spans="2:21" s="120" customFormat="1" ht="19.5">
      <c r="B14" s="87" t="str">
        <f>+'TOT-0806'!B14</f>
        <v>Desde el 01 al 30 de junio de 2008</v>
      </c>
      <c r="C14" s="116"/>
      <c r="D14" s="116"/>
      <c r="E14" s="116"/>
      <c r="F14" s="86"/>
      <c r="G14" s="116"/>
      <c r="H14" s="117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9"/>
    </row>
    <row r="15" spans="2:21" s="10" customFormat="1" ht="16.5" customHeight="1" thickBot="1">
      <c r="B15" s="44"/>
      <c r="C15" s="8"/>
      <c r="G15" s="121"/>
      <c r="I15" s="8"/>
      <c r="J15" s="8"/>
      <c r="K15" s="8"/>
      <c r="L15" s="121"/>
      <c r="M15" s="121"/>
      <c r="N15" s="121"/>
      <c r="O15" s="8"/>
      <c r="P15" s="8"/>
      <c r="Q15" s="8"/>
      <c r="R15" s="8"/>
      <c r="S15" s="8"/>
      <c r="T15" s="8"/>
      <c r="U15" s="11"/>
    </row>
    <row r="16" spans="2:21" s="10" customFormat="1" ht="16.5" customHeight="1" thickBot="1" thickTop="1">
      <c r="B16" s="44"/>
      <c r="C16" s="8"/>
      <c r="D16" s="227" t="s">
        <v>99</v>
      </c>
      <c r="E16" s="228">
        <v>7.577</v>
      </c>
      <c r="F16" s="92">
        <f>60*'TOT-0806'!B13</f>
        <v>60</v>
      </c>
      <c r="G16" s="121"/>
      <c r="H16" s="243" t="str">
        <f>IF(F16=60," ",IF(F16=120,"Coeficiente duplicado por tasa de falla &gt;4 Sal. x año/100 km.","REVISAR COEFICIENTE"))</f>
        <v> </v>
      </c>
      <c r="I16" s="8"/>
      <c r="J16" s="8"/>
      <c r="K16" s="8"/>
      <c r="L16" s="121"/>
      <c r="M16" s="121"/>
      <c r="N16" s="121"/>
      <c r="O16" s="8"/>
      <c r="P16" s="8"/>
      <c r="Q16" s="8"/>
      <c r="R16" s="8"/>
      <c r="S16" s="8"/>
      <c r="T16" s="8"/>
      <c r="U16" s="11"/>
    </row>
    <row r="17" spans="2:21" s="10" customFormat="1" ht="16.5" customHeight="1" thickBot="1" thickTop="1">
      <c r="B17" s="44"/>
      <c r="C17" s="8"/>
      <c r="D17" s="227" t="s">
        <v>100</v>
      </c>
      <c r="E17" s="228">
        <v>3.03</v>
      </c>
      <c r="F17" s="92">
        <f>50*'TOT-0806'!B13</f>
        <v>50</v>
      </c>
      <c r="H17" s="243" t="str">
        <f>IF(F17=50," ",IF(F17=100,"Coeficiente duplicado por tasa de falla &gt;4 Sal. x año/100 km.","REVISAR COEFICIENTE"))</f>
        <v> </v>
      </c>
      <c r="O17" s="283"/>
      <c r="Q17" s="8"/>
      <c r="R17" s="8"/>
      <c r="S17" s="8"/>
      <c r="T17" s="222"/>
      <c r="U17" s="11"/>
    </row>
    <row r="18" spans="2:21" s="10" customFormat="1" ht="16.5" customHeight="1" thickBot="1" thickTop="1">
      <c r="B18" s="44"/>
      <c r="C18" s="8"/>
      <c r="D18" s="229" t="s">
        <v>101</v>
      </c>
      <c r="E18" s="230">
        <v>2.274</v>
      </c>
      <c r="F18" s="231">
        <f>25*'TOT-0806'!B13</f>
        <v>25</v>
      </c>
      <c r="H18" s="243" t="str">
        <f>IF(F18=25," ",IF(F18=50,"Coeficiente duplicado por tasa de falla &gt;4 Sal. x año/100 km.","REVISAR COEFICIENTE"))</f>
        <v> </v>
      </c>
      <c r="I18" s="168"/>
      <c r="J18" s="168"/>
      <c r="K18" s="8"/>
      <c r="N18" s="223"/>
      <c r="O18" s="224"/>
      <c r="P18" s="36"/>
      <c r="Q18" s="8"/>
      <c r="R18" s="8"/>
      <c r="S18" s="8"/>
      <c r="T18" s="222"/>
      <c r="U18" s="11"/>
    </row>
    <row r="19" spans="2:21" s="10" customFormat="1" ht="16.5" customHeight="1" thickBot="1" thickTop="1">
      <c r="B19" s="44"/>
      <c r="C19" s="8"/>
      <c r="D19" s="232" t="s">
        <v>102</v>
      </c>
      <c r="E19" s="230">
        <v>2.274</v>
      </c>
      <c r="F19" s="233">
        <f>20*'TOT-0806'!B13</f>
        <v>20</v>
      </c>
      <c r="H19" s="243" t="str">
        <f>IF(F19=20," ",IF(F19=40,"Coeficiente duplicado por tasa de falla &gt;4 Sal. x año/100 km.","REVISAR COEFICIENTE"))</f>
        <v> </v>
      </c>
      <c r="I19" s="168"/>
      <c r="J19" s="168"/>
      <c r="K19" s="8"/>
      <c r="N19" s="223"/>
      <c r="O19" s="224"/>
      <c r="P19" s="36"/>
      <c r="Q19" s="8"/>
      <c r="R19" s="8"/>
      <c r="S19" s="8"/>
      <c r="T19" s="222"/>
      <c r="U19" s="11"/>
    </row>
    <row r="20" spans="2:21" s="10" customFormat="1" ht="16.5" customHeight="1" thickBot="1" thickTop="1">
      <c r="B20" s="44"/>
      <c r="C20" s="8"/>
      <c r="D20" s="225"/>
      <c r="E20" s="226"/>
      <c r="F20" s="36"/>
      <c r="G20" s="8"/>
      <c r="H20" s="36"/>
      <c r="I20" s="168"/>
      <c r="J20" s="168"/>
      <c r="K20" s="8"/>
      <c r="L20" s="8"/>
      <c r="M20" s="8"/>
      <c r="N20" s="223"/>
      <c r="O20" s="224"/>
      <c r="P20" s="36"/>
      <c r="Q20" s="8"/>
      <c r="R20" s="8"/>
      <c r="S20" s="8"/>
      <c r="T20" s="222"/>
      <c r="U20" s="11"/>
    </row>
    <row r="21" spans="2:21" s="10" customFormat="1" ht="33.75" customHeight="1" thickBot="1" thickTop="1">
      <c r="B21" s="44"/>
      <c r="C21" s="217" t="s">
        <v>61</v>
      </c>
      <c r="D21" s="215" t="s">
        <v>85</v>
      </c>
      <c r="E21" s="234" t="s">
        <v>26</v>
      </c>
      <c r="F21" s="237" t="s">
        <v>62</v>
      </c>
      <c r="G21" s="274" t="s">
        <v>64</v>
      </c>
      <c r="H21" s="211" t="s">
        <v>65</v>
      </c>
      <c r="I21" s="234" t="s">
        <v>66</v>
      </c>
      <c r="J21" s="236" t="s">
        <v>89</v>
      </c>
      <c r="K21" s="236" t="s">
        <v>90</v>
      </c>
      <c r="L21" s="104" t="s">
        <v>69</v>
      </c>
      <c r="M21" s="216" t="s">
        <v>91</v>
      </c>
      <c r="N21" s="395" t="s">
        <v>103</v>
      </c>
      <c r="O21" s="329" t="s">
        <v>71</v>
      </c>
      <c r="P21" s="369" t="s">
        <v>95</v>
      </c>
      <c r="Q21" s="370"/>
      <c r="R21" s="405" t="s">
        <v>75</v>
      </c>
      <c r="S21" s="213" t="s">
        <v>77</v>
      </c>
      <c r="T21" s="213" t="s">
        <v>78</v>
      </c>
      <c r="U21" s="38"/>
    </row>
    <row r="22" spans="2:21" s="10" customFormat="1" ht="16.5" customHeight="1" thickTop="1">
      <c r="B22" s="44"/>
      <c r="C22" s="20"/>
      <c r="D22" s="32"/>
      <c r="E22" s="32"/>
      <c r="F22" s="415"/>
      <c r="G22" s="282"/>
      <c r="H22" s="33"/>
      <c r="I22" s="34"/>
      <c r="J22" s="35"/>
      <c r="K22" s="64"/>
      <c r="L22" s="397"/>
      <c r="M22" s="397"/>
      <c r="N22" s="398"/>
      <c r="O22" s="400"/>
      <c r="P22" s="402"/>
      <c r="Q22" s="403"/>
      <c r="R22" s="406"/>
      <c r="S22" s="404"/>
      <c r="T22" s="420"/>
      <c r="U22" s="38"/>
    </row>
    <row r="23" spans="2:21" s="10" customFormat="1" ht="16.5" customHeight="1">
      <c r="B23" s="44"/>
      <c r="C23" s="20"/>
      <c r="D23" s="32"/>
      <c r="E23" s="32"/>
      <c r="F23" s="415"/>
      <c r="G23" s="282"/>
      <c r="H23" s="33"/>
      <c r="I23" s="34"/>
      <c r="J23" s="35"/>
      <c r="K23" s="64"/>
      <c r="L23" s="28"/>
      <c r="M23" s="28"/>
      <c r="N23" s="396"/>
      <c r="O23" s="401"/>
      <c r="P23" s="375"/>
      <c r="Q23" s="376"/>
      <c r="R23" s="407"/>
      <c r="S23" s="25"/>
      <c r="T23" s="235"/>
      <c r="U23" s="38"/>
    </row>
    <row r="24" spans="2:21" s="10" customFormat="1" ht="16.5" customHeight="1">
      <c r="B24" s="44"/>
      <c r="C24" s="694">
        <v>4</v>
      </c>
      <c r="D24" s="695" t="s">
        <v>20</v>
      </c>
      <c r="E24" s="695" t="s">
        <v>21</v>
      </c>
      <c r="F24" s="696">
        <v>13.2</v>
      </c>
      <c r="G24" s="282">
        <f aca="true" t="shared" si="0" ref="G24:G43">IF(F24=330,$E$16,IF(AND(F24&lt;=132,F24&gt;=66),$E$17,IF(AND(F24&lt;66,F24&gt;=33),$E$18,$E$19)))</f>
        <v>2.274</v>
      </c>
      <c r="H24" s="697">
        <v>39617.370833333334</v>
      </c>
      <c r="I24" s="698">
        <v>39617.54652777778</v>
      </c>
      <c r="J24" s="35">
        <f aca="true" t="shared" si="1" ref="J24:J43">IF(D24="","",(I24-H24)*24)</f>
        <v>4.21666666661622</v>
      </c>
      <c r="K24" s="64">
        <f aca="true" t="shared" si="2" ref="K24:K43">IF(D24="","",ROUND((I24-H24)*24*60,0))</f>
        <v>253</v>
      </c>
      <c r="L24" s="699" t="s">
        <v>178</v>
      </c>
      <c r="M24" s="699" t="str">
        <f aca="true" t="shared" si="3" ref="M24:M43">IF(D24="","",IF(L24="P","--","NO"))</f>
        <v>--</v>
      </c>
      <c r="N24" s="700">
        <f aca="true" t="shared" si="4" ref="N24:N43">IF(F24=330,$F$16,IF(AND(F24&lt;=132,F24&gt;=66),$F$17,IF(AND(F24&lt;66,F24&gt;13.2),$F$18,$F$19)))</f>
        <v>20</v>
      </c>
      <c r="O24" s="701">
        <f aca="true" t="shared" si="5" ref="O24:O43">IF(L24="P",G24*N24*ROUND(K24/60,2)*0.1,"--")</f>
        <v>19.19256</v>
      </c>
      <c r="P24" s="681" t="str">
        <f aca="true" t="shared" si="6" ref="P24:P43">IF(AND(L24="F",M24="NO"),G24*N24,"--")</f>
        <v>--</v>
      </c>
      <c r="Q24" s="682" t="str">
        <f aca="true" t="shared" si="7" ref="Q24:Q43">IF(L24="F",G24*N24*ROUND(K24/60,2),"--")</f>
        <v>--</v>
      </c>
      <c r="R24" s="702" t="str">
        <f aca="true" t="shared" si="8" ref="R24:R43">IF(L24="RF",G24*N24*ROUND(K24/60,2),"--")</f>
        <v>--</v>
      </c>
      <c r="S24" s="674" t="str">
        <f aca="true" t="shared" si="9" ref="S24:S43">IF(D24="","","SI")</f>
        <v>SI</v>
      </c>
      <c r="T24" s="65">
        <f aca="true" t="shared" si="10" ref="T24:T43">IF(D24="","",SUM(O24:R24)*IF(S24="SI",1,2)*IF(F24="500/220",0,1))</f>
        <v>19.19256</v>
      </c>
      <c r="U24" s="38"/>
    </row>
    <row r="25" spans="2:21" s="10" customFormat="1" ht="16.5" customHeight="1">
      <c r="B25" s="44"/>
      <c r="C25" s="694">
        <v>5</v>
      </c>
      <c r="D25" s="695" t="s">
        <v>20</v>
      </c>
      <c r="E25" s="695" t="s">
        <v>22</v>
      </c>
      <c r="F25" s="696">
        <v>13.2</v>
      </c>
      <c r="G25" s="282">
        <f t="shared" si="0"/>
        <v>2.274</v>
      </c>
      <c r="H25" s="697">
        <v>39618.381944444445</v>
      </c>
      <c r="I25" s="698">
        <v>39618.55</v>
      </c>
      <c r="J25" s="35">
        <f t="shared" si="1"/>
        <v>4.03333333338378</v>
      </c>
      <c r="K25" s="64">
        <f t="shared" si="2"/>
        <v>242</v>
      </c>
      <c r="L25" s="699" t="s">
        <v>178</v>
      </c>
      <c r="M25" s="699" t="str">
        <f t="shared" si="3"/>
        <v>--</v>
      </c>
      <c r="N25" s="700">
        <f t="shared" si="4"/>
        <v>20</v>
      </c>
      <c r="O25" s="701">
        <f t="shared" si="5"/>
        <v>18.328440000000004</v>
      </c>
      <c r="P25" s="681" t="str">
        <f t="shared" si="6"/>
        <v>--</v>
      </c>
      <c r="Q25" s="682" t="str">
        <f t="shared" si="7"/>
        <v>--</v>
      </c>
      <c r="R25" s="702" t="str">
        <f t="shared" si="8"/>
        <v>--</v>
      </c>
      <c r="S25" s="674" t="str">
        <f t="shared" si="9"/>
        <v>SI</v>
      </c>
      <c r="T25" s="65">
        <f t="shared" si="10"/>
        <v>18.328440000000004</v>
      </c>
      <c r="U25" s="38"/>
    </row>
    <row r="26" spans="2:21" s="10" customFormat="1" ht="16.5" customHeight="1">
      <c r="B26" s="44"/>
      <c r="C26" s="694">
        <v>6</v>
      </c>
      <c r="D26" s="695" t="s">
        <v>181</v>
      </c>
      <c r="E26" s="695" t="s">
        <v>182</v>
      </c>
      <c r="F26" s="696">
        <v>33</v>
      </c>
      <c r="G26" s="282">
        <f t="shared" si="0"/>
        <v>2.274</v>
      </c>
      <c r="H26" s="697">
        <v>39621.33611111111</v>
      </c>
      <c r="I26" s="698">
        <v>39621.53055555555</v>
      </c>
      <c r="J26" s="35">
        <f t="shared" si="1"/>
        <v>4.666666666686069</v>
      </c>
      <c r="K26" s="64">
        <f t="shared" si="2"/>
        <v>280</v>
      </c>
      <c r="L26" s="699" t="s">
        <v>178</v>
      </c>
      <c r="M26" s="699" t="str">
        <f t="shared" si="3"/>
        <v>--</v>
      </c>
      <c r="N26" s="700">
        <f t="shared" si="4"/>
        <v>25</v>
      </c>
      <c r="O26" s="701">
        <f t="shared" si="5"/>
        <v>26.548950000000005</v>
      </c>
      <c r="P26" s="681" t="str">
        <f t="shared" si="6"/>
        <v>--</v>
      </c>
      <c r="Q26" s="682" t="str">
        <f t="shared" si="7"/>
        <v>--</v>
      </c>
      <c r="R26" s="702" t="str">
        <f t="shared" si="8"/>
        <v>--</v>
      </c>
      <c r="S26" s="674" t="str">
        <f t="shared" si="9"/>
        <v>SI</v>
      </c>
      <c r="T26" s="65">
        <f t="shared" si="10"/>
        <v>26.548950000000005</v>
      </c>
      <c r="U26" s="38"/>
    </row>
    <row r="27" spans="2:21" s="10" customFormat="1" ht="16.5" customHeight="1">
      <c r="B27" s="44"/>
      <c r="C27" s="694">
        <v>7</v>
      </c>
      <c r="D27" s="695" t="s">
        <v>181</v>
      </c>
      <c r="E27" s="695" t="s">
        <v>183</v>
      </c>
      <c r="F27" s="696">
        <v>33</v>
      </c>
      <c r="G27" s="282">
        <f t="shared" si="0"/>
        <v>2.274</v>
      </c>
      <c r="H27" s="697">
        <v>39621.33611111111</v>
      </c>
      <c r="I27" s="698">
        <v>39621.53055555555</v>
      </c>
      <c r="J27" s="35">
        <f t="shared" si="1"/>
        <v>4.666666666686069</v>
      </c>
      <c r="K27" s="64">
        <f t="shared" si="2"/>
        <v>280</v>
      </c>
      <c r="L27" s="699" t="s">
        <v>178</v>
      </c>
      <c r="M27" s="699" t="str">
        <f t="shared" si="3"/>
        <v>--</v>
      </c>
      <c r="N27" s="700">
        <f t="shared" si="4"/>
        <v>25</v>
      </c>
      <c r="O27" s="701">
        <f t="shared" si="5"/>
        <v>26.548950000000005</v>
      </c>
      <c r="P27" s="681" t="str">
        <f t="shared" si="6"/>
        <v>--</v>
      </c>
      <c r="Q27" s="682" t="str">
        <f t="shared" si="7"/>
        <v>--</v>
      </c>
      <c r="R27" s="702" t="str">
        <f t="shared" si="8"/>
        <v>--</v>
      </c>
      <c r="S27" s="674" t="str">
        <f t="shared" si="9"/>
        <v>SI</v>
      </c>
      <c r="T27" s="65">
        <f t="shared" si="10"/>
        <v>26.548950000000005</v>
      </c>
      <c r="U27" s="38"/>
    </row>
    <row r="28" spans="2:21" s="10" customFormat="1" ht="16.5" customHeight="1">
      <c r="B28" s="44"/>
      <c r="C28" s="694"/>
      <c r="D28" s="695"/>
      <c r="E28" s="695"/>
      <c r="F28" s="696"/>
      <c r="G28" s="282">
        <f t="shared" si="0"/>
        <v>2.274</v>
      </c>
      <c r="H28" s="697"/>
      <c r="I28" s="698"/>
      <c r="J28" s="35">
        <f t="shared" si="1"/>
      </c>
      <c r="K28" s="64">
        <f t="shared" si="2"/>
      </c>
      <c r="L28" s="699"/>
      <c r="M28" s="699">
        <f t="shared" si="3"/>
      </c>
      <c r="N28" s="700">
        <f t="shared" si="4"/>
        <v>20</v>
      </c>
      <c r="O28" s="701" t="str">
        <f t="shared" si="5"/>
        <v>--</v>
      </c>
      <c r="P28" s="681" t="str">
        <f t="shared" si="6"/>
        <v>--</v>
      </c>
      <c r="Q28" s="682" t="str">
        <f t="shared" si="7"/>
        <v>--</v>
      </c>
      <c r="R28" s="702" t="str">
        <f t="shared" si="8"/>
        <v>--</v>
      </c>
      <c r="S28" s="674">
        <f t="shared" si="9"/>
      </c>
      <c r="T28" s="65">
        <f t="shared" si="10"/>
      </c>
      <c r="U28" s="38"/>
    </row>
    <row r="29" spans="2:21" s="10" customFormat="1" ht="16.5" customHeight="1">
      <c r="B29" s="44"/>
      <c r="C29" s="694"/>
      <c r="D29" s="695"/>
      <c r="E29" s="695"/>
      <c r="F29" s="696"/>
      <c r="G29" s="282">
        <f t="shared" si="0"/>
        <v>2.274</v>
      </c>
      <c r="H29" s="697"/>
      <c r="I29" s="698"/>
      <c r="J29" s="35">
        <f t="shared" si="1"/>
      </c>
      <c r="K29" s="64">
        <f t="shared" si="2"/>
      </c>
      <c r="L29" s="699"/>
      <c r="M29" s="699">
        <f t="shared" si="3"/>
      </c>
      <c r="N29" s="700">
        <f t="shared" si="4"/>
        <v>20</v>
      </c>
      <c r="O29" s="701" t="str">
        <f t="shared" si="5"/>
        <v>--</v>
      </c>
      <c r="P29" s="681" t="str">
        <f t="shared" si="6"/>
        <v>--</v>
      </c>
      <c r="Q29" s="682" t="str">
        <f t="shared" si="7"/>
        <v>--</v>
      </c>
      <c r="R29" s="702" t="str">
        <f t="shared" si="8"/>
        <v>--</v>
      </c>
      <c r="S29" s="674">
        <f t="shared" si="9"/>
      </c>
      <c r="T29" s="65">
        <f t="shared" si="10"/>
      </c>
      <c r="U29" s="38"/>
    </row>
    <row r="30" spans="2:21" s="10" customFormat="1" ht="16.5" customHeight="1">
      <c r="B30" s="44"/>
      <c r="C30" s="694"/>
      <c r="D30" s="695"/>
      <c r="E30" s="695"/>
      <c r="F30" s="696"/>
      <c r="G30" s="282">
        <f t="shared" si="0"/>
        <v>2.274</v>
      </c>
      <c r="H30" s="697"/>
      <c r="I30" s="698"/>
      <c r="J30" s="35">
        <f t="shared" si="1"/>
      </c>
      <c r="K30" s="64">
        <f t="shared" si="2"/>
      </c>
      <c r="L30" s="699"/>
      <c r="M30" s="699">
        <f t="shared" si="3"/>
      </c>
      <c r="N30" s="700">
        <f t="shared" si="4"/>
        <v>20</v>
      </c>
      <c r="O30" s="701" t="str">
        <f t="shared" si="5"/>
        <v>--</v>
      </c>
      <c r="P30" s="681" t="str">
        <f t="shared" si="6"/>
        <v>--</v>
      </c>
      <c r="Q30" s="682" t="str">
        <f t="shared" si="7"/>
        <v>--</v>
      </c>
      <c r="R30" s="702" t="str">
        <f t="shared" si="8"/>
        <v>--</v>
      </c>
      <c r="S30" s="674">
        <f t="shared" si="9"/>
      </c>
      <c r="T30" s="65">
        <f t="shared" si="10"/>
      </c>
      <c r="U30" s="38"/>
    </row>
    <row r="31" spans="2:21" s="10" customFormat="1" ht="16.5" customHeight="1">
      <c r="B31" s="44"/>
      <c r="C31" s="694"/>
      <c r="D31" s="695"/>
      <c r="E31" s="695"/>
      <c r="F31" s="696"/>
      <c r="G31" s="282">
        <f t="shared" si="0"/>
        <v>2.274</v>
      </c>
      <c r="H31" s="697"/>
      <c r="I31" s="698"/>
      <c r="J31" s="35">
        <f t="shared" si="1"/>
      </c>
      <c r="K31" s="64">
        <f t="shared" si="2"/>
      </c>
      <c r="L31" s="699"/>
      <c r="M31" s="699">
        <f t="shared" si="3"/>
      </c>
      <c r="N31" s="700">
        <f t="shared" si="4"/>
        <v>20</v>
      </c>
      <c r="O31" s="701" t="str">
        <f t="shared" si="5"/>
        <v>--</v>
      </c>
      <c r="P31" s="681" t="str">
        <f t="shared" si="6"/>
        <v>--</v>
      </c>
      <c r="Q31" s="682" t="str">
        <f t="shared" si="7"/>
        <v>--</v>
      </c>
      <c r="R31" s="702" t="str">
        <f t="shared" si="8"/>
        <v>--</v>
      </c>
      <c r="S31" s="674">
        <f t="shared" si="9"/>
      </c>
      <c r="T31" s="65">
        <f t="shared" si="10"/>
      </c>
      <c r="U31" s="38"/>
    </row>
    <row r="32" spans="2:21" s="10" customFormat="1" ht="16.5" customHeight="1">
      <c r="B32" s="44"/>
      <c r="C32" s="694"/>
      <c r="D32" s="695"/>
      <c r="E32" s="695"/>
      <c r="F32" s="696"/>
      <c r="G32" s="282">
        <f t="shared" si="0"/>
        <v>2.274</v>
      </c>
      <c r="H32" s="697"/>
      <c r="I32" s="698"/>
      <c r="J32" s="35">
        <f t="shared" si="1"/>
      </c>
      <c r="K32" s="64">
        <f t="shared" si="2"/>
      </c>
      <c r="L32" s="699"/>
      <c r="M32" s="699">
        <f t="shared" si="3"/>
      </c>
      <c r="N32" s="700">
        <f t="shared" si="4"/>
        <v>20</v>
      </c>
      <c r="O32" s="701" t="str">
        <f t="shared" si="5"/>
        <v>--</v>
      </c>
      <c r="P32" s="681" t="str">
        <f t="shared" si="6"/>
        <v>--</v>
      </c>
      <c r="Q32" s="682" t="str">
        <f t="shared" si="7"/>
        <v>--</v>
      </c>
      <c r="R32" s="702" t="str">
        <f t="shared" si="8"/>
        <v>--</v>
      </c>
      <c r="S32" s="674">
        <f t="shared" si="9"/>
      </c>
      <c r="T32" s="65">
        <f t="shared" si="10"/>
      </c>
      <c r="U32" s="38"/>
    </row>
    <row r="33" spans="2:21" s="10" customFormat="1" ht="16.5" customHeight="1">
      <c r="B33" s="44"/>
      <c r="C33" s="694"/>
      <c r="D33" s="695"/>
      <c r="E33" s="695"/>
      <c r="F33" s="696"/>
      <c r="G33" s="282">
        <f t="shared" si="0"/>
        <v>2.274</v>
      </c>
      <c r="H33" s="697"/>
      <c r="I33" s="698"/>
      <c r="J33" s="35">
        <f t="shared" si="1"/>
      </c>
      <c r="K33" s="64">
        <f t="shared" si="2"/>
      </c>
      <c r="L33" s="699"/>
      <c r="M33" s="699">
        <f t="shared" si="3"/>
      </c>
      <c r="N33" s="700">
        <f t="shared" si="4"/>
        <v>20</v>
      </c>
      <c r="O33" s="701" t="str">
        <f t="shared" si="5"/>
        <v>--</v>
      </c>
      <c r="P33" s="681" t="str">
        <f t="shared" si="6"/>
        <v>--</v>
      </c>
      <c r="Q33" s="682" t="str">
        <f t="shared" si="7"/>
        <v>--</v>
      </c>
      <c r="R33" s="702" t="str">
        <f t="shared" si="8"/>
        <v>--</v>
      </c>
      <c r="S33" s="674">
        <f t="shared" si="9"/>
      </c>
      <c r="T33" s="65">
        <f t="shared" si="10"/>
      </c>
      <c r="U33" s="38"/>
    </row>
    <row r="34" spans="2:21" s="10" customFormat="1" ht="16.5" customHeight="1">
      <c r="B34" s="44"/>
      <c r="C34" s="694"/>
      <c r="D34" s="695"/>
      <c r="E34" s="695"/>
      <c r="F34" s="696"/>
      <c r="G34" s="282">
        <f t="shared" si="0"/>
        <v>2.274</v>
      </c>
      <c r="H34" s="697"/>
      <c r="I34" s="698"/>
      <c r="J34" s="35">
        <f t="shared" si="1"/>
      </c>
      <c r="K34" s="64">
        <f t="shared" si="2"/>
      </c>
      <c r="L34" s="699"/>
      <c r="M34" s="699">
        <f t="shared" si="3"/>
      </c>
      <c r="N34" s="700">
        <f t="shared" si="4"/>
        <v>20</v>
      </c>
      <c r="O34" s="701" t="str">
        <f t="shared" si="5"/>
        <v>--</v>
      </c>
      <c r="P34" s="681" t="str">
        <f t="shared" si="6"/>
        <v>--</v>
      </c>
      <c r="Q34" s="682" t="str">
        <f t="shared" si="7"/>
        <v>--</v>
      </c>
      <c r="R34" s="702" t="str">
        <f t="shared" si="8"/>
        <v>--</v>
      </c>
      <c r="S34" s="674">
        <f t="shared" si="9"/>
      </c>
      <c r="T34" s="65">
        <f t="shared" si="10"/>
      </c>
      <c r="U34" s="38"/>
    </row>
    <row r="35" spans="2:21" s="10" customFormat="1" ht="16.5" customHeight="1">
      <c r="B35" s="44"/>
      <c r="C35" s="694"/>
      <c r="D35" s="695"/>
      <c r="E35" s="695"/>
      <c r="F35" s="696"/>
      <c r="G35" s="282">
        <f t="shared" si="0"/>
        <v>2.274</v>
      </c>
      <c r="H35" s="697"/>
      <c r="I35" s="698"/>
      <c r="J35" s="35">
        <f t="shared" si="1"/>
      </c>
      <c r="K35" s="64">
        <f t="shared" si="2"/>
      </c>
      <c r="L35" s="699"/>
      <c r="M35" s="699">
        <f t="shared" si="3"/>
      </c>
      <c r="N35" s="700">
        <f t="shared" si="4"/>
        <v>20</v>
      </c>
      <c r="O35" s="701" t="str">
        <f t="shared" si="5"/>
        <v>--</v>
      </c>
      <c r="P35" s="681" t="str">
        <f t="shared" si="6"/>
        <v>--</v>
      </c>
      <c r="Q35" s="682" t="str">
        <f t="shared" si="7"/>
        <v>--</v>
      </c>
      <c r="R35" s="702" t="str">
        <f t="shared" si="8"/>
        <v>--</v>
      </c>
      <c r="S35" s="674">
        <f t="shared" si="9"/>
      </c>
      <c r="T35" s="65">
        <f t="shared" si="10"/>
      </c>
      <c r="U35" s="38"/>
    </row>
    <row r="36" spans="2:21" s="10" customFormat="1" ht="16.5" customHeight="1">
      <c r="B36" s="44"/>
      <c r="C36" s="694"/>
      <c r="D36" s="695"/>
      <c r="E36" s="695"/>
      <c r="F36" s="696"/>
      <c r="G36" s="282">
        <f t="shared" si="0"/>
        <v>2.274</v>
      </c>
      <c r="H36" s="697"/>
      <c r="I36" s="698"/>
      <c r="J36" s="35">
        <f t="shared" si="1"/>
      </c>
      <c r="K36" s="64">
        <f t="shared" si="2"/>
      </c>
      <c r="L36" s="699"/>
      <c r="M36" s="699">
        <f t="shared" si="3"/>
      </c>
      <c r="N36" s="700">
        <f t="shared" si="4"/>
        <v>20</v>
      </c>
      <c r="O36" s="701" t="str">
        <f t="shared" si="5"/>
        <v>--</v>
      </c>
      <c r="P36" s="681" t="str">
        <f t="shared" si="6"/>
        <v>--</v>
      </c>
      <c r="Q36" s="682" t="str">
        <f t="shared" si="7"/>
        <v>--</v>
      </c>
      <c r="R36" s="702" t="str">
        <f t="shared" si="8"/>
        <v>--</v>
      </c>
      <c r="S36" s="674">
        <f t="shared" si="9"/>
      </c>
      <c r="T36" s="65">
        <f t="shared" si="10"/>
      </c>
      <c r="U36" s="38"/>
    </row>
    <row r="37" spans="2:21" s="10" customFormat="1" ht="16.5" customHeight="1">
      <c r="B37" s="44"/>
      <c r="C37" s="694"/>
      <c r="D37" s="695"/>
      <c r="E37" s="695"/>
      <c r="F37" s="696"/>
      <c r="G37" s="282">
        <f t="shared" si="0"/>
        <v>2.274</v>
      </c>
      <c r="H37" s="697"/>
      <c r="I37" s="698"/>
      <c r="J37" s="35">
        <f t="shared" si="1"/>
      </c>
      <c r="K37" s="64">
        <f t="shared" si="2"/>
      </c>
      <c r="L37" s="699"/>
      <c r="M37" s="699">
        <f t="shared" si="3"/>
      </c>
      <c r="N37" s="700">
        <f t="shared" si="4"/>
        <v>20</v>
      </c>
      <c r="O37" s="701" t="str">
        <f t="shared" si="5"/>
        <v>--</v>
      </c>
      <c r="P37" s="681" t="str">
        <f t="shared" si="6"/>
        <v>--</v>
      </c>
      <c r="Q37" s="682" t="str">
        <f t="shared" si="7"/>
        <v>--</v>
      </c>
      <c r="R37" s="702" t="str">
        <f t="shared" si="8"/>
        <v>--</v>
      </c>
      <c r="S37" s="674">
        <f t="shared" si="9"/>
      </c>
      <c r="T37" s="65">
        <f t="shared" si="10"/>
      </c>
      <c r="U37" s="38"/>
    </row>
    <row r="38" spans="2:21" s="10" customFormat="1" ht="16.5" customHeight="1">
      <c r="B38" s="44"/>
      <c r="C38" s="694"/>
      <c r="D38" s="695"/>
      <c r="E38" s="695"/>
      <c r="F38" s="696"/>
      <c r="G38" s="282">
        <f t="shared" si="0"/>
        <v>2.274</v>
      </c>
      <c r="H38" s="697"/>
      <c r="I38" s="698"/>
      <c r="J38" s="35">
        <f t="shared" si="1"/>
      </c>
      <c r="K38" s="64">
        <f t="shared" si="2"/>
      </c>
      <c r="L38" s="699"/>
      <c r="M38" s="699">
        <f t="shared" si="3"/>
      </c>
      <c r="N38" s="700">
        <f t="shared" si="4"/>
        <v>20</v>
      </c>
      <c r="O38" s="701" t="str">
        <f t="shared" si="5"/>
        <v>--</v>
      </c>
      <c r="P38" s="681" t="str">
        <f t="shared" si="6"/>
        <v>--</v>
      </c>
      <c r="Q38" s="682" t="str">
        <f t="shared" si="7"/>
        <v>--</v>
      </c>
      <c r="R38" s="702" t="str">
        <f t="shared" si="8"/>
        <v>--</v>
      </c>
      <c r="S38" s="674">
        <f t="shared" si="9"/>
      </c>
      <c r="T38" s="65">
        <f t="shared" si="10"/>
      </c>
      <c r="U38" s="38"/>
    </row>
    <row r="39" spans="2:21" s="10" customFormat="1" ht="16.5" customHeight="1">
      <c r="B39" s="44"/>
      <c r="C39" s="694"/>
      <c r="D39" s="695"/>
      <c r="E39" s="695"/>
      <c r="F39" s="696"/>
      <c r="G39" s="282">
        <f t="shared" si="0"/>
        <v>2.274</v>
      </c>
      <c r="H39" s="697"/>
      <c r="I39" s="698"/>
      <c r="J39" s="35">
        <f t="shared" si="1"/>
      </c>
      <c r="K39" s="64">
        <f t="shared" si="2"/>
      </c>
      <c r="L39" s="699"/>
      <c r="M39" s="699">
        <f t="shared" si="3"/>
      </c>
      <c r="N39" s="700">
        <f t="shared" si="4"/>
        <v>20</v>
      </c>
      <c r="O39" s="701" t="str">
        <f t="shared" si="5"/>
        <v>--</v>
      </c>
      <c r="P39" s="681" t="str">
        <f t="shared" si="6"/>
        <v>--</v>
      </c>
      <c r="Q39" s="682" t="str">
        <f t="shared" si="7"/>
        <v>--</v>
      </c>
      <c r="R39" s="702" t="str">
        <f t="shared" si="8"/>
        <v>--</v>
      </c>
      <c r="S39" s="674">
        <f t="shared" si="9"/>
      </c>
      <c r="T39" s="65">
        <f t="shared" si="10"/>
      </c>
      <c r="U39" s="38"/>
    </row>
    <row r="40" spans="2:21" s="10" customFormat="1" ht="16.5" customHeight="1">
      <c r="B40" s="44"/>
      <c r="C40" s="694"/>
      <c r="D40" s="695"/>
      <c r="E40" s="695"/>
      <c r="F40" s="696"/>
      <c r="G40" s="282">
        <f t="shared" si="0"/>
        <v>2.274</v>
      </c>
      <c r="H40" s="697"/>
      <c r="I40" s="698"/>
      <c r="J40" s="35">
        <f t="shared" si="1"/>
      </c>
      <c r="K40" s="64">
        <f t="shared" si="2"/>
      </c>
      <c r="L40" s="699"/>
      <c r="M40" s="699">
        <f t="shared" si="3"/>
      </c>
      <c r="N40" s="700">
        <f t="shared" si="4"/>
        <v>20</v>
      </c>
      <c r="O40" s="701" t="str">
        <f t="shared" si="5"/>
        <v>--</v>
      </c>
      <c r="P40" s="681" t="str">
        <f t="shared" si="6"/>
        <v>--</v>
      </c>
      <c r="Q40" s="682" t="str">
        <f t="shared" si="7"/>
        <v>--</v>
      </c>
      <c r="R40" s="702" t="str">
        <f t="shared" si="8"/>
        <v>--</v>
      </c>
      <c r="S40" s="674">
        <f t="shared" si="9"/>
      </c>
      <c r="T40" s="65">
        <f t="shared" si="10"/>
      </c>
      <c r="U40" s="38"/>
    </row>
    <row r="41" spans="2:21" s="10" customFormat="1" ht="16.5" customHeight="1">
      <c r="B41" s="44"/>
      <c r="C41" s="694"/>
      <c r="D41" s="695"/>
      <c r="E41" s="695"/>
      <c r="F41" s="696"/>
      <c r="G41" s="282">
        <f t="shared" si="0"/>
        <v>2.274</v>
      </c>
      <c r="H41" s="697"/>
      <c r="I41" s="698"/>
      <c r="J41" s="35">
        <f t="shared" si="1"/>
      </c>
      <c r="K41" s="64">
        <f t="shared" si="2"/>
      </c>
      <c r="L41" s="699"/>
      <c r="M41" s="699">
        <f t="shared" si="3"/>
      </c>
      <c r="N41" s="700">
        <f t="shared" si="4"/>
        <v>20</v>
      </c>
      <c r="O41" s="701" t="str">
        <f t="shared" si="5"/>
        <v>--</v>
      </c>
      <c r="P41" s="681" t="str">
        <f t="shared" si="6"/>
        <v>--</v>
      </c>
      <c r="Q41" s="682" t="str">
        <f t="shared" si="7"/>
        <v>--</v>
      </c>
      <c r="R41" s="702" t="str">
        <f t="shared" si="8"/>
        <v>--</v>
      </c>
      <c r="S41" s="674">
        <f t="shared" si="9"/>
      </c>
      <c r="T41" s="65">
        <f t="shared" si="10"/>
      </c>
      <c r="U41" s="38"/>
    </row>
    <row r="42" spans="2:21" s="10" customFormat="1" ht="16.5" customHeight="1">
      <c r="B42" s="44"/>
      <c r="C42" s="694"/>
      <c r="D42" s="695"/>
      <c r="E42" s="695"/>
      <c r="F42" s="696"/>
      <c r="G42" s="282">
        <f t="shared" si="0"/>
        <v>2.274</v>
      </c>
      <c r="H42" s="697"/>
      <c r="I42" s="698"/>
      <c r="J42" s="35">
        <f t="shared" si="1"/>
      </c>
      <c r="K42" s="64">
        <f t="shared" si="2"/>
      </c>
      <c r="L42" s="699"/>
      <c r="M42" s="699">
        <f t="shared" si="3"/>
      </c>
      <c r="N42" s="700">
        <f t="shared" si="4"/>
        <v>20</v>
      </c>
      <c r="O42" s="701" t="str">
        <f t="shared" si="5"/>
        <v>--</v>
      </c>
      <c r="P42" s="681" t="str">
        <f t="shared" si="6"/>
        <v>--</v>
      </c>
      <c r="Q42" s="682" t="str">
        <f t="shared" si="7"/>
        <v>--</v>
      </c>
      <c r="R42" s="702" t="str">
        <f t="shared" si="8"/>
        <v>--</v>
      </c>
      <c r="S42" s="674">
        <f t="shared" si="9"/>
      </c>
      <c r="T42" s="65">
        <f t="shared" si="10"/>
      </c>
      <c r="U42" s="38"/>
    </row>
    <row r="43" spans="2:21" s="10" customFormat="1" ht="16.5" customHeight="1">
      <c r="B43" s="44"/>
      <c r="C43" s="694"/>
      <c r="D43" s="695"/>
      <c r="E43" s="695"/>
      <c r="F43" s="696"/>
      <c r="G43" s="282">
        <f t="shared" si="0"/>
        <v>2.274</v>
      </c>
      <c r="H43" s="697"/>
      <c r="I43" s="698"/>
      <c r="J43" s="35">
        <f t="shared" si="1"/>
      </c>
      <c r="K43" s="64">
        <f t="shared" si="2"/>
      </c>
      <c r="L43" s="699"/>
      <c r="M43" s="699">
        <f t="shared" si="3"/>
      </c>
      <c r="N43" s="700">
        <f t="shared" si="4"/>
        <v>20</v>
      </c>
      <c r="O43" s="701" t="str">
        <f t="shared" si="5"/>
        <v>--</v>
      </c>
      <c r="P43" s="681" t="str">
        <f t="shared" si="6"/>
        <v>--</v>
      </c>
      <c r="Q43" s="682" t="str">
        <f t="shared" si="7"/>
        <v>--</v>
      </c>
      <c r="R43" s="702" t="str">
        <f t="shared" si="8"/>
        <v>--</v>
      </c>
      <c r="S43" s="674">
        <f t="shared" si="9"/>
      </c>
      <c r="T43" s="65">
        <f t="shared" si="10"/>
      </c>
      <c r="U43" s="38"/>
    </row>
    <row r="44" spans="2:21" s="10" customFormat="1" ht="16.5" customHeight="1" thickBot="1">
      <c r="B44" s="44"/>
      <c r="C44" s="672"/>
      <c r="D44" s="672"/>
      <c r="E44" s="672"/>
      <c r="F44" s="672"/>
      <c r="G44" s="281"/>
      <c r="H44" s="672"/>
      <c r="I44" s="672"/>
      <c r="J44" s="29"/>
      <c r="K44" s="29"/>
      <c r="L44" s="672"/>
      <c r="M44" s="672"/>
      <c r="N44" s="703"/>
      <c r="O44" s="704"/>
      <c r="P44" s="690"/>
      <c r="Q44" s="691"/>
      <c r="R44" s="685"/>
      <c r="S44" s="672"/>
      <c r="T44" s="219"/>
      <c r="U44" s="38"/>
    </row>
    <row r="45" spans="2:21" s="10" customFormat="1" ht="16.5" customHeight="1" thickBot="1" thickTop="1">
      <c r="B45" s="44"/>
      <c r="C45" s="249" t="s">
        <v>79</v>
      </c>
      <c r="D45" s="250" t="s">
        <v>179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408">
        <f>SUM(O22:O44)</f>
        <v>90.61890000000001</v>
      </c>
      <c r="P45" s="336">
        <f>SUM(P22:P44)</f>
        <v>0</v>
      </c>
      <c r="Q45" s="336">
        <f>SUM(Q22:Q44)</f>
        <v>0</v>
      </c>
      <c r="R45" s="409">
        <f>SUM(R22:R44)</f>
        <v>0</v>
      </c>
      <c r="S45" s="66"/>
      <c r="T45" s="265">
        <f>ROUND(SUM(T22:T44),2)</f>
        <v>90.62</v>
      </c>
      <c r="U45" s="38"/>
    </row>
    <row r="46" spans="2:21" s="267" customFormat="1" ht="9.75" thickTop="1">
      <c r="B46" s="266"/>
      <c r="C46" s="251"/>
      <c r="D46" s="252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1"/>
      <c r="T46" s="272"/>
      <c r="U46" s="273"/>
    </row>
    <row r="47" spans="1:21" s="10" customFormat="1" ht="16.5" customHeight="1" thickBot="1">
      <c r="A47" s="11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6"/>
    </row>
    <row r="48" spans="1:21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3:4" ht="12.75">
      <c r="C49" s="6"/>
      <c r="D49" s="6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Roman,Normal"&amp;8&amp;F-&amp;A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AD91"/>
  <sheetViews>
    <sheetView zoomScale="75" zoomScaleNormal="75" workbookViewId="0" topLeftCell="E1">
      <selection activeCell="B12" sqref="B1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12.7109375" style="0" hidden="1" customWidth="1"/>
    <col min="8" max="9" width="15.7109375" style="0" customWidth="1"/>
    <col min="10" max="12" width="9.7109375" style="0" customWidth="1"/>
    <col min="13" max="13" width="14.140625" style="0" customWidth="1"/>
    <col min="14" max="23" width="14.140625" style="0" hidden="1" customWidth="1"/>
    <col min="24" max="24" width="14.140625" style="0" customWidth="1"/>
    <col min="25" max="26" width="15.7109375" style="0" customWidth="1"/>
  </cols>
  <sheetData>
    <row r="1" s="108" customFormat="1" ht="26.25">
      <c r="Z1" s="421"/>
    </row>
    <row r="2" spans="2:26" s="108" customFormat="1" ht="26.25">
      <c r="B2" s="109" t="str">
        <f>+'TOT-0806'!B2</f>
        <v>ANEXO VI al Memorándum D.T.E.E. N°  452  /2010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="10" customFormat="1" ht="12.75"/>
    <row r="4" spans="1:2" s="111" customFormat="1" ht="11.25">
      <c r="A4" s="127" t="s">
        <v>28</v>
      </c>
      <c r="B4" s="127"/>
    </row>
    <row r="5" spans="1:2" s="111" customFormat="1" ht="11.25">
      <c r="A5" s="127" t="s">
        <v>29</v>
      </c>
      <c r="B5" s="127"/>
    </row>
    <row r="6" s="10" customFormat="1" ht="13.5" thickBot="1"/>
    <row r="7" spans="1:26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3"/>
    </row>
    <row r="8" spans="1:26" s="113" customFormat="1" ht="20.25">
      <c r="A8" s="45"/>
      <c r="B8" s="112"/>
      <c r="C8" s="45"/>
      <c r="D8" s="21" t="s">
        <v>55</v>
      </c>
      <c r="E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114"/>
    </row>
    <row r="9" spans="1:26" s="10" customFormat="1" ht="12.75">
      <c r="A9" s="8"/>
      <c r="B9" s="44"/>
      <c r="C9" s="8"/>
      <c r="D9" s="125"/>
      <c r="E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1"/>
    </row>
    <row r="10" spans="1:26" s="113" customFormat="1" ht="20.25">
      <c r="A10" s="45"/>
      <c r="B10" s="112"/>
      <c r="C10" s="45"/>
      <c r="D10" s="21" t="s">
        <v>174</v>
      </c>
      <c r="E10" s="21"/>
      <c r="F10" s="45"/>
      <c r="G10" s="115"/>
      <c r="H10" s="115"/>
      <c r="I10" s="115"/>
      <c r="J10" s="115"/>
      <c r="K10" s="115"/>
      <c r="L10" s="115"/>
      <c r="M10" s="11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114"/>
    </row>
    <row r="11" spans="1:26" s="10" customFormat="1" ht="12.75">
      <c r="A11" s="8"/>
      <c r="B11" s="44"/>
      <c r="C11" s="8"/>
      <c r="D11" s="124"/>
      <c r="E11" s="122"/>
      <c r="F11" s="8"/>
      <c r="G11" s="121"/>
      <c r="H11" s="121"/>
      <c r="I11" s="121"/>
      <c r="J11" s="121"/>
      <c r="K11" s="121"/>
      <c r="L11" s="121"/>
      <c r="M11" s="121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s="120" customFormat="1" ht="19.5">
      <c r="A12" s="47"/>
      <c r="B12" s="87" t="str">
        <f>+'TOT-0806'!B14</f>
        <v>Desde el 01 al 30 de junio de 2008</v>
      </c>
      <c r="C12" s="116"/>
      <c r="D12" s="116"/>
      <c r="E12" s="117"/>
      <c r="F12" s="117"/>
      <c r="G12" s="118"/>
      <c r="H12" s="118"/>
      <c r="I12" s="118"/>
      <c r="J12" s="118"/>
      <c r="K12" s="118"/>
      <c r="L12" s="118"/>
      <c r="M12" s="118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9"/>
    </row>
    <row r="13" spans="1:26" s="120" customFormat="1" ht="7.5" customHeight="1">
      <c r="A13" s="47"/>
      <c r="B13" s="87"/>
      <c r="C13" s="116"/>
      <c r="D13" s="116"/>
      <c r="E13" s="117"/>
      <c r="F13" s="117"/>
      <c r="G13" s="118"/>
      <c r="H13" s="118"/>
      <c r="I13" s="118"/>
      <c r="J13" s="118"/>
      <c r="K13" s="118"/>
      <c r="L13" s="118"/>
      <c r="M13" s="118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9"/>
    </row>
    <row r="14" spans="1:26" s="10" customFormat="1" ht="7.5" customHeight="1" thickBot="1">
      <c r="A14" s="8"/>
      <c r="B14" s="44"/>
      <c r="C14" s="8"/>
      <c r="D14" s="8"/>
      <c r="E14" s="122"/>
      <c r="F14" s="123"/>
      <c r="G14" s="121"/>
      <c r="H14" s="121"/>
      <c r="I14" s="121"/>
      <c r="J14" s="121"/>
      <c r="K14" s="121"/>
      <c r="L14" s="121"/>
      <c r="M14" s="121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1"/>
    </row>
    <row r="15" spans="1:26" s="94" customFormat="1" ht="16.5" customHeight="1" thickBot="1" thickTop="1">
      <c r="A15" s="90"/>
      <c r="B15" s="91"/>
      <c r="C15" s="90"/>
      <c r="D15" s="515" t="s">
        <v>58</v>
      </c>
      <c r="E15" s="516">
        <v>51.653</v>
      </c>
      <c r="F15" s="246"/>
      <c r="G15" s="95"/>
      <c r="H15" s="95"/>
      <c r="I15" s="95"/>
      <c r="J15" s="95"/>
      <c r="K15" s="95"/>
      <c r="L15" s="95"/>
      <c r="M15" s="95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3"/>
    </row>
    <row r="16" spans="1:26" s="94" customFormat="1" ht="16.5" customHeight="1" thickBot="1" thickTop="1">
      <c r="A16" s="90"/>
      <c r="B16" s="91"/>
      <c r="C16" s="90"/>
      <c r="D16" s="515" t="s">
        <v>59</v>
      </c>
      <c r="E16" s="516">
        <v>49.357</v>
      </c>
      <c r="F16" s="247"/>
      <c r="G16" s="90"/>
      <c r="I16" s="96" t="s">
        <v>60</v>
      </c>
      <c r="J16" s="97">
        <f>30*'TOT-0806'!B13</f>
        <v>30</v>
      </c>
      <c r="K16" s="243" t="str">
        <f>IF(J16=30," ",IF(J16=60,"Coeficiente duplicado por tasa de falla &gt;4 Sal. x año/100 km.","REVISAR COEFICIENTE"))</f>
        <v> </v>
      </c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3"/>
    </row>
    <row r="17" spans="1:26" s="94" customFormat="1" ht="7.5" customHeight="1" thickTop="1">
      <c r="A17" s="90"/>
      <c r="B17" s="91"/>
      <c r="C17" s="90"/>
      <c r="D17" s="731"/>
      <c r="E17" s="732"/>
      <c r="F17" s="733"/>
      <c r="G17" s="90"/>
      <c r="I17" s="96"/>
      <c r="J17" s="97"/>
      <c r="K17" s="243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3"/>
    </row>
    <row r="18" spans="1:26" s="10" customFormat="1" ht="7.5" customHeight="1" thickBot="1">
      <c r="A18" s="8"/>
      <c r="B18" s="44"/>
      <c r="C18" s="8"/>
      <c r="D18" s="8"/>
      <c r="E18" s="8"/>
      <c r="F18" s="8"/>
      <c r="G18" s="8"/>
      <c r="H18" s="12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1"/>
    </row>
    <row r="19" spans="1:30" s="107" customFormat="1" ht="33.75" customHeight="1" thickBot="1" thickTop="1">
      <c r="A19" s="98"/>
      <c r="B19" s="99"/>
      <c r="C19" s="100" t="s">
        <v>61</v>
      </c>
      <c r="D19" s="101" t="s">
        <v>31</v>
      </c>
      <c r="E19" s="102" t="s">
        <v>62</v>
      </c>
      <c r="F19" s="103" t="s">
        <v>63</v>
      </c>
      <c r="G19" s="274" t="s">
        <v>64</v>
      </c>
      <c r="H19" s="101" t="s">
        <v>65</v>
      </c>
      <c r="I19" s="101" t="s">
        <v>66</v>
      </c>
      <c r="J19" s="102" t="s">
        <v>67</v>
      </c>
      <c r="K19" s="102" t="s">
        <v>68</v>
      </c>
      <c r="L19" s="104" t="s">
        <v>69</v>
      </c>
      <c r="M19" s="102" t="s">
        <v>70</v>
      </c>
      <c r="N19" s="303" t="s">
        <v>71</v>
      </c>
      <c r="O19" s="306" t="s">
        <v>72</v>
      </c>
      <c r="P19" s="309" t="s">
        <v>73</v>
      </c>
      <c r="Q19" s="310"/>
      <c r="R19" s="311"/>
      <c r="S19" s="320" t="s">
        <v>74</v>
      </c>
      <c r="T19" s="321"/>
      <c r="U19" s="322"/>
      <c r="V19" s="330" t="s">
        <v>75</v>
      </c>
      <c r="W19" s="333" t="s">
        <v>76</v>
      </c>
      <c r="X19" s="105" t="s">
        <v>77</v>
      </c>
      <c r="Y19" s="105" t="s">
        <v>78</v>
      </c>
      <c r="Z19" s="106"/>
      <c r="AD19" s="107">
        <f>+'SUP-EDERSA'!J17</f>
        <v>65.168</v>
      </c>
    </row>
    <row r="20" spans="1:28" ht="16.5" customHeight="1" thickTop="1">
      <c r="A20" s="1"/>
      <c r="B20" s="2"/>
      <c r="C20" s="53"/>
      <c r="D20" s="52"/>
      <c r="E20" s="53"/>
      <c r="F20" s="53"/>
      <c r="G20" s="275"/>
      <c r="H20" s="53"/>
      <c r="I20" s="54"/>
      <c r="J20" s="54"/>
      <c r="K20" s="54"/>
      <c r="L20" s="52"/>
      <c r="M20" s="53"/>
      <c r="N20" s="304"/>
      <c r="O20" s="307"/>
      <c r="P20" s="312"/>
      <c r="Q20" s="313"/>
      <c r="R20" s="314"/>
      <c r="S20" s="323"/>
      <c r="T20" s="324"/>
      <c r="U20" s="325"/>
      <c r="V20" s="331"/>
      <c r="W20" s="334"/>
      <c r="X20" s="318"/>
      <c r="Y20" s="54"/>
      <c r="Z20" s="3"/>
      <c r="AB20" t="s">
        <v>198</v>
      </c>
    </row>
    <row r="21" spans="1:26" ht="16.5" customHeight="1">
      <c r="A21" s="1"/>
      <c r="B21" s="2"/>
      <c r="C21" s="738"/>
      <c r="D21" s="738"/>
      <c r="E21" s="739"/>
      <c r="F21" s="739"/>
      <c r="G21" s="276"/>
      <c r="H21" s="51"/>
      <c r="I21" s="89"/>
      <c r="J21" s="89"/>
      <c r="K21" s="89"/>
      <c r="L21" s="88"/>
      <c r="M21" s="51"/>
      <c r="N21" s="305"/>
      <c r="O21" s="308"/>
      <c r="P21" s="315"/>
      <c r="Q21" s="316"/>
      <c r="R21" s="317"/>
      <c r="S21" s="326"/>
      <c r="T21" s="327"/>
      <c r="U21" s="328"/>
      <c r="V21" s="332"/>
      <c r="W21" s="335"/>
      <c r="X21" s="319"/>
      <c r="Y21" s="89"/>
      <c r="Z21" s="3"/>
    </row>
    <row r="22" spans="1:28" ht="16.5" customHeight="1">
      <c r="A22" s="1"/>
      <c r="B22" s="2"/>
      <c r="C22" s="741">
        <v>8</v>
      </c>
      <c r="D22" s="740" t="s">
        <v>7</v>
      </c>
      <c r="E22" s="741">
        <v>132</v>
      </c>
      <c r="F22" s="741">
        <v>185.6</v>
      </c>
      <c r="G22" s="277">
        <f aca="true" t="shared" si="0" ref="G22:G41">IF(F22&gt;25,F22,25)*IF(E22=330,$E$15,$E$16)/100</f>
        <v>91.606592</v>
      </c>
      <c r="H22" s="528">
        <v>39601.964583333334</v>
      </c>
      <c r="I22" s="528">
        <v>39601.96527777778</v>
      </c>
      <c r="J22" s="13">
        <f aca="true" t="shared" si="1" ref="J22:J41">IF(D22="","",(I22-H22)*24)</f>
        <v>0.016666666720993817</v>
      </c>
      <c r="K22" s="14">
        <f aca="true" t="shared" si="2" ref="K22:K41">IF(D22="","",ROUND((I22-H22)*24*60,0))</f>
        <v>1</v>
      </c>
      <c r="L22" s="529" t="s">
        <v>167</v>
      </c>
      <c r="M22" s="530" t="str">
        <f aca="true" t="shared" si="3" ref="M22:M41">IF(D22="","","--")</f>
        <v>--</v>
      </c>
      <c r="N22" s="531" t="str">
        <f aca="true" t="shared" si="4" ref="N22:N41">IF(L22="P",ROUND(K22/60,2)*G22*$J$16*0.01,"--")</f>
        <v>--</v>
      </c>
      <c r="O22" s="532" t="str">
        <f aca="true" t="shared" si="5" ref="O22:O41">IF(L22="RP",ROUND(K22/60,2)*G22*$J$16*0.01*M22/100,"--")</f>
        <v>--</v>
      </c>
      <c r="P22" s="533">
        <f aca="true" t="shared" si="6" ref="P22:P41">IF(L22="F",G22*$J$16,"--")</f>
        <v>2748.19776</v>
      </c>
      <c r="Q22" s="534" t="str">
        <f aca="true" t="shared" si="7" ref="Q22:Q41">IF(AND(K22&gt;10,L22="F"),G22*$J$16*IF(K22&gt;180,3,ROUND(K22/60,2)),"--")</f>
        <v>--</v>
      </c>
      <c r="R22" s="535" t="str">
        <f aca="true" t="shared" si="8" ref="R22:R41">IF(AND(K22&gt;180,L22="F"),(ROUND(K22/60,2)-3)*G22*$J$16*0.1,"--")</f>
        <v>--</v>
      </c>
      <c r="S22" s="536" t="str">
        <f aca="true" t="shared" si="9" ref="S22:S41">IF(L22="R",G22*$J$16*M22/100,"--")</f>
        <v>--</v>
      </c>
      <c r="T22" s="537" t="str">
        <f aca="true" t="shared" si="10" ref="T22:T41">IF(AND(K22&gt;10,L22="R"),G22*$J$16*M22/100*IF(K22&gt;180,3,ROUND(K22/60,2)),"--")</f>
        <v>--</v>
      </c>
      <c r="U22" s="538" t="str">
        <f aca="true" t="shared" si="11" ref="U22:U41">IF(AND(K22&gt;180,L22="R"),(ROUND(K22/60,2)-3)*M22/100*G22*$J$16*0.1,"--")</f>
        <v>--</v>
      </c>
      <c r="V22" s="539" t="str">
        <f aca="true" t="shared" si="12" ref="V22:V41">IF(L22="RF",ROUND(K22/60,2)*G22*$J$16*0.1,"--")</f>
        <v>--</v>
      </c>
      <c r="W22" s="540" t="str">
        <f aca="true" t="shared" si="13" ref="W22:W41">IF(L22="RR",ROUND(K22/60,2)*M22/100*G22*$J$16*0.1,"--")</f>
        <v>--</v>
      </c>
      <c r="X22" s="541" t="str">
        <f aca="true" t="shared" si="14" ref="X22:X41">IF(D22="","","SI")</f>
        <v>SI</v>
      </c>
      <c r="Y22" s="55">
        <f aca="true" t="shared" si="15" ref="Y22:Y41">IF(D22="","",SUM(N22:W22)*IF(X22="SI",1,2))</f>
        <v>2748.19776</v>
      </c>
      <c r="Z22" s="3"/>
      <c r="AB22" s="817">
        <f>+Y22*AD19/E16</f>
        <v>3628.5542400000004</v>
      </c>
    </row>
    <row r="23" spans="1:26" ht="16.5" customHeight="1">
      <c r="A23" s="1"/>
      <c r="B23" s="2"/>
      <c r="C23" s="51"/>
      <c r="D23" s="51"/>
      <c r="E23" s="742"/>
      <c r="F23" s="742"/>
      <c r="G23" s="277">
        <f t="shared" si="0"/>
        <v>12.33925</v>
      </c>
      <c r="H23" s="528"/>
      <c r="I23" s="528"/>
      <c r="J23" s="13">
        <f t="shared" si="1"/>
      </c>
      <c r="K23" s="14">
        <f t="shared" si="2"/>
      </c>
      <c r="L23" s="529"/>
      <c r="M23" s="530">
        <f t="shared" si="3"/>
      </c>
      <c r="N23" s="531" t="str">
        <f t="shared" si="4"/>
        <v>--</v>
      </c>
      <c r="O23" s="532" t="str">
        <f t="shared" si="5"/>
        <v>--</v>
      </c>
      <c r="P23" s="533" t="str">
        <f t="shared" si="6"/>
        <v>--</v>
      </c>
      <c r="Q23" s="534" t="str">
        <f t="shared" si="7"/>
        <v>--</v>
      </c>
      <c r="R23" s="535" t="str">
        <f t="shared" si="8"/>
        <v>--</v>
      </c>
      <c r="S23" s="536" t="str">
        <f t="shared" si="9"/>
        <v>--</v>
      </c>
      <c r="T23" s="537" t="str">
        <f t="shared" si="10"/>
        <v>--</v>
      </c>
      <c r="U23" s="538" t="str">
        <f t="shared" si="11"/>
        <v>--</v>
      </c>
      <c r="V23" s="539" t="str">
        <f t="shared" si="12"/>
        <v>--</v>
      </c>
      <c r="W23" s="540" t="str">
        <f t="shared" si="13"/>
        <v>--</v>
      </c>
      <c r="X23" s="541">
        <f t="shared" si="14"/>
      </c>
      <c r="Y23" s="55">
        <f t="shared" si="15"/>
      </c>
      <c r="Z23" s="3"/>
    </row>
    <row r="24" spans="1:26" ht="16.5" customHeight="1">
      <c r="A24" s="1"/>
      <c r="B24" s="2"/>
      <c r="C24" s="520"/>
      <c r="D24" s="521"/>
      <c r="E24" s="522"/>
      <c r="F24" s="523"/>
      <c r="G24" s="277">
        <f t="shared" si="0"/>
        <v>12.33925</v>
      </c>
      <c r="H24" s="528"/>
      <c r="I24" s="528"/>
      <c r="J24" s="13">
        <f t="shared" si="1"/>
      </c>
      <c r="K24" s="14">
        <f t="shared" si="2"/>
      </c>
      <c r="L24" s="529"/>
      <c r="M24" s="530">
        <f t="shared" si="3"/>
      </c>
      <c r="N24" s="531" t="str">
        <f t="shared" si="4"/>
        <v>--</v>
      </c>
      <c r="O24" s="532" t="str">
        <f t="shared" si="5"/>
        <v>--</v>
      </c>
      <c r="P24" s="533" t="str">
        <f t="shared" si="6"/>
        <v>--</v>
      </c>
      <c r="Q24" s="534" t="str">
        <f t="shared" si="7"/>
        <v>--</v>
      </c>
      <c r="R24" s="535" t="str">
        <f t="shared" si="8"/>
        <v>--</v>
      </c>
      <c r="S24" s="536" t="str">
        <f t="shared" si="9"/>
        <v>--</v>
      </c>
      <c r="T24" s="537" t="str">
        <f t="shared" si="10"/>
        <v>--</v>
      </c>
      <c r="U24" s="538" t="str">
        <f t="shared" si="11"/>
        <v>--</v>
      </c>
      <c r="V24" s="539" t="str">
        <f t="shared" si="12"/>
        <v>--</v>
      </c>
      <c r="W24" s="540" t="str">
        <f t="shared" si="13"/>
        <v>--</v>
      </c>
      <c r="X24" s="541">
        <f t="shared" si="14"/>
      </c>
      <c r="Y24" s="55">
        <f t="shared" si="15"/>
      </c>
      <c r="Z24" s="3"/>
    </row>
    <row r="25" spans="1:26" ht="16.5" customHeight="1">
      <c r="A25" s="1"/>
      <c r="B25" s="2"/>
      <c r="C25" s="520"/>
      <c r="D25" s="521"/>
      <c r="E25" s="522"/>
      <c r="F25" s="523"/>
      <c r="G25" s="277">
        <f t="shared" si="0"/>
        <v>12.33925</v>
      </c>
      <c r="H25" s="528"/>
      <c r="I25" s="528"/>
      <c r="J25" s="13">
        <f t="shared" si="1"/>
      </c>
      <c r="K25" s="14">
        <f t="shared" si="2"/>
      </c>
      <c r="L25" s="529"/>
      <c r="M25" s="530">
        <f t="shared" si="3"/>
      </c>
      <c r="N25" s="531" t="str">
        <f t="shared" si="4"/>
        <v>--</v>
      </c>
      <c r="O25" s="532" t="str">
        <f t="shared" si="5"/>
        <v>--</v>
      </c>
      <c r="P25" s="533" t="str">
        <f t="shared" si="6"/>
        <v>--</v>
      </c>
      <c r="Q25" s="534" t="str">
        <f t="shared" si="7"/>
        <v>--</v>
      </c>
      <c r="R25" s="535" t="str">
        <f t="shared" si="8"/>
        <v>--</v>
      </c>
      <c r="S25" s="536" t="str">
        <f t="shared" si="9"/>
        <v>--</v>
      </c>
      <c r="T25" s="537" t="str">
        <f t="shared" si="10"/>
        <v>--</v>
      </c>
      <c r="U25" s="538" t="str">
        <f t="shared" si="11"/>
        <v>--</v>
      </c>
      <c r="V25" s="539" t="str">
        <f t="shared" si="12"/>
        <v>--</v>
      </c>
      <c r="W25" s="540" t="str">
        <f t="shared" si="13"/>
        <v>--</v>
      </c>
      <c r="X25" s="541">
        <f t="shared" si="14"/>
      </c>
      <c r="Y25" s="55">
        <f t="shared" si="15"/>
      </c>
      <c r="Z25" s="3"/>
    </row>
    <row r="26" spans="1:26" ht="16.5" customHeight="1">
      <c r="A26" s="1"/>
      <c r="B26" s="2"/>
      <c r="C26" s="520"/>
      <c r="D26" s="521"/>
      <c r="E26" s="522"/>
      <c r="F26" s="523"/>
      <c r="G26" s="277">
        <f t="shared" si="0"/>
        <v>12.33925</v>
      </c>
      <c r="H26" s="528"/>
      <c r="I26" s="528"/>
      <c r="J26" s="13">
        <f t="shared" si="1"/>
      </c>
      <c r="K26" s="14">
        <f t="shared" si="2"/>
      </c>
      <c r="L26" s="529"/>
      <c r="M26" s="530">
        <f t="shared" si="3"/>
      </c>
      <c r="N26" s="531" t="str">
        <f t="shared" si="4"/>
        <v>--</v>
      </c>
      <c r="O26" s="532" t="str">
        <f t="shared" si="5"/>
        <v>--</v>
      </c>
      <c r="P26" s="533" t="str">
        <f t="shared" si="6"/>
        <v>--</v>
      </c>
      <c r="Q26" s="534" t="str">
        <f t="shared" si="7"/>
        <v>--</v>
      </c>
      <c r="R26" s="535" t="str">
        <f t="shared" si="8"/>
        <v>--</v>
      </c>
      <c r="S26" s="536" t="str">
        <f t="shared" si="9"/>
        <v>--</v>
      </c>
      <c r="T26" s="537" t="str">
        <f t="shared" si="10"/>
        <v>--</v>
      </c>
      <c r="U26" s="538" t="str">
        <f t="shared" si="11"/>
        <v>--</v>
      </c>
      <c r="V26" s="539" t="str">
        <f t="shared" si="12"/>
        <v>--</v>
      </c>
      <c r="W26" s="540" t="str">
        <f t="shared" si="13"/>
        <v>--</v>
      </c>
      <c r="X26" s="541">
        <f t="shared" si="14"/>
      </c>
      <c r="Y26" s="55">
        <f t="shared" si="15"/>
      </c>
      <c r="Z26" s="3"/>
    </row>
    <row r="27" spans="1:26" ht="16.5" customHeight="1">
      <c r="A27" s="1"/>
      <c r="B27" s="2"/>
      <c r="C27" s="520"/>
      <c r="D27" s="521"/>
      <c r="E27" s="522"/>
      <c r="F27" s="523"/>
      <c r="G27" s="277">
        <f t="shared" si="0"/>
        <v>12.33925</v>
      </c>
      <c r="H27" s="528"/>
      <c r="I27" s="528"/>
      <c r="J27" s="13">
        <f t="shared" si="1"/>
      </c>
      <c r="K27" s="14">
        <f t="shared" si="2"/>
      </c>
      <c r="L27" s="529"/>
      <c r="M27" s="530">
        <f t="shared" si="3"/>
      </c>
      <c r="N27" s="531" t="str">
        <f t="shared" si="4"/>
        <v>--</v>
      </c>
      <c r="O27" s="532" t="str">
        <f t="shared" si="5"/>
        <v>--</v>
      </c>
      <c r="P27" s="533" t="str">
        <f t="shared" si="6"/>
        <v>--</v>
      </c>
      <c r="Q27" s="534" t="str">
        <f t="shared" si="7"/>
        <v>--</v>
      </c>
      <c r="R27" s="535" t="str">
        <f t="shared" si="8"/>
        <v>--</v>
      </c>
      <c r="S27" s="536" t="str">
        <f t="shared" si="9"/>
        <v>--</v>
      </c>
      <c r="T27" s="537" t="str">
        <f t="shared" si="10"/>
        <v>--</v>
      </c>
      <c r="U27" s="538" t="str">
        <f t="shared" si="11"/>
        <v>--</v>
      </c>
      <c r="V27" s="539" t="str">
        <f t="shared" si="12"/>
        <v>--</v>
      </c>
      <c r="W27" s="540" t="str">
        <f t="shared" si="13"/>
        <v>--</v>
      </c>
      <c r="X27" s="541">
        <f t="shared" si="14"/>
      </c>
      <c r="Y27" s="55">
        <f t="shared" si="15"/>
      </c>
      <c r="Z27" s="3"/>
    </row>
    <row r="28" spans="1:26" ht="16.5" customHeight="1">
      <c r="A28" s="1"/>
      <c r="B28" s="2"/>
      <c r="C28" s="520"/>
      <c r="D28" s="521"/>
      <c r="E28" s="522"/>
      <c r="F28" s="523"/>
      <c r="G28" s="277">
        <f t="shared" si="0"/>
        <v>12.33925</v>
      </c>
      <c r="H28" s="528"/>
      <c r="I28" s="528"/>
      <c r="J28" s="13">
        <f t="shared" si="1"/>
      </c>
      <c r="K28" s="14">
        <f t="shared" si="2"/>
      </c>
      <c r="L28" s="529"/>
      <c r="M28" s="530">
        <f t="shared" si="3"/>
      </c>
      <c r="N28" s="531" t="str">
        <f t="shared" si="4"/>
        <v>--</v>
      </c>
      <c r="O28" s="532" t="str">
        <f t="shared" si="5"/>
        <v>--</v>
      </c>
      <c r="P28" s="533" t="str">
        <f t="shared" si="6"/>
        <v>--</v>
      </c>
      <c r="Q28" s="534" t="str">
        <f t="shared" si="7"/>
        <v>--</v>
      </c>
      <c r="R28" s="535" t="str">
        <f t="shared" si="8"/>
        <v>--</v>
      </c>
      <c r="S28" s="536" t="str">
        <f t="shared" si="9"/>
        <v>--</v>
      </c>
      <c r="T28" s="537" t="str">
        <f t="shared" si="10"/>
        <v>--</v>
      </c>
      <c r="U28" s="538" t="str">
        <f t="shared" si="11"/>
        <v>--</v>
      </c>
      <c r="V28" s="539" t="str">
        <f t="shared" si="12"/>
        <v>--</v>
      </c>
      <c r="W28" s="540" t="str">
        <f t="shared" si="13"/>
        <v>--</v>
      </c>
      <c r="X28" s="541">
        <f t="shared" si="14"/>
      </c>
      <c r="Y28" s="55">
        <f t="shared" si="15"/>
      </c>
      <c r="Z28" s="3"/>
    </row>
    <row r="29" spans="1:26" ht="16.5" customHeight="1">
      <c r="A29" s="1"/>
      <c r="B29" s="2"/>
      <c r="C29" s="520"/>
      <c r="D29" s="521"/>
      <c r="E29" s="522"/>
      <c r="F29" s="523"/>
      <c r="G29" s="277">
        <f t="shared" si="0"/>
        <v>12.33925</v>
      </c>
      <c r="H29" s="528"/>
      <c r="I29" s="528"/>
      <c r="J29" s="13">
        <f t="shared" si="1"/>
      </c>
      <c r="K29" s="14">
        <f t="shared" si="2"/>
      </c>
      <c r="L29" s="529"/>
      <c r="M29" s="530">
        <f t="shared" si="3"/>
      </c>
      <c r="N29" s="531" t="str">
        <f t="shared" si="4"/>
        <v>--</v>
      </c>
      <c r="O29" s="532" t="str">
        <f t="shared" si="5"/>
        <v>--</v>
      </c>
      <c r="P29" s="533" t="str">
        <f t="shared" si="6"/>
        <v>--</v>
      </c>
      <c r="Q29" s="534" t="str">
        <f t="shared" si="7"/>
        <v>--</v>
      </c>
      <c r="R29" s="535" t="str">
        <f t="shared" si="8"/>
        <v>--</v>
      </c>
      <c r="S29" s="536" t="str">
        <f t="shared" si="9"/>
        <v>--</v>
      </c>
      <c r="T29" s="537" t="str">
        <f t="shared" si="10"/>
        <v>--</v>
      </c>
      <c r="U29" s="538" t="str">
        <f t="shared" si="11"/>
        <v>--</v>
      </c>
      <c r="V29" s="539" t="str">
        <f t="shared" si="12"/>
        <v>--</v>
      </c>
      <c r="W29" s="540" t="str">
        <f t="shared" si="13"/>
        <v>--</v>
      </c>
      <c r="X29" s="541">
        <f t="shared" si="14"/>
      </c>
      <c r="Y29" s="55">
        <f t="shared" si="15"/>
      </c>
      <c r="Z29" s="3"/>
    </row>
    <row r="30" spans="1:26" ht="16.5" customHeight="1">
      <c r="A30" s="1"/>
      <c r="B30" s="2"/>
      <c r="C30" s="520"/>
      <c r="D30" s="521"/>
      <c r="E30" s="522"/>
      <c r="F30" s="523"/>
      <c r="G30" s="277">
        <f t="shared" si="0"/>
        <v>12.33925</v>
      </c>
      <c r="H30" s="528"/>
      <c r="I30" s="528"/>
      <c r="J30" s="13">
        <f t="shared" si="1"/>
      </c>
      <c r="K30" s="14">
        <f t="shared" si="2"/>
      </c>
      <c r="L30" s="529"/>
      <c r="M30" s="530">
        <f t="shared" si="3"/>
      </c>
      <c r="N30" s="531" t="str">
        <f t="shared" si="4"/>
        <v>--</v>
      </c>
      <c r="O30" s="532" t="str">
        <f t="shared" si="5"/>
        <v>--</v>
      </c>
      <c r="P30" s="533" t="str">
        <f t="shared" si="6"/>
        <v>--</v>
      </c>
      <c r="Q30" s="534" t="str">
        <f t="shared" si="7"/>
        <v>--</v>
      </c>
      <c r="R30" s="535" t="str">
        <f t="shared" si="8"/>
        <v>--</v>
      </c>
      <c r="S30" s="536" t="str">
        <f t="shared" si="9"/>
        <v>--</v>
      </c>
      <c r="T30" s="537" t="str">
        <f t="shared" si="10"/>
        <v>--</v>
      </c>
      <c r="U30" s="538" t="str">
        <f t="shared" si="11"/>
        <v>--</v>
      </c>
      <c r="V30" s="539" t="str">
        <f t="shared" si="12"/>
        <v>--</v>
      </c>
      <c r="W30" s="540" t="str">
        <f t="shared" si="13"/>
        <v>--</v>
      </c>
      <c r="X30" s="541">
        <f t="shared" si="14"/>
      </c>
      <c r="Y30" s="55">
        <f t="shared" si="15"/>
      </c>
      <c r="Z30" s="3"/>
    </row>
    <row r="31" spans="1:26" ht="16.5" customHeight="1">
      <c r="A31" s="1"/>
      <c r="B31" s="2"/>
      <c r="C31" s="520"/>
      <c r="D31" s="521"/>
      <c r="E31" s="522"/>
      <c r="F31" s="523"/>
      <c r="G31" s="277">
        <f t="shared" si="0"/>
        <v>12.33925</v>
      </c>
      <c r="H31" s="528"/>
      <c r="I31" s="528"/>
      <c r="J31" s="13">
        <f t="shared" si="1"/>
      </c>
      <c r="K31" s="14">
        <f t="shared" si="2"/>
      </c>
      <c r="L31" s="529"/>
      <c r="M31" s="530">
        <f t="shared" si="3"/>
      </c>
      <c r="N31" s="531" t="str">
        <f t="shared" si="4"/>
        <v>--</v>
      </c>
      <c r="O31" s="532" t="str">
        <f t="shared" si="5"/>
        <v>--</v>
      </c>
      <c r="P31" s="533" t="str">
        <f t="shared" si="6"/>
        <v>--</v>
      </c>
      <c r="Q31" s="534" t="str">
        <f t="shared" si="7"/>
        <v>--</v>
      </c>
      <c r="R31" s="535" t="str">
        <f t="shared" si="8"/>
        <v>--</v>
      </c>
      <c r="S31" s="536" t="str">
        <f t="shared" si="9"/>
        <v>--</v>
      </c>
      <c r="T31" s="537" t="str">
        <f t="shared" si="10"/>
        <v>--</v>
      </c>
      <c r="U31" s="538" t="str">
        <f t="shared" si="11"/>
        <v>--</v>
      </c>
      <c r="V31" s="539" t="str">
        <f t="shared" si="12"/>
        <v>--</v>
      </c>
      <c r="W31" s="540" t="str">
        <f t="shared" si="13"/>
        <v>--</v>
      </c>
      <c r="X31" s="541">
        <f t="shared" si="14"/>
      </c>
      <c r="Y31" s="55">
        <f t="shared" si="15"/>
      </c>
      <c r="Z31" s="3"/>
    </row>
    <row r="32" spans="1:26" ht="16.5" customHeight="1">
      <c r="A32" s="1"/>
      <c r="B32" s="2"/>
      <c r="C32" s="520"/>
      <c r="D32" s="521"/>
      <c r="E32" s="522"/>
      <c r="F32" s="523"/>
      <c r="G32" s="277">
        <f t="shared" si="0"/>
        <v>12.33925</v>
      </c>
      <c r="H32" s="528"/>
      <c r="I32" s="528"/>
      <c r="J32" s="13">
        <f t="shared" si="1"/>
      </c>
      <c r="K32" s="14">
        <f t="shared" si="2"/>
      </c>
      <c r="L32" s="529"/>
      <c r="M32" s="530">
        <f t="shared" si="3"/>
      </c>
      <c r="N32" s="531" t="str">
        <f t="shared" si="4"/>
        <v>--</v>
      </c>
      <c r="O32" s="532" t="str">
        <f t="shared" si="5"/>
        <v>--</v>
      </c>
      <c r="P32" s="533" t="str">
        <f t="shared" si="6"/>
        <v>--</v>
      </c>
      <c r="Q32" s="534" t="str">
        <f t="shared" si="7"/>
        <v>--</v>
      </c>
      <c r="R32" s="535" t="str">
        <f t="shared" si="8"/>
        <v>--</v>
      </c>
      <c r="S32" s="536" t="str">
        <f t="shared" si="9"/>
        <v>--</v>
      </c>
      <c r="T32" s="537" t="str">
        <f t="shared" si="10"/>
        <v>--</v>
      </c>
      <c r="U32" s="538" t="str">
        <f t="shared" si="11"/>
        <v>--</v>
      </c>
      <c r="V32" s="539" t="str">
        <f t="shared" si="12"/>
        <v>--</v>
      </c>
      <c r="W32" s="540" t="str">
        <f t="shared" si="13"/>
        <v>--</v>
      </c>
      <c r="X32" s="541">
        <f t="shared" si="14"/>
      </c>
      <c r="Y32" s="55">
        <f t="shared" si="15"/>
      </c>
      <c r="Z32" s="3"/>
    </row>
    <row r="33" spans="1:26" ht="16.5" customHeight="1">
      <c r="A33" s="1"/>
      <c r="B33" s="2"/>
      <c r="C33" s="520"/>
      <c r="D33" s="521"/>
      <c r="E33" s="522"/>
      <c r="F33" s="523"/>
      <c r="G33" s="277">
        <f t="shared" si="0"/>
        <v>12.33925</v>
      </c>
      <c r="H33" s="528"/>
      <c r="I33" s="528"/>
      <c r="J33" s="13">
        <f t="shared" si="1"/>
      </c>
      <c r="K33" s="14">
        <f t="shared" si="2"/>
      </c>
      <c r="L33" s="529"/>
      <c r="M33" s="530">
        <f t="shared" si="3"/>
      </c>
      <c r="N33" s="531" t="str">
        <f t="shared" si="4"/>
        <v>--</v>
      </c>
      <c r="O33" s="532" t="str">
        <f t="shared" si="5"/>
        <v>--</v>
      </c>
      <c r="P33" s="533" t="str">
        <f t="shared" si="6"/>
        <v>--</v>
      </c>
      <c r="Q33" s="534" t="str">
        <f t="shared" si="7"/>
        <v>--</v>
      </c>
      <c r="R33" s="535" t="str">
        <f t="shared" si="8"/>
        <v>--</v>
      </c>
      <c r="S33" s="536" t="str">
        <f t="shared" si="9"/>
        <v>--</v>
      </c>
      <c r="T33" s="537" t="str">
        <f t="shared" si="10"/>
        <v>--</v>
      </c>
      <c r="U33" s="538" t="str">
        <f t="shared" si="11"/>
        <v>--</v>
      </c>
      <c r="V33" s="539" t="str">
        <f t="shared" si="12"/>
        <v>--</v>
      </c>
      <c r="W33" s="540" t="str">
        <f t="shared" si="13"/>
        <v>--</v>
      </c>
      <c r="X33" s="541">
        <f t="shared" si="14"/>
      </c>
      <c r="Y33" s="55">
        <f t="shared" si="15"/>
      </c>
      <c r="Z33" s="3"/>
    </row>
    <row r="34" spans="1:26" ht="16.5" customHeight="1">
      <c r="A34" s="1"/>
      <c r="B34" s="2"/>
      <c r="C34" s="520"/>
      <c r="D34" s="521"/>
      <c r="E34" s="522"/>
      <c r="F34" s="523"/>
      <c r="G34" s="277">
        <f t="shared" si="0"/>
        <v>12.33925</v>
      </c>
      <c r="H34" s="528"/>
      <c r="I34" s="528"/>
      <c r="J34" s="13">
        <f t="shared" si="1"/>
      </c>
      <c r="K34" s="14">
        <f t="shared" si="2"/>
      </c>
      <c r="L34" s="529"/>
      <c r="M34" s="530">
        <f t="shared" si="3"/>
      </c>
      <c r="N34" s="531" t="str">
        <f t="shared" si="4"/>
        <v>--</v>
      </c>
      <c r="O34" s="532" t="str">
        <f t="shared" si="5"/>
        <v>--</v>
      </c>
      <c r="P34" s="533" t="str">
        <f t="shared" si="6"/>
        <v>--</v>
      </c>
      <c r="Q34" s="534" t="str">
        <f t="shared" si="7"/>
        <v>--</v>
      </c>
      <c r="R34" s="535" t="str">
        <f t="shared" si="8"/>
        <v>--</v>
      </c>
      <c r="S34" s="536" t="str">
        <f t="shared" si="9"/>
        <v>--</v>
      </c>
      <c r="T34" s="537" t="str">
        <f t="shared" si="10"/>
        <v>--</v>
      </c>
      <c r="U34" s="538" t="str">
        <f t="shared" si="11"/>
        <v>--</v>
      </c>
      <c r="V34" s="539" t="str">
        <f t="shared" si="12"/>
        <v>--</v>
      </c>
      <c r="W34" s="540" t="str">
        <f t="shared" si="13"/>
        <v>--</v>
      </c>
      <c r="X34" s="541">
        <f t="shared" si="14"/>
      </c>
      <c r="Y34" s="55">
        <f t="shared" si="15"/>
      </c>
      <c r="Z34" s="3"/>
    </row>
    <row r="35" spans="1:26" ht="16.5" customHeight="1">
      <c r="A35" s="1"/>
      <c r="B35" s="2"/>
      <c r="C35" s="520"/>
      <c r="D35" s="521"/>
      <c r="E35" s="522"/>
      <c r="F35" s="523"/>
      <c r="G35" s="277">
        <f t="shared" si="0"/>
        <v>12.33925</v>
      </c>
      <c r="H35" s="528"/>
      <c r="I35" s="528"/>
      <c r="J35" s="13">
        <f t="shared" si="1"/>
      </c>
      <c r="K35" s="14">
        <f t="shared" si="2"/>
      </c>
      <c r="L35" s="529"/>
      <c r="M35" s="530">
        <f t="shared" si="3"/>
      </c>
      <c r="N35" s="531" t="str">
        <f t="shared" si="4"/>
        <v>--</v>
      </c>
      <c r="O35" s="532" t="str">
        <f t="shared" si="5"/>
        <v>--</v>
      </c>
      <c r="P35" s="533" t="str">
        <f t="shared" si="6"/>
        <v>--</v>
      </c>
      <c r="Q35" s="534" t="str">
        <f t="shared" si="7"/>
        <v>--</v>
      </c>
      <c r="R35" s="535" t="str">
        <f t="shared" si="8"/>
        <v>--</v>
      </c>
      <c r="S35" s="536" t="str">
        <f t="shared" si="9"/>
        <v>--</v>
      </c>
      <c r="T35" s="537" t="str">
        <f t="shared" si="10"/>
        <v>--</v>
      </c>
      <c r="U35" s="538" t="str">
        <f t="shared" si="11"/>
        <v>--</v>
      </c>
      <c r="V35" s="539" t="str">
        <f t="shared" si="12"/>
        <v>--</v>
      </c>
      <c r="W35" s="540" t="str">
        <f t="shared" si="13"/>
        <v>--</v>
      </c>
      <c r="X35" s="541">
        <f t="shared" si="14"/>
      </c>
      <c r="Y35" s="55">
        <f t="shared" si="15"/>
      </c>
      <c r="Z35" s="3"/>
    </row>
    <row r="36" spans="1:26" ht="16.5" customHeight="1">
      <c r="A36" s="1"/>
      <c r="B36" s="2"/>
      <c r="C36" s="520"/>
      <c r="D36" s="521"/>
      <c r="E36" s="522"/>
      <c r="F36" s="523"/>
      <c r="G36" s="277">
        <f t="shared" si="0"/>
        <v>12.33925</v>
      </c>
      <c r="H36" s="528"/>
      <c r="I36" s="528"/>
      <c r="J36" s="13">
        <f t="shared" si="1"/>
      </c>
      <c r="K36" s="14">
        <f t="shared" si="2"/>
      </c>
      <c r="L36" s="529"/>
      <c r="M36" s="530">
        <f t="shared" si="3"/>
      </c>
      <c r="N36" s="531" t="str">
        <f t="shared" si="4"/>
        <v>--</v>
      </c>
      <c r="O36" s="532" t="str">
        <f t="shared" si="5"/>
        <v>--</v>
      </c>
      <c r="P36" s="533" t="str">
        <f t="shared" si="6"/>
        <v>--</v>
      </c>
      <c r="Q36" s="534" t="str">
        <f t="shared" si="7"/>
        <v>--</v>
      </c>
      <c r="R36" s="535" t="str">
        <f t="shared" si="8"/>
        <v>--</v>
      </c>
      <c r="S36" s="536" t="str">
        <f t="shared" si="9"/>
        <v>--</v>
      </c>
      <c r="T36" s="537" t="str">
        <f t="shared" si="10"/>
        <v>--</v>
      </c>
      <c r="U36" s="538" t="str">
        <f t="shared" si="11"/>
        <v>--</v>
      </c>
      <c r="V36" s="539" t="str">
        <f t="shared" si="12"/>
        <v>--</v>
      </c>
      <c r="W36" s="540" t="str">
        <f t="shared" si="13"/>
        <v>--</v>
      </c>
      <c r="X36" s="541">
        <f t="shared" si="14"/>
      </c>
      <c r="Y36" s="55">
        <f t="shared" si="15"/>
      </c>
      <c r="Z36" s="3"/>
    </row>
    <row r="37" spans="1:26" ht="16.5" customHeight="1">
      <c r="A37" s="1"/>
      <c r="B37" s="2"/>
      <c r="C37" s="520"/>
      <c r="D37" s="521"/>
      <c r="E37" s="522"/>
      <c r="F37" s="523"/>
      <c r="G37" s="277">
        <f t="shared" si="0"/>
        <v>12.33925</v>
      </c>
      <c r="H37" s="528"/>
      <c r="I37" s="528"/>
      <c r="J37" s="13">
        <f t="shared" si="1"/>
      </c>
      <c r="K37" s="14">
        <f t="shared" si="2"/>
      </c>
      <c r="L37" s="529"/>
      <c r="M37" s="530">
        <f t="shared" si="3"/>
      </c>
      <c r="N37" s="531" t="str">
        <f t="shared" si="4"/>
        <v>--</v>
      </c>
      <c r="O37" s="532" t="str">
        <f t="shared" si="5"/>
        <v>--</v>
      </c>
      <c r="P37" s="533" t="str">
        <f t="shared" si="6"/>
        <v>--</v>
      </c>
      <c r="Q37" s="534" t="str">
        <f t="shared" si="7"/>
        <v>--</v>
      </c>
      <c r="R37" s="535" t="str">
        <f t="shared" si="8"/>
        <v>--</v>
      </c>
      <c r="S37" s="536" t="str">
        <f t="shared" si="9"/>
        <v>--</v>
      </c>
      <c r="T37" s="537" t="str">
        <f t="shared" si="10"/>
        <v>--</v>
      </c>
      <c r="U37" s="538" t="str">
        <f t="shared" si="11"/>
        <v>--</v>
      </c>
      <c r="V37" s="539" t="str">
        <f t="shared" si="12"/>
        <v>--</v>
      </c>
      <c r="W37" s="540" t="str">
        <f t="shared" si="13"/>
        <v>--</v>
      </c>
      <c r="X37" s="541">
        <f t="shared" si="14"/>
      </c>
      <c r="Y37" s="55">
        <f t="shared" si="15"/>
      </c>
      <c r="Z37" s="3"/>
    </row>
    <row r="38" spans="2:26" ht="16.5" customHeight="1">
      <c r="B38" s="56"/>
      <c r="C38" s="520"/>
      <c r="D38" s="521"/>
      <c r="E38" s="522"/>
      <c r="F38" s="523"/>
      <c r="G38" s="277">
        <f t="shared" si="0"/>
        <v>12.33925</v>
      </c>
      <c r="H38" s="528"/>
      <c r="I38" s="528"/>
      <c r="J38" s="13">
        <f t="shared" si="1"/>
      </c>
      <c r="K38" s="14">
        <f t="shared" si="2"/>
      </c>
      <c r="L38" s="529"/>
      <c r="M38" s="530">
        <f t="shared" si="3"/>
      </c>
      <c r="N38" s="531" t="str">
        <f t="shared" si="4"/>
        <v>--</v>
      </c>
      <c r="O38" s="532" t="str">
        <f t="shared" si="5"/>
        <v>--</v>
      </c>
      <c r="P38" s="533" t="str">
        <f t="shared" si="6"/>
        <v>--</v>
      </c>
      <c r="Q38" s="534" t="str">
        <f t="shared" si="7"/>
        <v>--</v>
      </c>
      <c r="R38" s="535" t="str">
        <f t="shared" si="8"/>
        <v>--</v>
      </c>
      <c r="S38" s="536" t="str">
        <f t="shared" si="9"/>
        <v>--</v>
      </c>
      <c r="T38" s="537" t="str">
        <f t="shared" si="10"/>
        <v>--</v>
      </c>
      <c r="U38" s="538" t="str">
        <f t="shared" si="11"/>
        <v>--</v>
      </c>
      <c r="V38" s="539" t="str">
        <f t="shared" si="12"/>
        <v>--</v>
      </c>
      <c r="W38" s="540" t="str">
        <f t="shared" si="13"/>
        <v>--</v>
      </c>
      <c r="X38" s="541">
        <f t="shared" si="14"/>
      </c>
      <c r="Y38" s="55">
        <f t="shared" si="15"/>
      </c>
      <c r="Z38" s="3"/>
    </row>
    <row r="39" spans="2:26" ht="16.5" customHeight="1">
      <c r="B39" s="56"/>
      <c r="C39" s="520"/>
      <c r="D39" s="521"/>
      <c r="E39" s="522"/>
      <c r="F39" s="523"/>
      <c r="G39" s="277">
        <f t="shared" si="0"/>
        <v>12.33925</v>
      </c>
      <c r="H39" s="528"/>
      <c r="I39" s="528"/>
      <c r="J39" s="13">
        <f t="shared" si="1"/>
      </c>
      <c r="K39" s="14">
        <f t="shared" si="2"/>
      </c>
      <c r="L39" s="529"/>
      <c r="M39" s="530">
        <f t="shared" si="3"/>
      </c>
      <c r="N39" s="531" t="str">
        <f t="shared" si="4"/>
        <v>--</v>
      </c>
      <c r="O39" s="532" t="str">
        <f t="shared" si="5"/>
        <v>--</v>
      </c>
      <c r="P39" s="533" t="str">
        <f t="shared" si="6"/>
        <v>--</v>
      </c>
      <c r="Q39" s="534" t="str">
        <f t="shared" si="7"/>
        <v>--</v>
      </c>
      <c r="R39" s="535" t="str">
        <f t="shared" si="8"/>
        <v>--</v>
      </c>
      <c r="S39" s="536" t="str">
        <f t="shared" si="9"/>
        <v>--</v>
      </c>
      <c r="T39" s="537" t="str">
        <f t="shared" si="10"/>
        <v>--</v>
      </c>
      <c r="U39" s="538" t="str">
        <f t="shared" si="11"/>
        <v>--</v>
      </c>
      <c r="V39" s="539" t="str">
        <f t="shared" si="12"/>
        <v>--</v>
      </c>
      <c r="W39" s="540" t="str">
        <f t="shared" si="13"/>
        <v>--</v>
      </c>
      <c r="X39" s="541">
        <f t="shared" si="14"/>
      </c>
      <c r="Y39" s="55">
        <f t="shared" si="15"/>
      </c>
      <c r="Z39" s="3"/>
    </row>
    <row r="40" spans="2:26" ht="16.5" customHeight="1">
      <c r="B40" s="56"/>
      <c r="C40" s="520"/>
      <c r="D40" s="521"/>
      <c r="E40" s="522"/>
      <c r="F40" s="523"/>
      <c r="G40" s="277">
        <f t="shared" si="0"/>
        <v>12.33925</v>
      </c>
      <c r="H40" s="528"/>
      <c r="I40" s="528"/>
      <c r="J40" s="13">
        <f t="shared" si="1"/>
      </c>
      <c r="K40" s="14">
        <f t="shared" si="2"/>
      </c>
      <c r="L40" s="529"/>
      <c r="M40" s="530">
        <f t="shared" si="3"/>
      </c>
      <c r="N40" s="531" t="str">
        <f t="shared" si="4"/>
        <v>--</v>
      </c>
      <c r="O40" s="532" t="str">
        <f t="shared" si="5"/>
        <v>--</v>
      </c>
      <c r="P40" s="533" t="str">
        <f t="shared" si="6"/>
        <v>--</v>
      </c>
      <c r="Q40" s="534" t="str">
        <f t="shared" si="7"/>
        <v>--</v>
      </c>
      <c r="R40" s="535" t="str">
        <f t="shared" si="8"/>
        <v>--</v>
      </c>
      <c r="S40" s="536" t="str">
        <f t="shared" si="9"/>
        <v>--</v>
      </c>
      <c r="T40" s="537" t="str">
        <f t="shared" si="10"/>
        <v>--</v>
      </c>
      <c r="U40" s="538" t="str">
        <f t="shared" si="11"/>
        <v>--</v>
      </c>
      <c r="V40" s="539" t="str">
        <f t="shared" si="12"/>
        <v>--</v>
      </c>
      <c r="W40" s="540" t="str">
        <f t="shared" si="13"/>
        <v>--</v>
      </c>
      <c r="X40" s="541">
        <f t="shared" si="14"/>
      </c>
      <c r="Y40" s="55">
        <f t="shared" si="15"/>
      </c>
      <c r="Z40" s="3"/>
    </row>
    <row r="41" spans="2:26" ht="16.5" customHeight="1">
      <c r="B41" s="56"/>
      <c r="C41" s="520"/>
      <c r="D41" s="521"/>
      <c r="E41" s="522"/>
      <c r="F41" s="523"/>
      <c r="G41" s="277">
        <f t="shared" si="0"/>
        <v>12.33925</v>
      </c>
      <c r="H41" s="528"/>
      <c r="I41" s="528"/>
      <c r="J41" s="13">
        <f t="shared" si="1"/>
      </c>
      <c r="K41" s="14">
        <f t="shared" si="2"/>
      </c>
      <c r="L41" s="529"/>
      <c r="M41" s="530">
        <f t="shared" si="3"/>
      </c>
      <c r="N41" s="531" t="str">
        <f t="shared" si="4"/>
        <v>--</v>
      </c>
      <c r="O41" s="532" t="str">
        <f t="shared" si="5"/>
        <v>--</v>
      </c>
      <c r="P41" s="533" t="str">
        <f t="shared" si="6"/>
        <v>--</v>
      </c>
      <c r="Q41" s="534" t="str">
        <f t="shared" si="7"/>
        <v>--</v>
      </c>
      <c r="R41" s="535" t="str">
        <f t="shared" si="8"/>
        <v>--</v>
      </c>
      <c r="S41" s="536" t="str">
        <f t="shared" si="9"/>
        <v>--</v>
      </c>
      <c r="T41" s="537" t="str">
        <f t="shared" si="10"/>
        <v>--</v>
      </c>
      <c r="U41" s="538" t="str">
        <f t="shared" si="11"/>
        <v>--</v>
      </c>
      <c r="V41" s="539" t="str">
        <f t="shared" si="12"/>
        <v>--</v>
      </c>
      <c r="W41" s="540" t="str">
        <f t="shared" si="13"/>
        <v>--</v>
      </c>
      <c r="X41" s="541">
        <f t="shared" si="14"/>
      </c>
      <c r="Y41" s="55">
        <f t="shared" si="15"/>
      </c>
      <c r="Z41" s="3"/>
    </row>
    <row r="42" spans="1:26" ht="16.5" customHeight="1" thickBot="1">
      <c r="A42" s="1"/>
      <c r="B42" s="2"/>
      <c r="C42" s="524"/>
      <c r="D42" s="525"/>
      <c r="E42" s="526"/>
      <c r="F42" s="527"/>
      <c r="G42" s="278"/>
      <c r="H42" s="527"/>
      <c r="I42" s="527"/>
      <c r="J42" s="15"/>
      <c r="K42" s="15"/>
      <c r="L42" s="527"/>
      <c r="M42" s="542"/>
      <c r="N42" s="543"/>
      <c r="O42" s="544"/>
      <c r="P42" s="545"/>
      <c r="Q42" s="546"/>
      <c r="R42" s="547"/>
      <c r="S42" s="548"/>
      <c r="T42" s="549"/>
      <c r="U42" s="550"/>
      <c r="V42" s="551"/>
      <c r="W42" s="552"/>
      <c r="X42" s="553"/>
      <c r="Y42" s="57"/>
      <c r="Z42" s="3"/>
    </row>
    <row r="43" spans="1:28" ht="16.5" customHeight="1" thickBot="1" thickTop="1">
      <c r="A43" s="1"/>
      <c r="B43" s="2"/>
      <c r="C43" s="249" t="s">
        <v>79</v>
      </c>
      <c r="D43" s="250" t="s">
        <v>177</v>
      </c>
      <c r="E43" s="16"/>
      <c r="F43" s="17"/>
      <c r="G43" s="58"/>
      <c r="H43" s="58"/>
      <c r="I43" s="58"/>
      <c r="J43" s="58"/>
      <c r="K43" s="58"/>
      <c r="L43" s="58"/>
      <c r="M43" s="59"/>
      <c r="N43" s="336">
        <f aca="true" t="shared" si="16" ref="N43:W43">ROUND(SUM(N20:N42),2)</f>
        <v>0</v>
      </c>
      <c r="O43" s="337">
        <f t="shared" si="16"/>
        <v>0</v>
      </c>
      <c r="P43" s="338">
        <f t="shared" si="16"/>
        <v>2748.2</v>
      </c>
      <c r="Q43" s="338">
        <f t="shared" si="16"/>
        <v>0</v>
      </c>
      <c r="R43" s="339">
        <f t="shared" si="16"/>
        <v>0</v>
      </c>
      <c r="S43" s="340">
        <f t="shared" si="16"/>
        <v>0</v>
      </c>
      <c r="T43" s="340">
        <f t="shared" si="16"/>
        <v>0</v>
      </c>
      <c r="U43" s="341">
        <f t="shared" si="16"/>
        <v>0</v>
      </c>
      <c r="V43" s="342">
        <f t="shared" si="16"/>
        <v>0</v>
      </c>
      <c r="W43" s="343">
        <f t="shared" si="16"/>
        <v>0</v>
      </c>
      <c r="X43" s="60"/>
      <c r="Y43" s="248">
        <f>ROUND(SUM(Y20:Y42),2)</f>
        <v>2748.2</v>
      </c>
      <c r="Z43" s="61"/>
      <c r="AB43" s="817">
        <f>SUM(AB22:AB42)</f>
        <v>3628.5542400000004</v>
      </c>
    </row>
    <row r="44" spans="1:26" s="264" customFormat="1" ht="9.75" thickTop="1">
      <c r="A44" s="253"/>
      <c r="B44" s="254"/>
      <c r="C44" s="251"/>
      <c r="D44" s="252"/>
      <c r="E44" s="255"/>
      <c r="F44" s="256"/>
      <c r="G44" s="257"/>
      <c r="H44" s="257"/>
      <c r="I44" s="257"/>
      <c r="J44" s="257"/>
      <c r="K44" s="257"/>
      <c r="L44" s="257"/>
      <c r="M44" s="258"/>
      <c r="N44" s="259"/>
      <c r="O44" s="259"/>
      <c r="P44" s="260"/>
      <c r="Q44" s="260"/>
      <c r="R44" s="261"/>
      <c r="S44" s="261"/>
      <c r="T44" s="261"/>
      <c r="U44" s="261"/>
      <c r="V44" s="261"/>
      <c r="W44" s="261"/>
      <c r="X44" s="261"/>
      <c r="Y44" s="262"/>
      <c r="Z44" s="263"/>
    </row>
    <row r="45" spans="1:26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50"/>
    </row>
    <row r="46" spans="1:26" ht="13.5" thickTop="1">
      <c r="A46" s="1"/>
      <c r="B46" s="1"/>
      <c r="Z46" s="1"/>
    </row>
    <row r="91" spans="1:2" ht="12.75">
      <c r="A91" s="1"/>
      <c r="B91" s="1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Roman,Normal"&amp;8&amp;F-&amp;A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F48"/>
  <sheetViews>
    <sheetView zoomScale="75" zoomScaleNormal="75" workbookViewId="0" topLeftCell="F13">
      <selection activeCell="B12" sqref="B1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140625" style="0" customWidth="1"/>
    <col min="4" max="5" width="25.7109375" style="0" customWidth="1"/>
    <col min="6" max="6" width="7.7109375" style="0" customWidth="1"/>
    <col min="7" max="7" width="12.7109375" style="0" customWidth="1"/>
    <col min="8" max="8" width="11.8515625" style="0" hidden="1" customWidth="1"/>
    <col min="9" max="10" width="15.7109375" style="0" customWidth="1"/>
    <col min="11" max="13" width="9.7109375" style="0" customWidth="1"/>
    <col min="14" max="14" width="5.8515625" style="0" customWidth="1"/>
    <col min="15" max="16" width="7.00390625" style="0" customWidth="1"/>
    <col min="17" max="17" width="11.7109375" style="0" hidden="1" customWidth="1"/>
    <col min="18" max="19" width="14.00390625" style="0" hidden="1" customWidth="1"/>
    <col min="20" max="20" width="14.28125" style="0" hidden="1" customWidth="1"/>
    <col min="21" max="25" width="14.140625" style="0" hidden="1" customWidth="1"/>
    <col min="26" max="26" width="9.00390625" style="0" customWidth="1"/>
    <col min="27" max="28" width="15.7109375" style="0" customWidth="1"/>
  </cols>
  <sheetData>
    <row r="1" spans="1:28" s="108" customFormat="1" ht="26.2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514"/>
    </row>
    <row r="2" spans="1:28" s="108" customFormat="1" ht="26.25">
      <c r="A2" s="171"/>
      <c r="B2" s="109" t="str">
        <f>+'TOT-0806'!B2</f>
        <v>ANEXO VI al Memorándum D.T.E.E. N°  452  /2010</v>
      </c>
      <c r="C2" s="172"/>
      <c r="D2" s="172"/>
      <c r="E2" s="109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</row>
    <row r="3" spans="1:28" s="10" customFormat="1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</row>
    <row r="4" spans="1:28" s="111" customFormat="1" ht="11.25">
      <c r="A4" s="129" t="s">
        <v>28</v>
      </c>
      <c r="B4" s="221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</row>
    <row r="5" spans="1:28" s="111" customFormat="1" ht="11.25">
      <c r="A5" s="129" t="s">
        <v>29</v>
      </c>
      <c r="B5" s="221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</row>
    <row r="6" spans="1:28" s="10" customFormat="1" ht="13.5" thickBo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</row>
    <row r="7" spans="1:28" s="10" customFormat="1" ht="13.5" thickTop="1">
      <c r="A7" s="170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5"/>
    </row>
    <row r="8" spans="1:28" s="113" customFormat="1" ht="20.25">
      <c r="A8" s="191"/>
      <c r="B8" s="192"/>
      <c r="C8" s="178"/>
      <c r="D8" s="21" t="s">
        <v>55</v>
      </c>
      <c r="F8" s="178"/>
      <c r="G8" s="191"/>
      <c r="H8" s="191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93"/>
    </row>
    <row r="9" spans="1:28" s="113" customFormat="1" ht="7.5" customHeight="1">
      <c r="A9" s="191"/>
      <c r="B9" s="192"/>
      <c r="C9" s="178"/>
      <c r="D9" s="21"/>
      <c r="F9" s="178"/>
      <c r="G9" s="191"/>
      <c r="H9" s="191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93"/>
    </row>
    <row r="10" spans="1:28" s="10" customFormat="1" ht="7.5" customHeight="1">
      <c r="A10" s="170"/>
      <c r="B10" s="176"/>
      <c r="C10" s="30"/>
      <c r="D10" s="30"/>
      <c r="E10" s="30"/>
      <c r="F10" s="30"/>
      <c r="G10" s="17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8"/>
    </row>
    <row r="11" spans="1:28" s="113" customFormat="1" ht="20.25">
      <c r="A11" s="191"/>
      <c r="B11" s="192"/>
      <c r="C11" s="178"/>
      <c r="D11" s="220" t="s">
        <v>96</v>
      </c>
      <c r="E11" s="178"/>
      <c r="F11" s="178"/>
      <c r="G11" s="191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93"/>
    </row>
    <row r="12" spans="1:28" s="113" customFormat="1" ht="8.25" customHeight="1">
      <c r="A12" s="191"/>
      <c r="B12" s="192"/>
      <c r="C12" s="178"/>
      <c r="D12" s="220"/>
      <c r="E12" s="178"/>
      <c r="F12" s="178"/>
      <c r="G12" s="191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93"/>
    </row>
    <row r="13" spans="1:28" s="10" customFormat="1" ht="8.25" customHeight="1">
      <c r="A13" s="170"/>
      <c r="B13" s="176"/>
      <c r="C13" s="30"/>
      <c r="D13" s="122"/>
      <c r="E13" s="180"/>
      <c r="F13" s="180"/>
      <c r="G13" s="181"/>
      <c r="H13" s="17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8"/>
    </row>
    <row r="14" spans="1:28" s="120" customFormat="1" ht="19.5">
      <c r="A14" s="197"/>
      <c r="B14" s="87" t="str">
        <f>+'TOT-0806'!B14</f>
        <v>Desde el 01 al 30 de junio de 2008</v>
      </c>
      <c r="C14" s="198"/>
      <c r="D14" s="198"/>
      <c r="E14" s="198"/>
      <c r="F14" s="198"/>
      <c r="G14" s="199"/>
      <c r="H14" s="198"/>
      <c r="I14" s="117"/>
      <c r="J14" s="117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200"/>
    </row>
    <row r="15" spans="1:28" s="94" customFormat="1" ht="8.25" customHeight="1">
      <c r="A15" s="90"/>
      <c r="B15" s="91"/>
      <c r="C15" s="90"/>
      <c r="D15" s="731"/>
      <c r="E15" s="732"/>
      <c r="F15" s="733"/>
      <c r="G15" s="90"/>
      <c r="I15" s="96"/>
      <c r="J15" s="97"/>
      <c r="K15" s="243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3"/>
    </row>
    <row r="16" spans="1:28" s="10" customFormat="1" ht="8.25" customHeight="1" thickBot="1">
      <c r="A16" s="170"/>
      <c r="B16" s="176"/>
      <c r="C16" s="30"/>
      <c r="D16" s="30"/>
      <c r="E16" s="30"/>
      <c r="F16" s="30"/>
      <c r="G16" s="74"/>
      <c r="H16" s="30"/>
      <c r="I16" s="188"/>
      <c r="J16" s="18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8"/>
    </row>
    <row r="17" spans="1:28" s="10" customFormat="1" ht="16.5" customHeight="1" thickBot="1" thickTop="1">
      <c r="A17" s="170"/>
      <c r="B17" s="176"/>
      <c r="C17" s="30"/>
      <c r="D17" s="201" t="s">
        <v>83</v>
      </c>
      <c r="E17" s="202"/>
      <c r="F17" s="203"/>
      <c r="G17" s="204">
        <v>0.172</v>
      </c>
      <c r="H17" s="17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8"/>
    </row>
    <row r="18" spans="1:28" s="10" customFormat="1" ht="16.5" customHeight="1" thickBot="1" thickTop="1">
      <c r="A18" s="170"/>
      <c r="B18" s="176"/>
      <c r="C18" s="30"/>
      <c r="D18" s="205" t="s">
        <v>84</v>
      </c>
      <c r="E18" s="206"/>
      <c r="F18" s="206"/>
      <c r="G18" s="207">
        <f>30*'TOT-0806'!B13</f>
        <v>30</v>
      </c>
      <c r="H18" s="30"/>
      <c r="I18" s="243" t="str">
        <f>IF(G18=30," ",IF(G18=60,"Coeficiente duplicado por tasa de falla &gt;4 Sal. x año/100 km.","REVISAR COEFICIENTE"))</f>
        <v> 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182"/>
      <c r="V18" s="182"/>
      <c r="W18" s="182"/>
      <c r="X18" s="182"/>
      <c r="Y18" s="182"/>
      <c r="Z18" s="182"/>
      <c r="AA18" s="182"/>
      <c r="AB18" s="38"/>
    </row>
    <row r="19" spans="1:28" s="94" customFormat="1" ht="8.25" customHeight="1" thickTop="1">
      <c r="A19" s="90"/>
      <c r="B19" s="91"/>
      <c r="C19" s="90"/>
      <c r="D19" s="731"/>
      <c r="E19" s="732"/>
      <c r="F19" s="733"/>
      <c r="G19" s="90"/>
      <c r="I19" s="96"/>
      <c r="J19" s="97"/>
      <c r="K19" s="243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3"/>
    </row>
    <row r="20" spans="1:28" s="10" customFormat="1" ht="8.25" customHeight="1" thickBot="1">
      <c r="A20" s="170"/>
      <c r="B20" s="176"/>
      <c r="C20" s="30"/>
      <c r="D20" s="30"/>
      <c r="E20" s="30"/>
      <c r="F20" s="30"/>
      <c r="G20" s="37"/>
      <c r="H20" s="30"/>
      <c r="I20" s="183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8"/>
    </row>
    <row r="21" spans="1:32" s="107" customFormat="1" ht="33.75" customHeight="1" thickBot="1" thickTop="1">
      <c r="A21" s="208"/>
      <c r="B21" s="209"/>
      <c r="C21" s="216" t="s">
        <v>61</v>
      </c>
      <c r="D21" s="215" t="s">
        <v>85</v>
      </c>
      <c r="E21" s="211" t="s">
        <v>26</v>
      </c>
      <c r="F21" s="212" t="s">
        <v>86</v>
      </c>
      <c r="G21" s="215" t="s">
        <v>62</v>
      </c>
      <c r="H21" s="274" t="s">
        <v>64</v>
      </c>
      <c r="I21" s="214" t="s">
        <v>87</v>
      </c>
      <c r="J21" s="214" t="s">
        <v>88</v>
      </c>
      <c r="K21" s="215" t="s">
        <v>89</v>
      </c>
      <c r="L21" s="215" t="s">
        <v>90</v>
      </c>
      <c r="M21" s="104" t="s">
        <v>69</v>
      </c>
      <c r="N21" s="216" t="s">
        <v>91</v>
      </c>
      <c r="O21" s="215" t="s">
        <v>92</v>
      </c>
      <c r="P21" s="211" t="s">
        <v>93</v>
      </c>
      <c r="Q21" s="344" t="s">
        <v>94</v>
      </c>
      <c r="R21" s="330" t="s">
        <v>71</v>
      </c>
      <c r="S21" s="354" t="s">
        <v>72</v>
      </c>
      <c r="T21" s="360" t="s">
        <v>95</v>
      </c>
      <c r="U21" s="361"/>
      <c r="V21" s="369" t="s">
        <v>95</v>
      </c>
      <c r="W21" s="370"/>
      <c r="X21" s="378" t="s">
        <v>75</v>
      </c>
      <c r="Y21" s="384" t="s">
        <v>76</v>
      </c>
      <c r="Z21" s="213" t="s">
        <v>77</v>
      </c>
      <c r="AA21" s="213" t="s">
        <v>78</v>
      </c>
      <c r="AB21" s="210"/>
      <c r="AF21" s="107">
        <f>+'SUP-EDERSA'!J18</f>
        <v>0.227</v>
      </c>
    </row>
    <row r="22" spans="1:30" s="10" customFormat="1" ht="16.5" customHeight="1" thickTop="1">
      <c r="A22" s="170"/>
      <c r="B22" s="176"/>
      <c r="C22" s="18"/>
      <c r="D22" s="23"/>
      <c r="E22" s="23"/>
      <c r="F22" s="23"/>
      <c r="G22" s="23"/>
      <c r="H22" s="279"/>
      <c r="I22" s="24"/>
      <c r="J22" s="23"/>
      <c r="K22" s="24"/>
      <c r="L22" s="24"/>
      <c r="M22" s="23"/>
      <c r="N22" s="23"/>
      <c r="O22" s="23"/>
      <c r="P22" s="23"/>
      <c r="Q22" s="345"/>
      <c r="R22" s="349"/>
      <c r="S22" s="355"/>
      <c r="T22" s="362"/>
      <c r="U22" s="363"/>
      <c r="V22" s="371"/>
      <c r="W22" s="372"/>
      <c r="X22" s="379"/>
      <c r="Y22" s="385"/>
      <c r="Z22" s="23"/>
      <c r="AA22" s="62"/>
      <c r="AB22" s="38"/>
      <c r="AD22" s="10" t="s">
        <v>198</v>
      </c>
    </row>
    <row r="23" spans="1:28" s="10" customFormat="1" ht="16.5" customHeight="1">
      <c r="A23" s="170"/>
      <c r="B23" s="176"/>
      <c r="C23" s="18"/>
      <c r="D23" s="19"/>
      <c r="E23" s="19"/>
      <c r="F23" s="19"/>
      <c r="G23" s="19"/>
      <c r="H23" s="280"/>
      <c r="I23" s="20"/>
      <c r="J23" s="19"/>
      <c r="K23" s="20"/>
      <c r="L23" s="20"/>
      <c r="M23" s="19"/>
      <c r="N23" s="19"/>
      <c r="O23" s="19"/>
      <c r="P23" s="19"/>
      <c r="Q23" s="346"/>
      <c r="R23" s="350"/>
      <c r="S23" s="356"/>
      <c r="T23" s="364"/>
      <c r="U23" s="365"/>
      <c r="V23" s="373"/>
      <c r="W23" s="374"/>
      <c r="X23" s="380"/>
      <c r="Y23" s="386"/>
      <c r="Z23" s="19"/>
      <c r="AA23" s="218"/>
      <c r="AB23" s="38"/>
    </row>
    <row r="24" spans="1:30" s="10" customFormat="1" ht="16.5" customHeight="1">
      <c r="A24" s="170"/>
      <c r="B24" s="176"/>
      <c r="C24" s="669">
        <v>9</v>
      </c>
      <c r="D24" s="521" t="s">
        <v>19</v>
      </c>
      <c r="E24" s="520" t="s">
        <v>13</v>
      </c>
      <c r="F24" s="670">
        <v>15</v>
      </c>
      <c r="G24" s="671" t="s">
        <v>9</v>
      </c>
      <c r="H24" s="277">
        <f>F24*$G$17</f>
        <v>2.5799999999999996</v>
      </c>
      <c r="I24" s="673">
        <v>39602.40972222222</v>
      </c>
      <c r="J24" s="673">
        <v>39602.680555555555</v>
      </c>
      <c r="K24" s="26">
        <f>IF(D24="","",(J24-I24)*24)</f>
        <v>6.500000000058208</v>
      </c>
      <c r="L24" s="27">
        <f>IF(D24="","",ROUND((J24-I24)*24*60,0))</f>
        <v>390</v>
      </c>
      <c r="M24" s="674" t="s">
        <v>178</v>
      </c>
      <c r="N24" s="674" t="str">
        <f>IF(D24="","",IF(OR(M24="P",M24="RP"),"--","NO"))</f>
        <v>--</v>
      </c>
      <c r="O24" s="675" t="str">
        <f>IF(D24="","","--")</f>
        <v>--</v>
      </c>
      <c r="P24" s="674" t="str">
        <f>IF(D24="","","NO")</f>
        <v>NO</v>
      </c>
      <c r="Q24" s="347">
        <f>$G$18*IF(OR(M24="P",M24="RP"),0.1,1)*IF(P24="SI",1,0.1)</f>
        <v>0.30000000000000004</v>
      </c>
      <c r="R24" s="351">
        <f>IF(M24="P",H24*Q24*ROUND(L24/60,2),"--")</f>
        <v>5.031000000000001</v>
      </c>
      <c r="S24" s="357" t="str">
        <f>IF(M24="RP",H24*Q24*ROUND(L24/60,2)*O24/100,"--")</f>
        <v>--</v>
      </c>
      <c r="T24" s="366" t="str">
        <f>IF(AND(M24="F",N24="NO"),H24*Q24,"--")</f>
        <v>--</v>
      </c>
      <c r="U24" s="367" t="str">
        <f>IF(M24="F",H24*Q24*ROUND(L24/60,2),"--")</f>
        <v>--</v>
      </c>
      <c r="V24" s="375" t="str">
        <f>IF(AND(M24="R",N24="NO"),H24*Q24*O24/100,"--")</f>
        <v>--</v>
      </c>
      <c r="W24" s="376" t="str">
        <f>IF(M24="R",H24*Q24*ROUND(L24/60,2)*O24/100,"--")</f>
        <v>--</v>
      </c>
      <c r="X24" s="381" t="str">
        <f>IF(M24="RF",H24*Q24*ROUND(L24/60,2),"--")</f>
        <v>--</v>
      </c>
      <c r="Y24" s="387" t="str">
        <f>IF(M24="RR",H24*Q24*ROUND(L24/60,2)*O24/100,"--")</f>
        <v>--</v>
      </c>
      <c r="Z24" s="25" t="str">
        <f>IF(D24="","","SI")</f>
        <v>SI</v>
      </c>
      <c r="AA24" s="63">
        <f>IF(D24="","",SUM(R24:Y24)*IF(Z24="SI",1,2))</f>
        <v>5.031000000000001</v>
      </c>
      <c r="AB24" s="414"/>
      <c r="AD24" s="818">
        <f>+AA24*$AF$21/$G$17</f>
        <v>6.639750000000002</v>
      </c>
    </row>
    <row r="25" spans="1:30" s="10" customFormat="1" ht="16.5" customHeight="1">
      <c r="A25" s="170"/>
      <c r="B25" s="176"/>
      <c r="C25" s="669">
        <v>10</v>
      </c>
      <c r="D25" s="521" t="s">
        <v>16</v>
      </c>
      <c r="E25" s="520" t="s">
        <v>11</v>
      </c>
      <c r="F25" s="670">
        <v>7.5</v>
      </c>
      <c r="G25" s="671" t="s">
        <v>9</v>
      </c>
      <c r="H25" s="277">
        <f aca="true" t="shared" si="0" ref="H25:H43">F25*$G$17</f>
        <v>1.2899999999999998</v>
      </c>
      <c r="I25" s="673">
        <v>39608.46319444444</v>
      </c>
      <c r="J25" s="673">
        <v>39608.55138888889</v>
      </c>
      <c r="K25" s="26">
        <f aca="true" t="shared" si="1" ref="K25:K43">IF(D25="","",(J25-I25)*24)</f>
        <v>2.1166666667559184</v>
      </c>
      <c r="L25" s="27">
        <f aca="true" t="shared" si="2" ref="L25:L43">IF(D25="","",ROUND((J25-I25)*24*60,0))</f>
        <v>127</v>
      </c>
      <c r="M25" s="674" t="s">
        <v>178</v>
      </c>
      <c r="N25" s="674" t="str">
        <f aca="true" t="shared" si="3" ref="N25:N43">IF(D25="","",IF(OR(M25="P",M25="RP"),"--","NO"))</f>
        <v>--</v>
      </c>
      <c r="O25" s="675" t="str">
        <f aca="true" t="shared" si="4" ref="O25:O43">IF(D25="","","--")</f>
        <v>--</v>
      </c>
      <c r="P25" s="674" t="str">
        <f aca="true" t="shared" si="5" ref="P25:P43">IF(D25="","","NO")</f>
        <v>NO</v>
      </c>
      <c r="Q25" s="347">
        <f aca="true" t="shared" si="6" ref="Q25:Q43">$G$18*IF(OR(M25="P",M25="RP"),0.1,1)*IF(P25="SI",1,0.1)</f>
        <v>0.30000000000000004</v>
      </c>
      <c r="R25" s="351">
        <f aca="true" t="shared" si="7" ref="R25:R43">IF(M25="P",H25*Q25*ROUND(L25/60,2),"--")</f>
        <v>0.8204400000000001</v>
      </c>
      <c r="S25" s="357" t="str">
        <f aca="true" t="shared" si="8" ref="S25:S43">IF(M25="RP",H25*Q25*ROUND(L25/60,2)*O25/100,"--")</f>
        <v>--</v>
      </c>
      <c r="T25" s="366" t="str">
        <f aca="true" t="shared" si="9" ref="T25:T43">IF(AND(M25="F",N25="NO"),H25*Q25,"--")</f>
        <v>--</v>
      </c>
      <c r="U25" s="367" t="str">
        <f aca="true" t="shared" si="10" ref="U25:U43">IF(M25="F",H25*Q25*ROUND(L25/60,2),"--")</f>
        <v>--</v>
      </c>
      <c r="V25" s="375" t="str">
        <f aca="true" t="shared" si="11" ref="V25:V43">IF(AND(M25="R",N25="NO"),H25*Q25*O25/100,"--")</f>
        <v>--</v>
      </c>
      <c r="W25" s="376" t="str">
        <f aca="true" t="shared" si="12" ref="W25:W43">IF(M25="R",H25*Q25*ROUND(L25/60,2)*O25/100,"--")</f>
        <v>--</v>
      </c>
      <c r="X25" s="381" t="str">
        <f aca="true" t="shared" si="13" ref="X25:X43">IF(M25="RF",H25*Q25*ROUND(L25/60,2),"--")</f>
        <v>--</v>
      </c>
      <c r="Y25" s="387" t="str">
        <f aca="true" t="shared" si="14" ref="Y25:Y43">IF(M25="RR",H25*Q25*ROUND(L25/60,2)*O25/100,"--")</f>
        <v>--</v>
      </c>
      <c r="Z25" s="25" t="str">
        <f aca="true" t="shared" si="15" ref="Z25:Z43">IF(D25="","","SI")</f>
        <v>SI</v>
      </c>
      <c r="AA25" s="63">
        <f aca="true" t="shared" si="16" ref="AA25:AA43">IF(D25="","",SUM(R25:Y25)*IF(Z25="SI",1,2))</f>
        <v>0.8204400000000001</v>
      </c>
      <c r="AB25" s="414"/>
      <c r="AD25" s="818">
        <f>+AA25*$AF$21/$G$17</f>
        <v>1.0827900000000001</v>
      </c>
    </row>
    <row r="26" spans="1:28" s="10" customFormat="1" ht="16.5" customHeight="1">
      <c r="A26" s="170"/>
      <c r="B26" s="176"/>
      <c r="C26" s="669"/>
      <c r="D26" s="521"/>
      <c r="E26" s="520"/>
      <c r="F26" s="670"/>
      <c r="G26" s="671"/>
      <c r="H26" s="277">
        <f t="shared" si="0"/>
        <v>0</v>
      </c>
      <c r="I26" s="673"/>
      <c r="J26" s="673"/>
      <c r="K26" s="26">
        <f t="shared" si="1"/>
      </c>
      <c r="L26" s="27">
        <f t="shared" si="2"/>
      </c>
      <c r="M26" s="674"/>
      <c r="N26" s="674">
        <f t="shared" si="3"/>
      </c>
      <c r="O26" s="675">
        <f t="shared" si="4"/>
      </c>
      <c r="P26" s="674">
        <f t="shared" si="5"/>
      </c>
      <c r="Q26" s="347">
        <f t="shared" si="6"/>
        <v>3</v>
      </c>
      <c r="R26" s="351" t="str">
        <f t="shared" si="7"/>
        <v>--</v>
      </c>
      <c r="S26" s="357" t="str">
        <f t="shared" si="8"/>
        <v>--</v>
      </c>
      <c r="T26" s="366" t="str">
        <f t="shared" si="9"/>
        <v>--</v>
      </c>
      <c r="U26" s="367" t="str">
        <f t="shared" si="10"/>
        <v>--</v>
      </c>
      <c r="V26" s="375" t="str">
        <f t="shared" si="11"/>
        <v>--</v>
      </c>
      <c r="W26" s="376" t="str">
        <f t="shared" si="12"/>
        <v>--</v>
      </c>
      <c r="X26" s="381" t="str">
        <f t="shared" si="13"/>
        <v>--</v>
      </c>
      <c r="Y26" s="387" t="str">
        <f t="shared" si="14"/>
        <v>--</v>
      </c>
      <c r="Z26" s="25">
        <f t="shared" si="15"/>
      </c>
      <c r="AA26" s="63">
        <f t="shared" si="16"/>
      </c>
      <c r="AB26" s="414"/>
    </row>
    <row r="27" spans="1:28" s="10" customFormat="1" ht="16.5" customHeight="1">
      <c r="A27" s="170"/>
      <c r="B27" s="176"/>
      <c r="C27" s="669"/>
      <c r="D27" s="521"/>
      <c r="E27" s="520"/>
      <c r="F27" s="670"/>
      <c r="G27" s="671"/>
      <c r="H27" s="277">
        <f t="shared" si="0"/>
        <v>0</v>
      </c>
      <c r="I27" s="673"/>
      <c r="J27" s="673"/>
      <c r="K27" s="26">
        <f t="shared" si="1"/>
      </c>
      <c r="L27" s="27">
        <f t="shared" si="2"/>
      </c>
      <c r="M27" s="674"/>
      <c r="N27" s="674">
        <f t="shared" si="3"/>
      </c>
      <c r="O27" s="675">
        <f t="shared" si="4"/>
      </c>
      <c r="P27" s="674">
        <f t="shared" si="5"/>
      </c>
      <c r="Q27" s="347">
        <f t="shared" si="6"/>
        <v>3</v>
      </c>
      <c r="R27" s="351" t="str">
        <f t="shared" si="7"/>
        <v>--</v>
      </c>
      <c r="S27" s="357" t="str">
        <f t="shared" si="8"/>
        <v>--</v>
      </c>
      <c r="T27" s="366" t="str">
        <f t="shared" si="9"/>
        <v>--</v>
      </c>
      <c r="U27" s="367" t="str">
        <f t="shared" si="10"/>
        <v>--</v>
      </c>
      <c r="V27" s="375" t="str">
        <f t="shared" si="11"/>
        <v>--</v>
      </c>
      <c r="W27" s="376" t="str">
        <f t="shared" si="12"/>
        <v>--</v>
      </c>
      <c r="X27" s="381" t="str">
        <f t="shared" si="13"/>
        <v>--</v>
      </c>
      <c r="Y27" s="387" t="str">
        <f t="shared" si="14"/>
        <v>--</v>
      </c>
      <c r="Z27" s="25">
        <f t="shared" si="15"/>
      </c>
      <c r="AA27" s="63">
        <f t="shared" si="16"/>
      </c>
      <c r="AB27" s="414"/>
    </row>
    <row r="28" spans="1:28" s="10" customFormat="1" ht="16.5" customHeight="1">
      <c r="A28" s="170"/>
      <c r="B28" s="176"/>
      <c r="C28" s="669"/>
      <c r="D28" s="521"/>
      <c r="E28" s="520"/>
      <c r="F28" s="670"/>
      <c r="G28" s="671"/>
      <c r="H28" s="277">
        <f t="shared" si="0"/>
        <v>0</v>
      </c>
      <c r="I28" s="673"/>
      <c r="J28" s="673"/>
      <c r="K28" s="26">
        <f t="shared" si="1"/>
      </c>
      <c r="L28" s="27">
        <f t="shared" si="2"/>
      </c>
      <c r="M28" s="674"/>
      <c r="N28" s="674">
        <f t="shared" si="3"/>
      </c>
      <c r="O28" s="675">
        <f t="shared" si="4"/>
      </c>
      <c r="P28" s="674">
        <f t="shared" si="5"/>
      </c>
      <c r="Q28" s="347">
        <f t="shared" si="6"/>
        <v>3</v>
      </c>
      <c r="R28" s="351" t="str">
        <f t="shared" si="7"/>
        <v>--</v>
      </c>
      <c r="S28" s="357" t="str">
        <f t="shared" si="8"/>
        <v>--</v>
      </c>
      <c r="T28" s="366" t="str">
        <f t="shared" si="9"/>
        <v>--</v>
      </c>
      <c r="U28" s="367" t="str">
        <f t="shared" si="10"/>
        <v>--</v>
      </c>
      <c r="V28" s="375" t="str">
        <f t="shared" si="11"/>
        <v>--</v>
      </c>
      <c r="W28" s="376" t="str">
        <f t="shared" si="12"/>
        <v>--</v>
      </c>
      <c r="X28" s="381" t="str">
        <f t="shared" si="13"/>
        <v>--</v>
      </c>
      <c r="Y28" s="387" t="str">
        <f t="shared" si="14"/>
        <v>--</v>
      </c>
      <c r="Z28" s="25">
        <f t="shared" si="15"/>
      </c>
      <c r="AA28" s="63">
        <f t="shared" si="16"/>
      </c>
      <c r="AB28" s="414"/>
    </row>
    <row r="29" spans="1:28" s="10" customFormat="1" ht="16.5" customHeight="1">
      <c r="A29" s="170"/>
      <c r="B29" s="176"/>
      <c r="C29" s="669"/>
      <c r="D29" s="521"/>
      <c r="E29" s="520"/>
      <c r="F29" s="670"/>
      <c r="G29" s="671"/>
      <c r="H29" s="277">
        <f t="shared" si="0"/>
        <v>0</v>
      </c>
      <c r="I29" s="673"/>
      <c r="J29" s="673"/>
      <c r="K29" s="26">
        <f t="shared" si="1"/>
      </c>
      <c r="L29" s="27">
        <f t="shared" si="2"/>
      </c>
      <c r="M29" s="674"/>
      <c r="N29" s="674">
        <f t="shared" si="3"/>
      </c>
      <c r="O29" s="675">
        <f t="shared" si="4"/>
      </c>
      <c r="P29" s="674">
        <f t="shared" si="5"/>
      </c>
      <c r="Q29" s="347">
        <f t="shared" si="6"/>
        <v>3</v>
      </c>
      <c r="R29" s="351" t="str">
        <f t="shared" si="7"/>
        <v>--</v>
      </c>
      <c r="S29" s="357" t="str">
        <f t="shared" si="8"/>
        <v>--</v>
      </c>
      <c r="T29" s="366" t="str">
        <f t="shared" si="9"/>
        <v>--</v>
      </c>
      <c r="U29" s="367" t="str">
        <f t="shared" si="10"/>
        <v>--</v>
      </c>
      <c r="V29" s="375" t="str">
        <f t="shared" si="11"/>
        <v>--</v>
      </c>
      <c r="W29" s="376" t="str">
        <f t="shared" si="12"/>
        <v>--</v>
      </c>
      <c r="X29" s="381" t="str">
        <f t="shared" si="13"/>
        <v>--</v>
      </c>
      <c r="Y29" s="387" t="str">
        <f t="shared" si="14"/>
        <v>--</v>
      </c>
      <c r="Z29" s="25">
        <f t="shared" si="15"/>
      </c>
      <c r="AA29" s="63">
        <f t="shared" si="16"/>
      </c>
      <c r="AB29" s="414"/>
    </row>
    <row r="30" spans="1:28" s="10" customFormat="1" ht="16.5" customHeight="1">
      <c r="A30" s="170"/>
      <c r="B30" s="176"/>
      <c r="C30" s="669"/>
      <c r="D30" s="521"/>
      <c r="E30" s="520"/>
      <c r="F30" s="670"/>
      <c r="G30" s="671"/>
      <c r="H30" s="277">
        <f t="shared" si="0"/>
        <v>0</v>
      </c>
      <c r="I30" s="673"/>
      <c r="J30" s="673"/>
      <c r="K30" s="26">
        <f t="shared" si="1"/>
      </c>
      <c r="L30" s="27">
        <f t="shared" si="2"/>
      </c>
      <c r="M30" s="674"/>
      <c r="N30" s="674">
        <f t="shared" si="3"/>
      </c>
      <c r="O30" s="675">
        <f t="shared" si="4"/>
      </c>
      <c r="P30" s="674">
        <f t="shared" si="5"/>
      </c>
      <c r="Q30" s="347">
        <f t="shared" si="6"/>
        <v>3</v>
      </c>
      <c r="R30" s="351" t="str">
        <f t="shared" si="7"/>
        <v>--</v>
      </c>
      <c r="S30" s="357" t="str">
        <f t="shared" si="8"/>
        <v>--</v>
      </c>
      <c r="T30" s="366" t="str">
        <f t="shared" si="9"/>
        <v>--</v>
      </c>
      <c r="U30" s="367" t="str">
        <f t="shared" si="10"/>
        <v>--</v>
      </c>
      <c r="V30" s="375" t="str">
        <f t="shared" si="11"/>
        <v>--</v>
      </c>
      <c r="W30" s="376" t="str">
        <f t="shared" si="12"/>
        <v>--</v>
      </c>
      <c r="X30" s="381" t="str">
        <f t="shared" si="13"/>
        <v>--</v>
      </c>
      <c r="Y30" s="387" t="str">
        <f t="shared" si="14"/>
        <v>--</v>
      </c>
      <c r="Z30" s="25">
        <f t="shared" si="15"/>
      </c>
      <c r="AA30" s="63">
        <f t="shared" si="16"/>
      </c>
      <c r="AB30" s="38"/>
    </row>
    <row r="31" spans="1:28" s="10" customFormat="1" ht="16.5" customHeight="1">
      <c r="A31" s="170"/>
      <c r="B31" s="176"/>
      <c r="C31" s="669"/>
      <c r="D31" s="521"/>
      <c r="E31" s="520"/>
      <c r="F31" s="670"/>
      <c r="G31" s="671"/>
      <c r="H31" s="277">
        <f t="shared" si="0"/>
        <v>0</v>
      </c>
      <c r="I31" s="673"/>
      <c r="J31" s="673"/>
      <c r="K31" s="26">
        <f t="shared" si="1"/>
      </c>
      <c r="L31" s="27">
        <f t="shared" si="2"/>
      </c>
      <c r="M31" s="674"/>
      <c r="N31" s="674">
        <f t="shared" si="3"/>
      </c>
      <c r="O31" s="675">
        <f t="shared" si="4"/>
      </c>
      <c r="P31" s="674">
        <f t="shared" si="5"/>
      </c>
      <c r="Q31" s="347">
        <f t="shared" si="6"/>
        <v>3</v>
      </c>
      <c r="R31" s="351" t="str">
        <f t="shared" si="7"/>
        <v>--</v>
      </c>
      <c r="S31" s="357" t="str">
        <f t="shared" si="8"/>
        <v>--</v>
      </c>
      <c r="T31" s="366" t="str">
        <f t="shared" si="9"/>
        <v>--</v>
      </c>
      <c r="U31" s="367" t="str">
        <f t="shared" si="10"/>
        <v>--</v>
      </c>
      <c r="V31" s="375" t="str">
        <f t="shared" si="11"/>
        <v>--</v>
      </c>
      <c r="W31" s="376" t="str">
        <f t="shared" si="12"/>
        <v>--</v>
      </c>
      <c r="X31" s="381" t="str">
        <f t="shared" si="13"/>
        <v>--</v>
      </c>
      <c r="Y31" s="387" t="str">
        <f t="shared" si="14"/>
        <v>--</v>
      </c>
      <c r="Z31" s="25">
        <f t="shared" si="15"/>
      </c>
      <c r="AA31" s="63">
        <f t="shared" si="16"/>
      </c>
      <c r="AB31" s="38"/>
    </row>
    <row r="32" spans="1:28" s="10" customFormat="1" ht="16.5" customHeight="1">
      <c r="A32" s="170"/>
      <c r="B32" s="176"/>
      <c r="C32" s="669"/>
      <c r="D32" s="521"/>
      <c r="E32" s="520"/>
      <c r="F32" s="670"/>
      <c r="G32" s="671"/>
      <c r="H32" s="277">
        <f t="shared" si="0"/>
        <v>0</v>
      </c>
      <c r="I32" s="673"/>
      <c r="J32" s="673"/>
      <c r="K32" s="26">
        <f t="shared" si="1"/>
      </c>
      <c r="L32" s="27">
        <f t="shared" si="2"/>
      </c>
      <c r="M32" s="674"/>
      <c r="N32" s="674">
        <f t="shared" si="3"/>
      </c>
      <c r="O32" s="675">
        <f t="shared" si="4"/>
      </c>
      <c r="P32" s="674">
        <f t="shared" si="5"/>
      </c>
      <c r="Q32" s="347">
        <f t="shared" si="6"/>
        <v>3</v>
      </c>
      <c r="R32" s="351" t="str">
        <f t="shared" si="7"/>
        <v>--</v>
      </c>
      <c r="S32" s="357" t="str">
        <f t="shared" si="8"/>
        <v>--</v>
      </c>
      <c r="T32" s="366" t="str">
        <f t="shared" si="9"/>
        <v>--</v>
      </c>
      <c r="U32" s="367" t="str">
        <f t="shared" si="10"/>
        <v>--</v>
      </c>
      <c r="V32" s="375" t="str">
        <f t="shared" si="11"/>
        <v>--</v>
      </c>
      <c r="W32" s="376" t="str">
        <f t="shared" si="12"/>
        <v>--</v>
      </c>
      <c r="X32" s="381" t="str">
        <f t="shared" si="13"/>
        <v>--</v>
      </c>
      <c r="Y32" s="387" t="str">
        <f t="shared" si="14"/>
        <v>--</v>
      </c>
      <c r="Z32" s="25">
        <f t="shared" si="15"/>
      </c>
      <c r="AA32" s="63">
        <f t="shared" si="16"/>
      </c>
      <c r="AB32" s="38"/>
    </row>
    <row r="33" spans="1:28" s="10" customFormat="1" ht="16.5" customHeight="1">
      <c r="A33" s="170"/>
      <c r="B33" s="176"/>
      <c r="C33" s="669"/>
      <c r="D33" s="521"/>
      <c r="E33" s="520"/>
      <c r="F33" s="670"/>
      <c r="G33" s="671"/>
      <c r="H33" s="277">
        <f t="shared" si="0"/>
        <v>0</v>
      </c>
      <c r="I33" s="673"/>
      <c r="J33" s="673"/>
      <c r="K33" s="26">
        <f t="shared" si="1"/>
      </c>
      <c r="L33" s="27">
        <f t="shared" si="2"/>
      </c>
      <c r="M33" s="674"/>
      <c r="N33" s="674">
        <f t="shared" si="3"/>
      </c>
      <c r="O33" s="675">
        <f t="shared" si="4"/>
      </c>
      <c r="P33" s="674">
        <f t="shared" si="5"/>
      </c>
      <c r="Q33" s="347">
        <f t="shared" si="6"/>
        <v>3</v>
      </c>
      <c r="R33" s="351" t="str">
        <f t="shared" si="7"/>
        <v>--</v>
      </c>
      <c r="S33" s="357" t="str">
        <f t="shared" si="8"/>
        <v>--</v>
      </c>
      <c r="T33" s="366" t="str">
        <f t="shared" si="9"/>
        <v>--</v>
      </c>
      <c r="U33" s="367" t="str">
        <f t="shared" si="10"/>
        <v>--</v>
      </c>
      <c r="V33" s="375" t="str">
        <f t="shared" si="11"/>
        <v>--</v>
      </c>
      <c r="W33" s="376" t="str">
        <f t="shared" si="12"/>
        <v>--</v>
      </c>
      <c r="X33" s="381" t="str">
        <f t="shared" si="13"/>
        <v>--</v>
      </c>
      <c r="Y33" s="387" t="str">
        <f t="shared" si="14"/>
        <v>--</v>
      </c>
      <c r="Z33" s="25">
        <f t="shared" si="15"/>
      </c>
      <c r="AA33" s="63">
        <f t="shared" si="16"/>
      </c>
      <c r="AB33" s="38"/>
    </row>
    <row r="34" spans="1:28" s="10" customFormat="1" ht="16.5" customHeight="1">
      <c r="A34" s="170"/>
      <c r="B34" s="176"/>
      <c r="C34" s="669"/>
      <c r="D34" s="521"/>
      <c r="E34" s="520"/>
      <c r="F34" s="670"/>
      <c r="G34" s="671"/>
      <c r="H34" s="277">
        <f t="shared" si="0"/>
        <v>0</v>
      </c>
      <c r="I34" s="673"/>
      <c r="J34" s="673"/>
      <c r="K34" s="26">
        <f t="shared" si="1"/>
      </c>
      <c r="L34" s="27">
        <f t="shared" si="2"/>
      </c>
      <c r="M34" s="674"/>
      <c r="N34" s="674">
        <f t="shared" si="3"/>
      </c>
      <c r="O34" s="675">
        <f t="shared" si="4"/>
      </c>
      <c r="P34" s="674">
        <f t="shared" si="5"/>
      </c>
      <c r="Q34" s="347">
        <f t="shared" si="6"/>
        <v>3</v>
      </c>
      <c r="R34" s="351" t="str">
        <f t="shared" si="7"/>
        <v>--</v>
      </c>
      <c r="S34" s="357" t="str">
        <f t="shared" si="8"/>
        <v>--</v>
      </c>
      <c r="T34" s="366" t="str">
        <f t="shared" si="9"/>
        <v>--</v>
      </c>
      <c r="U34" s="367" t="str">
        <f t="shared" si="10"/>
        <v>--</v>
      </c>
      <c r="V34" s="375" t="str">
        <f t="shared" si="11"/>
        <v>--</v>
      </c>
      <c r="W34" s="376" t="str">
        <f t="shared" si="12"/>
        <v>--</v>
      </c>
      <c r="X34" s="381" t="str">
        <f t="shared" si="13"/>
        <v>--</v>
      </c>
      <c r="Y34" s="387" t="str">
        <f t="shared" si="14"/>
        <v>--</v>
      </c>
      <c r="Z34" s="25">
        <f t="shared" si="15"/>
      </c>
      <c r="AA34" s="63">
        <f t="shared" si="16"/>
      </c>
      <c r="AB34" s="38"/>
    </row>
    <row r="35" spans="1:28" s="10" customFormat="1" ht="16.5" customHeight="1">
      <c r="A35" s="170"/>
      <c r="B35" s="176"/>
      <c r="C35" s="669"/>
      <c r="D35" s="521"/>
      <c r="E35" s="520"/>
      <c r="F35" s="670"/>
      <c r="G35" s="671"/>
      <c r="H35" s="277">
        <f t="shared" si="0"/>
        <v>0</v>
      </c>
      <c r="I35" s="673"/>
      <c r="J35" s="673"/>
      <c r="K35" s="26">
        <f t="shared" si="1"/>
      </c>
      <c r="L35" s="27">
        <f t="shared" si="2"/>
      </c>
      <c r="M35" s="674"/>
      <c r="N35" s="674">
        <f t="shared" si="3"/>
      </c>
      <c r="O35" s="675">
        <f t="shared" si="4"/>
      </c>
      <c r="P35" s="674">
        <f t="shared" si="5"/>
      </c>
      <c r="Q35" s="347">
        <f t="shared" si="6"/>
        <v>3</v>
      </c>
      <c r="R35" s="351" t="str">
        <f t="shared" si="7"/>
        <v>--</v>
      </c>
      <c r="S35" s="357" t="str">
        <f t="shared" si="8"/>
        <v>--</v>
      </c>
      <c r="T35" s="366" t="str">
        <f t="shared" si="9"/>
        <v>--</v>
      </c>
      <c r="U35" s="367" t="str">
        <f t="shared" si="10"/>
        <v>--</v>
      </c>
      <c r="V35" s="375" t="str">
        <f t="shared" si="11"/>
        <v>--</v>
      </c>
      <c r="W35" s="376" t="str">
        <f t="shared" si="12"/>
        <v>--</v>
      </c>
      <c r="X35" s="381" t="str">
        <f t="shared" si="13"/>
        <v>--</v>
      </c>
      <c r="Y35" s="387" t="str">
        <f t="shared" si="14"/>
        <v>--</v>
      </c>
      <c r="Z35" s="25">
        <f t="shared" si="15"/>
      </c>
      <c r="AA35" s="63">
        <f t="shared" si="16"/>
      </c>
      <c r="AB35" s="38"/>
    </row>
    <row r="36" spans="1:28" s="10" customFormat="1" ht="16.5" customHeight="1">
      <c r="A36" s="170"/>
      <c r="B36" s="176"/>
      <c r="C36" s="669"/>
      <c r="D36" s="521"/>
      <c r="E36" s="520"/>
      <c r="F36" s="670"/>
      <c r="G36" s="671"/>
      <c r="H36" s="277">
        <f t="shared" si="0"/>
        <v>0</v>
      </c>
      <c r="I36" s="673"/>
      <c r="J36" s="673"/>
      <c r="K36" s="26">
        <f t="shared" si="1"/>
      </c>
      <c r="L36" s="27">
        <f t="shared" si="2"/>
      </c>
      <c r="M36" s="674"/>
      <c r="N36" s="674">
        <f t="shared" si="3"/>
      </c>
      <c r="O36" s="675">
        <f t="shared" si="4"/>
      </c>
      <c r="P36" s="674">
        <f t="shared" si="5"/>
      </c>
      <c r="Q36" s="347">
        <f t="shared" si="6"/>
        <v>3</v>
      </c>
      <c r="R36" s="351" t="str">
        <f t="shared" si="7"/>
        <v>--</v>
      </c>
      <c r="S36" s="357" t="str">
        <f t="shared" si="8"/>
        <v>--</v>
      </c>
      <c r="T36" s="366" t="str">
        <f t="shared" si="9"/>
        <v>--</v>
      </c>
      <c r="U36" s="367" t="str">
        <f t="shared" si="10"/>
        <v>--</v>
      </c>
      <c r="V36" s="375" t="str">
        <f t="shared" si="11"/>
        <v>--</v>
      </c>
      <c r="W36" s="376" t="str">
        <f t="shared" si="12"/>
        <v>--</v>
      </c>
      <c r="X36" s="381" t="str">
        <f t="shared" si="13"/>
        <v>--</v>
      </c>
      <c r="Y36" s="387" t="str">
        <f t="shared" si="14"/>
        <v>--</v>
      </c>
      <c r="Z36" s="25">
        <f t="shared" si="15"/>
      </c>
      <c r="AA36" s="63">
        <f t="shared" si="16"/>
      </c>
      <c r="AB36" s="38"/>
    </row>
    <row r="37" spans="1:28" s="10" customFormat="1" ht="16.5" customHeight="1">
      <c r="A37" s="170"/>
      <c r="B37" s="176"/>
      <c r="C37" s="669"/>
      <c r="D37" s="521"/>
      <c r="E37" s="520"/>
      <c r="F37" s="670"/>
      <c r="G37" s="671"/>
      <c r="H37" s="277">
        <f t="shared" si="0"/>
        <v>0</v>
      </c>
      <c r="I37" s="673"/>
      <c r="J37" s="673"/>
      <c r="K37" s="26">
        <f t="shared" si="1"/>
      </c>
      <c r="L37" s="27">
        <f t="shared" si="2"/>
      </c>
      <c r="M37" s="674"/>
      <c r="N37" s="674">
        <f t="shared" si="3"/>
      </c>
      <c r="O37" s="675">
        <f t="shared" si="4"/>
      </c>
      <c r="P37" s="674">
        <f t="shared" si="5"/>
      </c>
      <c r="Q37" s="347">
        <f t="shared" si="6"/>
        <v>3</v>
      </c>
      <c r="R37" s="351" t="str">
        <f t="shared" si="7"/>
        <v>--</v>
      </c>
      <c r="S37" s="357" t="str">
        <f t="shared" si="8"/>
        <v>--</v>
      </c>
      <c r="T37" s="366" t="str">
        <f t="shared" si="9"/>
        <v>--</v>
      </c>
      <c r="U37" s="367" t="str">
        <f t="shared" si="10"/>
        <v>--</v>
      </c>
      <c r="V37" s="375" t="str">
        <f t="shared" si="11"/>
        <v>--</v>
      </c>
      <c r="W37" s="376" t="str">
        <f t="shared" si="12"/>
        <v>--</v>
      </c>
      <c r="X37" s="381" t="str">
        <f t="shared" si="13"/>
        <v>--</v>
      </c>
      <c r="Y37" s="387" t="str">
        <f t="shared" si="14"/>
        <v>--</v>
      </c>
      <c r="Z37" s="25">
        <f t="shared" si="15"/>
      </c>
      <c r="AA37" s="63">
        <f t="shared" si="16"/>
      </c>
      <c r="AB37" s="38"/>
    </row>
    <row r="38" spans="1:28" s="10" customFormat="1" ht="16.5" customHeight="1">
      <c r="A38" s="170"/>
      <c r="B38" s="176"/>
      <c r="C38" s="669"/>
      <c r="D38" s="521"/>
      <c r="E38" s="520"/>
      <c r="F38" s="670"/>
      <c r="G38" s="671"/>
      <c r="H38" s="277">
        <f t="shared" si="0"/>
        <v>0</v>
      </c>
      <c r="I38" s="673"/>
      <c r="J38" s="673"/>
      <c r="K38" s="26">
        <f t="shared" si="1"/>
      </c>
      <c r="L38" s="27">
        <f t="shared" si="2"/>
      </c>
      <c r="M38" s="674"/>
      <c r="N38" s="674">
        <f t="shared" si="3"/>
      </c>
      <c r="O38" s="675">
        <f t="shared" si="4"/>
      </c>
      <c r="P38" s="674">
        <f t="shared" si="5"/>
      </c>
      <c r="Q38" s="347">
        <f t="shared" si="6"/>
        <v>3</v>
      </c>
      <c r="R38" s="351" t="str">
        <f t="shared" si="7"/>
        <v>--</v>
      </c>
      <c r="S38" s="357" t="str">
        <f t="shared" si="8"/>
        <v>--</v>
      </c>
      <c r="T38" s="366" t="str">
        <f t="shared" si="9"/>
        <v>--</v>
      </c>
      <c r="U38" s="367" t="str">
        <f t="shared" si="10"/>
        <v>--</v>
      </c>
      <c r="V38" s="375" t="str">
        <f t="shared" si="11"/>
        <v>--</v>
      </c>
      <c r="W38" s="376" t="str">
        <f t="shared" si="12"/>
        <v>--</v>
      </c>
      <c r="X38" s="381" t="str">
        <f t="shared" si="13"/>
        <v>--</v>
      </c>
      <c r="Y38" s="387" t="str">
        <f t="shared" si="14"/>
        <v>--</v>
      </c>
      <c r="Z38" s="25">
        <f t="shared" si="15"/>
      </c>
      <c r="AA38" s="63">
        <f t="shared" si="16"/>
      </c>
      <c r="AB38" s="38"/>
    </row>
    <row r="39" spans="1:28" s="10" customFormat="1" ht="16.5" customHeight="1">
      <c r="A39" s="170"/>
      <c r="B39" s="176"/>
      <c r="C39" s="669"/>
      <c r="D39" s="521"/>
      <c r="E39" s="520"/>
      <c r="F39" s="670"/>
      <c r="G39" s="671"/>
      <c r="H39" s="277">
        <f t="shared" si="0"/>
        <v>0</v>
      </c>
      <c r="I39" s="673"/>
      <c r="J39" s="673"/>
      <c r="K39" s="26">
        <f t="shared" si="1"/>
      </c>
      <c r="L39" s="27">
        <f t="shared" si="2"/>
      </c>
      <c r="M39" s="674"/>
      <c r="N39" s="674">
        <f t="shared" si="3"/>
      </c>
      <c r="O39" s="675">
        <f t="shared" si="4"/>
      </c>
      <c r="P39" s="674">
        <f t="shared" si="5"/>
      </c>
      <c r="Q39" s="347">
        <f t="shared" si="6"/>
        <v>3</v>
      </c>
      <c r="R39" s="351" t="str">
        <f t="shared" si="7"/>
        <v>--</v>
      </c>
      <c r="S39" s="357" t="str">
        <f t="shared" si="8"/>
        <v>--</v>
      </c>
      <c r="T39" s="366" t="str">
        <f t="shared" si="9"/>
        <v>--</v>
      </c>
      <c r="U39" s="367" t="str">
        <f t="shared" si="10"/>
        <v>--</v>
      </c>
      <c r="V39" s="375" t="str">
        <f t="shared" si="11"/>
        <v>--</v>
      </c>
      <c r="W39" s="376" t="str">
        <f t="shared" si="12"/>
        <v>--</v>
      </c>
      <c r="X39" s="381" t="str">
        <f t="shared" si="13"/>
        <v>--</v>
      </c>
      <c r="Y39" s="387" t="str">
        <f t="shared" si="14"/>
        <v>--</v>
      </c>
      <c r="Z39" s="25">
        <f t="shared" si="15"/>
      </c>
      <c r="AA39" s="63">
        <f t="shared" si="16"/>
      </c>
      <c r="AB39" s="38"/>
    </row>
    <row r="40" spans="1:28" s="10" customFormat="1" ht="16.5" customHeight="1">
      <c r="A40" s="170"/>
      <c r="B40" s="176"/>
      <c r="C40" s="669"/>
      <c r="D40" s="521"/>
      <c r="E40" s="520"/>
      <c r="F40" s="670"/>
      <c r="G40" s="671"/>
      <c r="H40" s="277">
        <f t="shared" si="0"/>
        <v>0</v>
      </c>
      <c r="I40" s="673"/>
      <c r="J40" s="673"/>
      <c r="K40" s="26">
        <f t="shared" si="1"/>
      </c>
      <c r="L40" s="27">
        <f t="shared" si="2"/>
      </c>
      <c r="M40" s="674"/>
      <c r="N40" s="674">
        <f t="shared" si="3"/>
      </c>
      <c r="O40" s="675">
        <f t="shared" si="4"/>
      </c>
      <c r="P40" s="674">
        <f t="shared" si="5"/>
      </c>
      <c r="Q40" s="347">
        <f t="shared" si="6"/>
        <v>3</v>
      </c>
      <c r="R40" s="351" t="str">
        <f t="shared" si="7"/>
        <v>--</v>
      </c>
      <c r="S40" s="357" t="str">
        <f t="shared" si="8"/>
        <v>--</v>
      </c>
      <c r="T40" s="366" t="str">
        <f t="shared" si="9"/>
        <v>--</v>
      </c>
      <c r="U40" s="367" t="str">
        <f t="shared" si="10"/>
        <v>--</v>
      </c>
      <c r="V40" s="375" t="str">
        <f t="shared" si="11"/>
        <v>--</v>
      </c>
      <c r="W40" s="376" t="str">
        <f t="shared" si="12"/>
        <v>--</v>
      </c>
      <c r="X40" s="381" t="str">
        <f t="shared" si="13"/>
        <v>--</v>
      </c>
      <c r="Y40" s="387" t="str">
        <f t="shared" si="14"/>
        <v>--</v>
      </c>
      <c r="Z40" s="25">
        <f t="shared" si="15"/>
      </c>
      <c r="AA40" s="63">
        <f t="shared" si="16"/>
      </c>
      <c r="AB40" s="38"/>
    </row>
    <row r="41" spans="1:28" s="10" customFormat="1" ht="16.5" customHeight="1">
      <c r="A41" s="170"/>
      <c r="B41" s="176"/>
      <c r="C41" s="669"/>
      <c r="D41" s="521"/>
      <c r="E41" s="520"/>
      <c r="F41" s="670"/>
      <c r="G41" s="671"/>
      <c r="H41" s="277">
        <f t="shared" si="0"/>
        <v>0</v>
      </c>
      <c r="I41" s="673"/>
      <c r="J41" s="673"/>
      <c r="K41" s="26">
        <f t="shared" si="1"/>
      </c>
      <c r="L41" s="27">
        <f t="shared" si="2"/>
      </c>
      <c r="M41" s="674"/>
      <c r="N41" s="674">
        <f t="shared" si="3"/>
      </c>
      <c r="O41" s="675">
        <f t="shared" si="4"/>
      </c>
      <c r="P41" s="674">
        <f t="shared" si="5"/>
      </c>
      <c r="Q41" s="347">
        <f t="shared" si="6"/>
        <v>3</v>
      </c>
      <c r="R41" s="351" t="str">
        <f t="shared" si="7"/>
        <v>--</v>
      </c>
      <c r="S41" s="357" t="str">
        <f t="shared" si="8"/>
        <v>--</v>
      </c>
      <c r="T41" s="366" t="str">
        <f t="shared" si="9"/>
        <v>--</v>
      </c>
      <c r="U41" s="367" t="str">
        <f t="shared" si="10"/>
        <v>--</v>
      </c>
      <c r="V41" s="375" t="str">
        <f t="shared" si="11"/>
        <v>--</v>
      </c>
      <c r="W41" s="376" t="str">
        <f t="shared" si="12"/>
        <v>--</v>
      </c>
      <c r="X41" s="381" t="str">
        <f t="shared" si="13"/>
        <v>--</v>
      </c>
      <c r="Y41" s="387" t="str">
        <f t="shared" si="14"/>
        <v>--</v>
      </c>
      <c r="Z41" s="25">
        <f t="shared" si="15"/>
      </c>
      <c r="AA41" s="63">
        <f t="shared" si="16"/>
      </c>
      <c r="AB41" s="38"/>
    </row>
    <row r="42" spans="1:28" s="10" customFormat="1" ht="16.5" customHeight="1">
      <c r="A42" s="170"/>
      <c r="B42" s="176"/>
      <c r="C42" s="669"/>
      <c r="D42" s="521"/>
      <c r="E42" s="520"/>
      <c r="F42" s="670"/>
      <c r="G42" s="671"/>
      <c r="H42" s="277">
        <f t="shared" si="0"/>
        <v>0</v>
      </c>
      <c r="I42" s="673"/>
      <c r="J42" s="673"/>
      <c r="K42" s="26">
        <f t="shared" si="1"/>
      </c>
      <c r="L42" s="27">
        <f t="shared" si="2"/>
      </c>
      <c r="M42" s="674"/>
      <c r="N42" s="674">
        <f t="shared" si="3"/>
      </c>
      <c r="O42" s="675">
        <f t="shared" si="4"/>
      </c>
      <c r="P42" s="674">
        <f t="shared" si="5"/>
      </c>
      <c r="Q42" s="347">
        <f t="shared" si="6"/>
        <v>3</v>
      </c>
      <c r="R42" s="351" t="str">
        <f t="shared" si="7"/>
        <v>--</v>
      </c>
      <c r="S42" s="357" t="str">
        <f t="shared" si="8"/>
        <v>--</v>
      </c>
      <c r="T42" s="366" t="str">
        <f t="shared" si="9"/>
        <v>--</v>
      </c>
      <c r="U42" s="367" t="str">
        <f t="shared" si="10"/>
        <v>--</v>
      </c>
      <c r="V42" s="375" t="str">
        <f t="shared" si="11"/>
        <v>--</v>
      </c>
      <c r="W42" s="376" t="str">
        <f t="shared" si="12"/>
        <v>--</v>
      </c>
      <c r="X42" s="381" t="str">
        <f t="shared" si="13"/>
        <v>--</v>
      </c>
      <c r="Y42" s="387" t="str">
        <f t="shared" si="14"/>
        <v>--</v>
      </c>
      <c r="Z42" s="25">
        <f t="shared" si="15"/>
      </c>
      <c r="AA42" s="63">
        <f t="shared" si="16"/>
      </c>
      <c r="AB42" s="38"/>
    </row>
    <row r="43" spans="1:28" s="10" customFormat="1" ht="16.5" customHeight="1">
      <c r="A43" s="170"/>
      <c r="B43" s="176"/>
      <c r="C43" s="669"/>
      <c r="D43" s="521"/>
      <c r="E43" s="520"/>
      <c r="F43" s="670"/>
      <c r="G43" s="671"/>
      <c r="H43" s="277">
        <f t="shared" si="0"/>
        <v>0</v>
      </c>
      <c r="I43" s="673"/>
      <c r="J43" s="673"/>
      <c r="K43" s="26">
        <f t="shared" si="1"/>
      </c>
      <c r="L43" s="27">
        <f t="shared" si="2"/>
      </c>
      <c r="M43" s="674"/>
      <c r="N43" s="674">
        <f t="shared" si="3"/>
      </c>
      <c r="O43" s="675">
        <f t="shared" si="4"/>
      </c>
      <c r="P43" s="674">
        <f t="shared" si="5"/>
      </c>
      <c r="Q43" s="347">
        <f t="shared" si="6"/>
        <v>3</v>
      </c>
      <c r="R43" s="351" t="str">
        <f t="shared" si="7"/>
        <v>--</v>
      </c>
      <c r="S43" s="357" t="str">
        <f t="shared" si="8"/>
        <v>--</v>
      </c>
      <c r="T43" s="366" t="str">
        <f t="shared" si="9"/>
        <v>--</v>
      </c>
      <c r="U43" s="367" t="str">
        <f t="shared" si="10"/>
        <v>--</v>
      </c>
      <c r="V43" s="375" t="str">
        <f t="shared" si="11"/>
        <v>--</v>
      </c>
      <c r="W43" s="376" t="str">
        <f t="shared" si="12"/>
        <v>--</v>
      </c>
      <c r="X43" s="381" t="str">
        <f t="shared" si="13"/>
        <v>--</v>
      </c>
      <c r="Y43" s="387" t="str">
        <f t="shared" si="14"/>
        <v>--</v>
      </c>
      <c r="Z43" s="25">
        <f t="shared" si="15"/>
      </c>
      <c r="AA43" s="63">
        <f t="shared" si="16"/>
      </c>
      <c r="AB43" s="38"/>
    </row>
    <row r="44" spans="1:28" s="10" customFormat="1" ht="16.5" customHeight="1" thickBot="1">
      <c r="A44" s="170"/>
      <c r="B44" s="176"/>
      <c r="C44" s="672"/>
      <c r="D44" s="672"/>
      <c r="E44" s="672"/>
      <c r="F44" s="672"/>
      <c r="G44" s="672"/>
      <c r="H44" s="281"/>
      <c r="I44" s="672"/>
      <c r="J44" s="672"/>
      <c r="K44" s="29"/>
      <c r="L44" s="29"/>
      <c r="M44" s="672"/>
      <c r="N44" s="672"/>
      <c r="O44" s="672"/>
      <c r="P44" s="672"/>
      <c r="Q44" s="348"/>
      <c r="R44" s="352"/>
      <c r="S44" s="358"/>
      <c r="T44" s="390"/>
      <c r="U44" s="391"/>
      <c r="V44" s="392"/>
      <c r="W44" s="393"/>
      <c r="X44" s="382"/>
      <c r="Y44" s="388"/>
      <c r="Z44" s="29"/>
      <c r="AA44" s="219"/>
      <c r="AB44" s="38"/>
    </row>
    <row r="45" spans="1:30" s="10" customFormat="1" ht="16.5" customHeight="1" thickBot="1" thickTop="1">
      <c r="A45" s="170"/>
      <c r="B45" s="176"/>
      <c r="C45" s="249" t="s">
        <v>79</v>
      </c>
      <c r="D45" s="250" t="s">
        <v>179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53">
        <f aca="true" t="shared" si="17" ref="R45:Y45">SUM(R22:R44)</f>
        <v>5.85144</v>
      </c>
      <c r="S45" s="359">
        <f t="shared" si="17"/>
        <v>0</v>
      </c>
      <c r="T45" s="368">
        <f t="shared" si="17"/>
        <v>0</v>
      </c>
      <c r="U45" s="368">
        <f t="shared" si="17"/>
        <v>0</v>
      </c>
      <c r="V45" s="377">
        <f t="shared" si="17"/>
        <v>0</v>
      </c>
      <c r="W45" s="377">
        <f t="shared" si="17"/>
        <v>0</v>
      </c>
      <c r="X45" s="383">
        <f t="shared" si="17"/>
        <v>0</v>
      </c>
      <c r="Y45" s="389">
        <f t="shared" si="17"/>
        <v>0</v>
      </c>
      <c r="Z45" s="31"/>
      <c r="AA45" s="265">
        <f>ROUND(SUM(AA22:AA44),2)</f>
        <v>5.85</v>
      </c>
      <c r="AB45" s="38"/>
      <c r="AD45" s="818">
        <f>SUM(AD24:AD44)</f>
        <v>7.722540000000002</v>
      </c>
    </row>
    <row r="46" spans="1:28" s="267" customFormat="1" ht="9.75" thickTop="1">
      <c r="A46" s="268"/>
      <c r="B46" s="269"/>
      <c r="C46" s="251"/>
      <c r="D46" s="252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1"/>
      <c r="S46" s="271"/>
      <c r="T46" s="271"/>
      <c r="U46" s="271"/>
      <c r="V46" s="271"/>
      <c r="W46" s="271"/>
      <c r="X46" s="271"/>
      <c r="Y46" s="271"/>
      <c r="Z46" s="270"/>
      <c r="AA46" s="272"/>
      <c r="AB46" s="273"/>
    </row>
    <row r="47" spans="1:28" s="10" customFormat="1" ht="16.5" customHeight="1" thickBot="1">
      <c r="A47" s="170"/>
      <c r="B47" s="184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6"/>
    </row>
    <row r="48" spans="2:28" ht="16.5" customHeight="1" thickTop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Y49"/>
  <sheetViews>
    <sheetView zoomScale="75" zoomScaleNormal="75" workbookViewId="0" topLeftCell="E5">
      <selection activeCell="B12" sqref="B1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3.140625" style="0" hidden="1" customWidth="1"/>
    <col min="8" max="9" width="15.7109375" style="0" customWidth="1"/>
    <col min="10" max="12" width="9.7109375" style="0" customWidth="1"/>
    <col min="13" max="13" width="7.7109375" style="0" customWidth="1"/>
    <col min="14" max="14" width="12.140625" style="0" hidden="1" customWidth="1"/>
    <col min="15" max="15" width="16.8515625" style="0" hidden="1" customWidth="1"/>
    <col min="16" max="16" width="16.57421875" style="0" hidden="1" customWidth="1"/>
    <col min="17" max="18" width="15.57421875" style="0" hidden="1" customWidth="1"/>
    <col min="19" max="19" width="9.7109375" style="0" customWidth="1"/>
    <col min="20" max="21" width="15.7109375" style="0" customWidth="1"/>
  </cols>
  <sheetData>
    <row r="1" s="108" customFormat="1" ht="26.25">
      <c r="U1" s="421"/>
    </row>
    <row r="2" spans="2:21" s="108" customFormat="1" ht="26.25">
      <c r="B2" s="109" t="str">
        <f>'TOT-0806'!B2</f>
        <v>ANEXO VI al Memorándum D.T.E.E. N°  452  /2010</v>
      </c>
      <c r="C2" s="110"/>
      <c r="D2" s="110"/>
      <c r="E2" s="109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="10" customFormat="1" ht="12.75"/>
    <row r="4" spans="1:2" s="111" customFormat="1" ht="11.25">
      <c r="A4" s="129" t="s">
        <v>28</v>
      </c>
      <c r="B4" s="221"/>
    </row>
    <row r="5" spans="1:2" s="111" customFormat="1" ht="11.25">
      <c r="A5" s="129" t="s">
        <v>29</v>
      </c>
      <c r="B5" s="221"/>
    </row>
    <row r="6" s="10" customFormat="1" ht="13.5" thickBot="1"/>
    <row r="7" spans="2:21" s="10" customFormat="1" ht="13.5" thickTop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2:21" s="113" customFormat="1" ht="20.25">
      <c r="B8" s="112"/>
      <c r="C8" s="45"/>
      <c r="D8" s="21" t="s">
        <v>55</v>
      </c>
      <c r="N8" s="45"/>
      <c r="O8" s="45"/>
      <c r="P8" s="45"/>
      <c r="Q8" s="45"/>
      <c r="R8" s="45"/>
      <c r="S8" s="45"/>
      <c r="T8" s="45"/>
      <c r="U8" s="114"/>
    </row>
    <row r="9" spans="2:21" s="10" customFormat="1" ht="12.75">
      <c r="B9" s="44"/>
      <c r="C9" s="8"/>
      <c r="D9" s="8"/>
      <c r="E9" s="8"/>
      <c r="F9" s="8"/>
      <c r="G9" s="122"/>
      <c r="H9" s="122"/>
      <c r="I9" s="122"/>
      <c r="J9" s="122"/>
      <c r="K9" s="122"/>
      <c r="N9" s="8"/>
      <c r="O9" s="8"/>
      <c r="P9" s="8"/>
      <c r="Q9" s="8"/>
      <c r="R9" s="8"/>
      <c r="S9" s="8"/>
      <c r="T9" s="8"/>
      <c r="U9" s="11"/>
    </row>
    <row r="10" spans="2:21" s="113" customFormat="1" ht="20.25">
      <c r="B10" s="112"/>
      <c r="C10" s="45"/>
      <c r="D10" s="21" t="s">
        <v>104</v>
      </c>
      <c r="E10" s="21"/>
      <c r="F10" s="45"/>
      <c r="G10" s="21"/>
      <c r="H10" s="21"/>
      <c r="I10" s="21"/>
      <c r="J10" s="21"/>
      <c r="K10" s="21"/>
      <c r="N10" s="45"/>
      <c r="O10" s="45"/>
      <c r="P10" s="45"/>
      <c r="Q10" s="45"/>
      <c r="R10" s="45"/>
      <c r="S10" s="45"/>
      <c r="T10" s="45"/>
      <c r="U10" s="114"/>
    </row>
    <row r="11" spans="2:21" s="10" customFormat="1" ht="12.75">
      <c r="B11" s="44"/>
      <c r="C11" s="8"/>
      <c r="D11" s="124"/>
      <c r="E11" s="122"/>
      <c r="F11" s="8"/>
      <c r="G11" s="122"/>
      <c r="H11" s="122"/>
      <c r="I11" s="122"/>
      <c r="J11" s="122"/>
      <c r="K11" s="122"/>
      <c r="N11" s="8"/>
      <c r="O11" s="8"/>
      <c r="P11" s="8"/>
      <c r="Q11" s="8"/>
      <c r="R11" s="8"/>
      <c r="S11" s="8"/>
      <c r="T11" s="8"/>
      <c r="U11" s="11"/>
    </row>
    <row r="12" spans="2:21" s="120" customFormat="1" ht="19.5">
      <c r="B12" s="87" t="str">
        <f>'TOT-0806'!B14</f>
        <v>Desde el 01 al 30 de junio de 2008</v>
      </c>
      <c r="C12" s="116"/>
      <c r="D12" s="116"/>
      <c r="E12" s="116"/>
      <c r="F12" s="86"/>
      <c r="G12" s="116"/>
      <c r="H12" s="117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9"/>
    </row>
    <row r="13" spans="2:21" s="120" customFormat="1" ht="7.5" customHeight="1">
      <c r="B13" s="87"/>
      <c r="C13" s="116"/>
      <c r="D13" s="116"/>
      <c r="E13" s="116"/>
      <c r="F13" s="86"/>
      <c r="G13" s="116"/>
      <c r="H13" s="117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9"/>
    </row>
    <row r="14" spans="2:21" s="10" customFormat="1" ht="7.5" customHeight="1" thickBot="1">
      <c r="B14" s="44"/>
      <c r="C14" s="8"/>
      <c r="G14" s="121"/>
      <c r="I14" s="8"/>
      <c r="J14" s="8"/>
      <c r="K14" s="8"/>
      <c r="L14" s="121"/>
      <c r="M14" s="121"/>
      <c r="N14" s="121"/>
      <c r="O14" s="8"/>
      <c r="P14" s="8"/>
      <c r="Q14" s="8"/>
      <c r="R14" s="8"/>
      <c r="S14" s="8"/>
      <c r="T14" s="8"/>
      <c r="U14" s="11"/>
    </row>
    <row r="15" spans="2:21" s="10" customFormat="1" ht="16.5" customHeight="1" thickBot="1" thickTop="1">
      <c r="B15" s="44"/>
      <c r="C15" s="8"/>
      <c r="D15" s="227" t="s">
        <v>99</v>
      </c>
      <c r="E15" s="228">
        <v>5.739</v>
      </c>
      <c r="F15" s="92">
        <f>60*'[2]TOTAL'!B13</f>
        <v>60</v>
      </c>
      <c r="G15" s="121"/>
      <c r="H15" s="243" t="str">
        <f>IF(F15=60," ",IF(F15=120,"Coeficiente duplicado por tasa de falla &gt;4 Sal. x año/100 km.","REVISAR COEFICIENTE"))</f>
        <v> </v>
      </c>
      <c r="I15" s="8"/>
      <c r="J15" s="8"/>
      <c r="K15" s="8"/>
      <c r="L15" s="121"/>
      <c r="M15" s="121"/>
      <c r="N15" s="121"/>
      <c r="O15" s="8"/>
      <c r="P15" s="8"/>
      <c r="Q15" s="8"/>
      <c r="R15" s="8"/>
      <c r="S15" s="8"/>
      <c r="T15" s="8"/>
      <c r="U15" s="11"/>
    </row>
    <row r="16" spans="2:21" s="10" customFormat="1" ht="16.5" customHeight="1" thickBot="1" thickTop="1">
      <c r="B16" s="44"/>
      <c r="C16" s="8"/>
      <c r="D16" s="227" t="s">
        <v>100</v>
      </c>
      <c r="E16" s="228">
        <v>2.295</v>
      </c>
      <c r="F16" s="92">
        <f>50*'[2]TOTAL'!B13</f>
        <v>50</v>
      </c>
      <c r="H16" s="243" t="str">
        <f>IF(F16=50," ",IF(F16=100,"Coeficiente duplicado por tasa de falla &gt;4 Sal. x año/100 km.","REVISAR COEFICIENTE"))</f>
        <v> </v>
      </c>
      <c r="O16" s="283"/>
      <c r="Q16" s="8"/>
      <c r="R16" s="8"/>
      <c r="S16" s="8"/>
      <c r="T16" s="222"/>
      <c r="U16" s="11"/>
    </row>
    <row r="17" spans="2:21" s="10" customFormat="1" ht="16.5" customHeight="1" thickBot="1" thickTop="1">
      <c r="B17" s="44"/>
      <c r="C17" s="8"/>
      <c r="D17" s="229" t="s">
        <v>101</v>
      </c>
      <c r="E17" s="230">
        <v>1.722</v>
      </c>
      <c r="F17" s="231">
        <f>25*'[2]TOTAL'!B13</f>
        <v>25</v>
      </c>
      <c r="H17" s="243" t="str">
        <f>IF(F17=25," ",IF(F17=50,"Coeficiente duplicado por tasa de falla &gt;4 Sal. x año/100 km.","REVISAR COEFICIENTE"))</f>
        <v> </v>
      </c>
      <c r="I17" s="168"/>
      <c r="J17" s="168"/>
      <c r="K17" s="8"/>
      <c r="N17" s="223"/>
      <c r="O17" s="224"/>
      <c r="P17" s="36"/>
      <c r="Q17" s="8"/>
      <c r="R17" s="8"/>
      <c r="S17" s="8"/>
      <c r="T17" s="222"/>
      <c r="U17" s="11"/>
    </row>
    <row r="18" spans="2:21" s="10" customFormat="1" ht="16.5" customHeight="1" thickBot="1" thickTop="1">
      <c r="B18" s="44"/>
      <c r="C18" s="8"/>
      <c r="D18" s="232" t="s">
        <v>102</v>
      </c>
      <c r="E18" s="230">
        <v>1.722</v>
      </c>
      <c r="F18" s="233">
        <f>20*'[2]TOTAL'!B13</f>
        <v>20</v>
      </c>
      <c r="H18" s="243" t="str">
        <f>IF(F18=20," ",IF(F18=40,"Coeficiente duplicado por tasa de falla &gt;4 Sal. x año/100 km.","REVISAR COEFICIENTE"))</f>
        <v> </v>
      </c>
      <c r="I18" s="168"/>
      <c r="J18" s="168"/>
      <c r="K18" s="8"/>
      <c r="N18" s="223"/>
      <c r="O18" s="224"/>
      <c r="P18" s="36"/>
      <c r="Q18" s="8"/>
      <c r="R18" s="8"/>
      <c r="S18" s="8"/>
      <c r="T18" s="222"/>
      <c r="U18" s="11"/>
    </row>
    <row r="19" spans="2:21" s="10" customFormat="1" ht="7.5" customHeight="1" thickTop="1">
      <c r="B19" s="44"/>
      <c r="C19" s="8"/>
      <c r="D19" s="97"/>
      <c r="E19" s="734"/>
      <c r="F19" s="735"/>
      <c r="H19" s="243"/>
      <c r="I19" s="168"/>
      <c r="J19" s="168"/>
      <c r="K19" s="8"/>
      <c r="N19" s="223"/>
      <c r="O19" s="224"/>
      <c r="P19" s="36"/>
      <c r="Q19" s="8"/>
      <c r="R19" s="8"/>
      <c r="S19" s="8"/>
      <c r="T19" s="222"/>
      <c r="U19" s="11"/>
    </row>
    <row r="20" spans="2:21" s="10" customFormat="1" ht="7.5" customHeight="1" thickBot="1">
      <c r="B20" s="44"/>
      <c r="C20" s="8"/>
      <c r="D20" s="225"/>
      <c r="E20" s="226"/>
      <c r="F20" s="36"/>
      <c r="G20" s="8"/>
      <c r="H20" s="36"/>
      <c r="I20" s="168"/>
      <c r="J20" s="168"/>
      <c r="K20" s="8"/>
      <c r="L20" s="8"/>
      <c r="M20" s="8"/>
      <c r="N20" s="223"/>
      <c r="O20" s="224"/>
      <c r="P20" s="36"/>
      <c r="Q20" s="8"/>
      <c r="R20" s="8"/>
      <c r="S20" s="8"/>
      <c r="T20" s="222"/>
      <c r="U20" s="11"/>
    </row>
    <row r="21" spans="2:25" s="10" customFormat="1" ht="33.75" customHeight="1" thickBot="1" thickTop="1">
      <c r="B21" s="44"/>
      <c r="C21" s="217" t="s">
        <v>61</v>
      </c>
      <c r="D21" s="215" t="s">
        <v>85</v>
      </c>
      <c r="E21" s="234" t="s">
        <v>26</v>
      </c>
      <c r="F21" s="237" t="s">
        <v>62</v>
      </c>
      <c r="G21" s="274" t="s">
        <v>64</v>
      </c>
      <c r="H21" s="211" t="s">
        <v>65</v>
      </c>
      <c r="I21" s="234" t="s">
        <v>66</v>
      </c>
      <c r="J21" s="236" t="s">
        <v>89</v>
      </c>
      <c r="K21" s="236" t="s">
        <v>90</v>
      </c>
      <c r="L21" s="104" t="s">
        <v>69</v>
      </c>
      <c r="M21" s="216" t="s">
        <v>91</v>
      </c>
      <c r="N21" s="395" t="s">
        <v>103</v>
      </c>
      <c r="O21" s="329" t="s">
        <v>71</v>
      </c>
      <c r="P21" s="369" t="s">
        <v>95</v>
      </c>
      <c r="Q21" s="370"/>
      <c r="R21" s="405" t="s">
        <v>75</v>
      </c>
      <c r="S21" s="213" t="s">
        <v>77</v>
      </c>
      <c r="T21" s="213" t="s">
        <v>78</v>
      </c>
      <c r="U21" s="38"/>
      <c r="Y21" s="10">
        <f>+'SUP-EDERSA'!M17</f>
        <v>2.274</v>
      </c>
    </row>
    <row r="22" spans="2:23" s="10" customFormat="1" ht="16.5" customHeight="1" thickTop="1">
      <c r="B22" s="44"/>
      <c r="C22" s="20"/>
      <c r="D22" s="32"/>
      <c r="E22" s="32"/>
      <c r="F22" s="12"/>
      <c r="G22" s="282"/>
      <c r="H22" s="33"/>
      <c r="I22" s="34"/>
      <c r="J22" s="35"/>
      <c r="K22" s="64"/>
      <c r="L22" s="397"/>
      <c r="M22" s="397"/>
      <c r="N22" s="398"/>
      <c r="O22" s="400"/>
      <c r="P22" s="402"/>
      <c r="Q22" s="403"/>
      <c r="R22" s="406"/>
      <c r="S22" s="404"/>
      <c r="T22" s="399"/>
      <c r="U22" s="38"/>
      <c r="W22" s="10" t="s">
        <v>198</v>
      </c>
    </row>
    <row r="23" spans="2:21" s="10" customFormat="1" ht="16.5" customHeight="1">
      <c r="B23" s="44"/>
      <c r="C23" s="20"/>
      <c r="D23" s="32"/>
      <c r="E23" s="32"/>
      <c r="F23" s="12"/>
      <c r="G23" s="282"/>
      <c r="H23" s="33"/>
      <c r="I23" s="34"/>
      <c r="J23" s="35"/>
      <c r="K23" s="64"/>
      <c r="L23" s="28"/>
      <c r="M23" s="28"/>
      <c r="N23" s="396"/>
      <c r="O23" s="401"/>
      <c r="P23" s="375"/>
      <c r="Q23" s="376"/>
      <c r="R23" s="407"/>
      <c r="S23" s="25"/>
      <c r="T23" s="235"/>
      <c r="U23" s="38"/>
    </row>
    <row r="24" spans="2:21" s="10" customFormat="1" ht="16.5" customHeight="1">
      <c r="B24" s="44"/>
      <c r="C24" s="694"/>
      <c r="D24" s="521"/>
      <c r="E24" s="520"/>
      <c r="F24" s="670"/>
      <c r="G24" s="282"/>
      <c r="H24" s="697"/>
      <c r="I24" s="698"/>
      <c r="J24" s="35"/>
      <c r="K24" s="64"/>
      <c r="L24" s="699"/>
      <c r="M24" s="699"/>
      <c r="N24" s="700"/>
      <c r="O24" s="701"/>
      <c r="P24" s="681"/>
      <c r="Q24" s="682"/>
      <c r="R24" s="702"/>
      <c r="S24" s="674"/>
      <c r="T24" s="65"/>
      <c r="U24" s="38"/>
    </row>
    <row r="25" spans="2:21" s="10" customFormat="1" ht="16.5" customHeight="1">
      <c r="B25" s="44"/>
      <c r="C25" s="694"/>
      <c r="D25" s="521"/>
      <c r="E25" s="520"/>
      <c r="F25" s="670"/>
      <c r="G25" s="282"/>
      <c r="H25" s="697"/>
      <c r="I25" s="698"/>
      <c r="J25" s="35"/>
      <c r="K25" s="64"/>
      <c r="L25" s="699"/>
      <c r="M25" s="699"/>
      <c r="N25" s="700"/>
      <c r="O25" s="701"/>
      <c r="P25" s="681"/>
      <c r="Q25" s="682"/>
      <c r="R25" s="702"/>
      <c r="S25" s="674"/>
      <c r="T25" s="65"/>
      <c r="U25" s="38"/>
    </row>
    <row r="26" spans="2:23" s="10" customFormat="1" ht="16.5" customHeight="1">
      <c r="B26" s="44"/>
      <c r="C26" s="694">
        <v>13</v>
      </c>
      <c r="D26" s="521" t="s">
        <v>19</v>
      </c>
      <c r="E26" s="520" t="s">
        <v>23</v>
      </c>
      <c r="F26" s="670">
        <v>13.2</v>
      </c>
      <c r="G26" s="282">
        <f aca="true" t="shared" si="0" ref="G26:G43">IF(F26=330,$E$15,IF(AND(F26&lt;=132,F26&gt;=66),$E$16,IF(AND(F26&lt;66,F26&gt;=33),$E$17,$E$18)))</f>
        <v>1.722</v>
      </c>
      <c r="H26" s="697">
        <v>39610.604166666664</v>
      </c>
      <c r="I26" s="698">
        <v>39610.60902777778</v>
      </c>
      <c r="J26" s="35">
        <f aca="true" t="shared" si="1" ref="J26:J43">IF(D26="","",(I26-H26)*24)</f>
        <v>0.11666666669771075</v>
      </c>
      <c r="K26" s="64">
        <f aca="true" t="shared" si="2" ref="K26:K43">IF(D26="","",ROUND((I26-H26)*24*60,0))</f>
        <v>7</v>
      </c>
      <c r="L26" s="699" t="s">
        <v>178</v>
      </c>
      <c r="M26" s="699" t="str">
        <f aca="true" t="shared" si="3" ref="M26:M43">IF(D26="","",IF(L26="P","--","NO"))</f>
        <v>--</v>
      </c>
      <c r="N26" s="700">
        <f aca="true" t="shared" si="4" ref="N26:N43">IF(F26=330,$F$15,IF(AND(F26&lt;=132,F26&gt;=66),$F$16,IF(AND(F26&lt;66,F26&gt;13.2),$F$17,$F$18)))</f>
        <v>20</v>
      </c>
      <c r="O26" s="701">
        <f aca="true" t="shared" si="5" ref="O26:O43">IF(L26="P",G26*N26*ROUND(K26/60,2)*0.1,"--")</f>
        <v>0.41328</v>
      </c>
      <c r="P26" s="681" t="str">
        <f aca="true" t="shared" si="6" ref="P26:P43">IF(AND(L26="F",M26="NO"),G26*N26,"--")</f>
        <v>--</v>
      </c>
      <c r="Q26" s="682" t="str">
        <f aca="true" t="shared" si="7" ref="Q26:Q43">IF(L26="F",G26*N26*ROUND(K26/60,2),"--")</f>
        <v>--</v>
      </c>
      <c r="R26" s="702" t="str">
        <f aca="true" t="shared" si="8" ref="R26:R43">IF(L26="RF",G26*N26*ROUND(K26/60,2),"--")</f>
        <v>--</v>
      </c>
      <c r="S26" s="674" t="str">
        <f aca="true" t="shared" si="9" ref="S26:S43">IF(D26="","","SI")</f>
        <v>SI</v>
      </c>
      <c r="T26" s="65">
        <f aca="true" t="shared" si="10" ref="T26:T43">IF(D26="","",SUM(O26:R26)*IF(S26="SI",1,2)*IF(F26="500/220",0,1))</f>
        <v>0.41328</v>
      </c>
      <c r="U26" s="38"/>
      <c r="W26" s="818">
        <f>+T26*Y21/E17</f>
        <v>0.54576</v>
      </c>
    </row>
    <row r="27" spans="2:21" s="10" customFormat="1" ht="16.5" customHeight="1">
      <c r="B27" s="44"/>
      <c r="C27" s="694"/>
      <c r="D27" s="695"/>
      <c r="E27" s="695"/>
      <c r="F27" s="705"/>
      <c r="G27" s="282">
        <f t="shared" si="0"/>
        <v>1.722</v>
      </c>
      <c r="H27" s="697"/>
      <c r="I27" s="698"/>
      <c r="J27" s="35">
        <f t="shared" si="1"/>
      </c>
      <c r="K27" s="64">
        <f t="shared" si="2"/>
      </c>
      <c r="L27" s="699"/>
      <c r="M27" s="699">
        <f t="shared" si="3"/>
      </c>
      <c r="N27" s="700">
        <f t="shared" si="4"/>
        <v>20</v>
      </c>
      <c r="O27" s="701" t="str">
        <f t="shared" si="5"/>
        <v>--</v>
      </c>
      <c r="P27" s="681" t="str">
        <f t="shared" si="6"/>
        <v>--</v>
      </c>
      <c r="Q27" s="682" t="str">
        <f t="shared" si="7"/>
        <v>--</v>
      </c>
      <c r="R27" s="702" t="str">
        <f t="shared" si="8"/>
        <v>--</v>
      </c>
      <c r="S27" s="674">
        <f t="shared" si="9"/>
      </c>
      <c r="T27" s="65">
        <f t="shared" si="10"/>
      </c>
      <c r="U27" s="38"/>
    </row>
    <row r="28" spans="2:21" s="10" customFormat="1" ht="16.5" customHeight="1">
      <c r="B28" s="44"/>
      <c r="C28" s="694"/>
      <c r="D28" s="695"/>
      <c r="E28" s="695"/>
      <c r="F28" s="705"/>
      <c r="G28" s="282">
        <f t="shared" si="0"/>
        <v>1.722</v>
      </c>
      <c r="H28" s="697"/>
      <c r="I28" s="698"/>
      <c r="J28" s="35">
        <f t="shared" si="1"/>
      </c>
      <c r="K28" s="64">
        <f t="shared" si="2"/>
      </c>
      <c r="L28" s="699"/>
      <c r="M28" s="699">
        <f t="shared" si="3"/>
      </c>
      <c r="N28" s="700">
        <f t="shared" si="4"/>
        <v>20</v>
      </c>
      <c r="O28" s="701" t="str">
        <f t="shared" si="5"/>
        <v>--</v>
      </c>
      <c r="P28" s="681" t="str">
        <f t="shared" si="6"/>
        <v>--</v>
      </c>
      <c r="Q28" s="682" t="str">
        <f t="shared" si="7"/>
        <v>--</v>
      </c>
      <c r="R28" s="702" t="str">
        <f t="shared" si="8"/>
        <v>--</v>
      </c>
      <c r="S28" s="674">
        <f t="shared" si="9"/>
      </c>
      <c r="T28" s="65">
        <f t="shared" si="10"/>
      </c>
      <c r="U28" s="38"/>
    </row>
    <row r="29" spans="2:21" s="10" customFormat="1" ht="16.5" customHeight="1">
      <c r="B29" s="44"/>
      <c r="C29" s="694"/>
      <c r="D29" s="695"/>
      <c r="E29" s="695"/>
      <c r="F29" s="705"/>
      <c r="G29" s="282">
        <f t="shared" si="0"/>
        <v>1.722</v>
      </c>
      <c r="H29" s="697"/>
      <c r="I29" s="698"/>
      <c r="J29" s="35">
        <f t="shared" si="1"/>
      </c>
      <c r="K29" s="64">
        <f t="shared" si="2"/>
      </c>
      <c r="L29" s="699"/>
      <c r="M29" s="699">
        <f t="shared" si="3"/>
      </c>
      <c r="N29" s="700">
        <f t="shared" si="4"/>
        <v>20</v>
      </c>
      <c r="O29" s="701" t="str">
        <f t="shared" si="5"/>
        <v>--</v>
      </c>
      <c r="P29" s="681" t="str">
        <f t="shared" si="6"/>
        <v>--</v>
      </c>
      <c r="Q29" s="682" t="str">
        <f t="shared" si="7"/>
        <v>--</v>
      </c>
      <c r="R29" s="702" t="str">
        <f t="shared" si="8"/>
        <v>--</v>
      </c>
      <c r="S29" s="674">
        <f t="shared" si="9"/>
      </c>
      <c r="T29" s="65">
        <f t="shared" si="10"/>
      </c>
      <c r="U29" s="38"/>
    </row>
    <row r="30" spans="2:21" s="10" customFormat="1" ht="16.5" customHeight="1">
      <c r="B30" s="44"/>
      <c r="C30" s="694"/>
      <c r="D30" s="695"/>
      <c r="E30" s="695"/>
      <c r="F30" s="705"/>
      <c r="G30" s="282">
        <f t="shared" si="0"/>
        <v>1.722</v>
      </c>
      <c r="H30" s="697"/>
      <c r="I30" s="698"/>
      <c r="J30" s="35">
        <f t="shared" si="1"/>
      </c>
      <c r="K30" s="64">
        <f t="shared" si="2"/>
      </c>
      <c r="L30" s="699"/>
      <c r="M30" s="699">
        <f t="shared" si="3"/>
      </c>
      <c r="N30" s="700">
        <f t="shared" si="4"/>
        <v>20</v>
      </c>
      <c r="O30" s="701" t="str">
        <f t="shared" si="5"/>
        <v>--</v>
      </c>
      <c r="P30" s="681" t="str">
        <f t="shared" si="6"/>
        <v>--</v>
      </c>
      <c r="Q30" s="682" t="str">
        <f t="shared" si="7"/>
        <v>--</v>
      </c>
      <c r="R30" s="702" t="str">
        <f t="shared" si="8"/>
        <v>--</v>
      </c>
      <c r="S30" s="674">
        <f t="shared" si="9"/>
      </c>
      <c r="T30" s="65">
        <f t="shared" si="10"/>
      </c>
      <c r="U30" s="38"/>
    </row>
    <row r="31" spans="2:21" s="10" customFormat="1" ht="16.5" customHeight="1">
      <c r="B31" s="44"/>
      <c r="C31" s="694"/>
      <c r="D31" s="695"/>
      <c r="E31" s="695"/>
      <c r="F31" s="705"/>
      <c r="G31" s="282">
        <f t="shared" si="0"/>
        <v>1.722</v>
      </c>
      <c r="H31" s="697"/>
      <c r="I31" s="698"/>
      <c r="J31" s="35">
        <f t="shared" si="1"/>
      </c>
      <c r="K31" s="64">
        <f t="shared" si="2"/>
      </c>
      <c r="L31" s="699"/>
      <c r="M31" s="699">
        <f t="shared" si="3"/>
      </c>
      <c r="N31" s="700">
        <f t="shared" si="4"/>
        <v>20</v>
      </c>
      <c r="O31" s="701" t="str">
        <f t="shared" si="5"/>
        <v>--</v>
      </c>
      <c r="P31" s="681" t="str">
        <f t="shared" si="6"/>
        <v>--</v>
      </c>
      <c r="Q31" s="682" t="str">
        <f t="shared" si="7"/>
        <v>--</v>
      </c>
      <c r="R31" s="702" t="str">
        <f t="shared" si="8"/>
        <v>--</v>
      </c>
      <c r="S31" s="674">
        <f t="shared" si="9"/>
      </c>
      <c r="T31" s="65">
        <f t="shared" si="10"/>
      </c>
      <c r="U31" s="38"/>
    </row>
    <row r="32" spans="2:21" s="10" customFormat="1" ht="16.5" customHeight="1">
      <c r="B32" s="44"/>
      <c r="C32" s="694"/>
      <c r="D32" s="695"/>
      <c r="E32" s="695"/>
      <c r="F32" s="705"/>
      <c r="G32" s="282">
        <f t="shared" si="0"/>
        <v>1.722</v>
      </c>
      <c r="H32" s="697"/>
      <c r="I32" s="698"/>
      <c r="J32" s="35">
        <f t="shared" si="1"/>
      </c>
      <c r="K32" s="64">
        <f t="shared" si="2"/>
      </c>
      <c r="L32" s="699"/>
      <c r="M32" s="699">
        <f t="shared" si="3"/>
      </c>
      <c r="N32" s="700">
        <f t="shared" si="4"/>
        <v>20</v>
      </c>
      <c r="O32" s="701" t="str">
        <f t="shared" si="5"/>
        <v>--</v>
      </c>
      <c r="P32" s="681" t="str">
        <f t="shared" si="6"/>
        <v>--</v>
      </c>
      <c r="Q32" s="682" t="str">
        <f t="shared" si="7"/>
        <v>--</v>
      </c>
      <c r="R32" s="702" t="str">
        <f t="shared" si="8"/>
        <v>--</v>
      </c>
      <c r="S32" s="674">
        <f t="shared" si="9"/>
      </c>
      <c r="T32" s="65">
        <f t="shared" si="10"/>
      </c>
      <c r="U32" s="38"/>
    </row>
    <row r="33" spans="2:21" s="10" customFormat="1" ht="16.5" customHeight="1">
      <c r="B33" s="44"/>
      <c r="C33" s="694"/>
      <c r="D33" s="695"/>
      <c r="E33" s="695"/>
      <c r="F33" s="705"/>
      <c r="G33" s="282">
        <f t="shared" si="0"/>
        <v>1.722</v>
      </c>
      <c r="H33" s="697"/>
      <c r="I33" s="698"/>
      <c r="J33" s="35">
        <f t="shared" si="1"/>
      </c>
      <c r="K33" s="64">
        <f t="shared" si="2"/>
      </c>
      <c r="L33" s="699"/>
      <c r="M33" s="699">
        <f t="shared" si="3"/>
      </c>
      <c r="N33" s="700">
        <f t="shared" si="4"/>
        <v>20</v>
      </c>
      <c r="O33" s="701" t="str">
        <f t="shared" si="5"/>
        <v>--</v>
      </c>
      <c r="P33" s="681" t="str">
        <f t="shared" si="6"/>
        <v>--</v>
      </c>
      <c r="Q33" s="682" t="str">
        <f t="shared" si="7"/>
        <v>--</v>
      </c>
      <c r="R33" s="702" t="str">
        <f t="shared" si="8"/>
        <v>--</v>
      </c>
      <c r="S33" s="674">
        <f t="shared" si="9"/>
      </c>
      <c r="T33" s="65">
        <f t="shared" si="10"/>
      </c>
      <c r="U33" s="38"/>
    </row>
    <row r="34" spans="2:21" s="10" customFormat="1" ht="16.5" customHeight="1">
      <c r="B34" s="44"/>
      <c r="C34" s="694"/>
      <c r="D34" s="695"/>
      <c r="E34" s="695"/>
      <c r="F34" s="705"/>
      <c r="G34" s="282">
        <f t="shared" si="0"/>
        <v>1.722</v>
      </c>
      <c r="H34" s="697"/>
      <c r="I34" s="698"/>
      <c r="J34" s="35">
        <f t="shared" si="1"/>
      </c>
      <c r="K34" s="64">
        <f t="shared" si="2"/>
      </c>
      <c r="L34" s="699"/>
      <c r="M34" s="699">
        <f t="shared" si="3"/>
      </c>
      <c r="N34" s="700">
        <f t="shared" si="4"/>
        <v>20</v>
      </c>
      <c r="O34" s="701" t="str">
        <f t="shared" si="5"/>
        <v>--</v>
      </c>
      <c r="P34" s="681" t="str">
        <f t="shared" si="6"/>
        <v>--</v>
      </c>
      <c r="Q34" s="682" t="str">
        <f t="shared" si="7"/>
        <v>--</v>
      </c>
      <c r="R34" s="702" t="str">
        <f t="shared" si="8"/>
        <v>--</v>
      </c>
      <c r="S34" s="674">
        <f t="shared" si="9"/>
      </c>
      <c r="T34" s="65">
        <f t="shared" si="10"/>
      </c>
      <c r="U34" s="38"/>
    </row>
    <row r="35" spans="2:21" s="10" customFormat="1" ht="16.5" customHeight="1">
      <c r="B35" s="44"/>
      <c r="C35" s="694"/>
      <c r="D35" s="695"/>
      <c r="E35" s="695"/>
      <c r="F35" s="705"/>
      <c r="G35" s="282">
        <f t="shared" si="0"/>
        <v>1.722</v>
      </c>
      <c r="H35" s="697"/>
      <c r="I35" s="698"/>
      <c r="J35" s="35">
        <f t="shared" si="1"/>
      </c>
      <c r="K35" s="64">
        <f t="shared" si="2"/>
      </c>
      <c r="L35" s="699"/>
      <c r="M35" s="699">
        <f t="shared" si="3"/>
      </c>
      <c r="N35" s="700">
        <f t="shared" si="4"/>
        <v>20</v>
      </c>
      <c r="O35" s="701" t="str">
        <f t="shared" si="5"/>
        <v>--</v>
      </c>
      <c r="P35" s="681" t="str">
        <f t="shared" si="6"/>
        <v>--</v>
      </c>
      <c r="Q35" s="682" t="str">
        <f t="shared" si="7"/>
        <v>--</v>
      </c>
      <c r="R35" s="702" t="str">
        <f t="shared" si="8"/>
        <v>--</v>
      </c>
      <c r="S35" s="674">
        <f t="shared" si="9"/>
      </c>
      <c r="T35" s="65">
        <f t="shared" si="10"/>
      </c>
      <c r="U35" s="38"/>
    </row>
    <row r="36" spans="2:21" s="10" customFormat="1" ht="16.5" customHeight="1">
      <c r="B36" s="44"/>
      <c r="C36" s="694"/>
      <c r="D36" s="695"/>
      <c r="E36" s="695"/>
      <c r="F36" s="705"/>
      <c r="G36" s="282">
        <f t="shared" si="0"/>
        <v>1.722</v>
      </c>
      <c r="H36" s="697"/>
      <c r="I36" s="698"/>
      <c r="J36" s="35">
        <f t="shared" si="1"/>
      </c>
      <c r="K36" s="64">
        <f t="shared" si="2"/>
      </c>
      <c r="L36" s="699"/>
      <c r="M36" s="699">
        <f t="shared" si="3"/>
      </c>
      <c r="N36" s="700">
        <f t="shared" si="4"/>
        <v>20</v>
      </c>
      <c r="O36" s="701" t="str">
        <f t="shared" si="5"/>
        <v>--</v>
      </c>
      <c r="P36" s="681" t="str">
        <f t="shared" si="6"/>
        <v>--</v>
      </c>
      <c r="Q36" s="682" t="str">
        <f t="shared" si="7"/>
        <v>--</v>
      </c>
      <c r="R36" s="702" t="str">
        <f t="shared" si="8"/>
        <v>--</v>
      </c>
      <c r="S36" s="674">
        <f t="shared" si="9"/>
      </c>
      <c r="T36" s="65">
        <f t="shared" si="10"/>
      </c>
      <c r="U36" s="38"/>
    </row>
    <row r="37" spans="2:21" s="10" customFormat="1" ht="16.5" customHeight="1">
      <c r="B37" s="44"/>
      <c r="C37" s="694"/>
      <c r="D37" s="695"/>
      <c r="E37" s="695"/>
      <c r="F37" s="705"/>
      <c r="G37" s="282">
        <f t="shared" si="0"/>
        <v>1.722</v>
      </c>
      <c r="H37" s="697"/>
      <c r="I37" s="698"/>
      <c r="J37" s="35">
        <f t="shared" si="1"/>
      </c>
      <c r="K37" s="64">
        <f t="shared" si="2"/>
      </c>
      <c r="L37" s="699"/>
      <c r="M37" s="699">
        <f t="shared" si="3"/>
      </c>
      <c r="N37" s="700">
        <f t="shared" si="4"/>
        <v>20</v>
      </c>
      <c r="O37" s="701" t="str">
        <f t="shared" si="5"/>
        <v>--</v>
      </c>
      <c r="P37" s="681" t="str">
        <f t="shared" si="6"/>
        <v>--</v>
      </c>
      <c r="Q37" s="682" t="str">
        <f t="shared" si="7"/>
        <v>--</v>
      </c>
      <c r="R37" s="702" t="str">
        <f t="shared" si="8"/>
        <v>--</v>
      </c>
      <c r="S37" s="674">
        <f t="shared" si="9"/>
      </c>
      <c r="T37" s="65">
        <f t="shared" si="10"/>
      </c>
      <c r="U37" s="38"/>
    </row>
    <row r="38" spans="2:21" s="10" customFormat="1" ht="16.5" customHeight="1">
      <c r="B38" s="44"/>
      <c r="C38" s="694"/>
      <c r="D38" s="695"/>
      <c r="E38" s="695"/>
      <c r="F38" s="705"/>
      <c r="G38" s="282">
        <f t="shared" si="0"/>
        <v>1.722</v>
      </c>
      <c r="H38" s="697"/>
      <c r="I38" s="698"/>
      <c r="J38" s="35">
        <f t="shared" si="1"/>
      </c>
      <c r="K38" s="64">
        <f t="shared" si="2"/>
      </c>
      <c r="L38" s="699"/>
      <c r="M38" s="699">
        <f t="shared" si="3"/>
      </c>
      <c r="N38" s="700">
        <f t="shared" si="4"/>
        <v>20</v>
      </c>
      <c r="O38" s="701" t="str">
        <f t="shared" si="5"/>
        <v>--</v>
      </c>
      <c r="P38" s="681" t="str">
        <f t="shared" si="6"/>
        <v>--</v>
      </c>
      <c r="Q38" s="682" t="str">
        <f t="shared" si="7"/>
        <v>--</v>
      </c>
      <c r="R38" s="702" t="str">
        <f t="shared" si="8"/>
        <v>--</v>
      </c>
      <c r="S38" s="674">
        <f t="shared" si="9"/>
      </c>
      <c r="T38" s="65">
        <f t="shared" si="10"/>
      </c>
      <c r="U38" s="38"/>
    </row>
    <row r="39" spans="2:21" s="10" customFormat="1" ht="16.5" customHeight="1">
      <c r="B39" s="44"/>
      <c r="C39" s="694"/>
      <c r="D39" s="695"/>
      <c r="E39" s="695"/>
      <c r="F39" s="705"/>
      <c r="G39" s="282">
        <f t="shared" si="0"/>
        <v>1.722</v>
      </c>
      <c r="H39" s="697"/>
      <c r="I39" s="698"/>
      <c r="J39" s="35">
        <f t="shared" si="1"/>
      </c>
      <c r="K39" s="64">
        <f t="shared" si="2"/>
      </c>
      <c r="L39" s="699"/>
      <c r="M39" s="699">
        <f t="shared" si="3"/>
      </c>
      <c r="N39" s="700">
        <f t="shared" si="4"/>
        <v>20</v>
      </c>
      <c r="O39" s="701" t="str">
        <f t="shared" si="5"/>
        <v>--</v>
      </c>
      <c r="P39" s="681" t="str">
        <f t="shared" si="6"/>
        <v>--</v>
      </c>
      <c r="Q39" s="682" t="str">
        <f t="shared" si="7"/>
        <v>--</v>
      </c>
      <c r="R39" s="702" t="str">
        <f t="shared" si="8"/>
        <v>--</v>
      </c>
      <c r="S39" s="674">
        <f t="shared" si="9"/>
      </c>
      <c r="T39" s="65">
        <f t="shared" si="10"/>
      </c>
      <c r="U39" s="38"/>
    </row>
    <row r="40" spans="2:21" s="10" customFormat="1" ht="16.5" customHeight="1">
      <c r="B40" s="44"/>
      <c r="C40" s="694"/>
      <c r="D40" s="695"/>
      <c r="E40" s="695"/>
      <c r="F40" s="705"/>
      <c r="G40" s="282">
        <f t="shared" si="0"/>
        <v>1.722</v>
      </c>
      <c r="H40" s="697"/>
      <c r="I40" s="698"/>
      <c r="J40" s="35">
        <f t="shared" si="1"/>
      </c>
      <c r="K40" s="64">
        <f t="shared" si="2"/>
      </c>
      <c r="L40" s="699"/>
      <c r="M40" s="699">
        <f t="shared" si="3"/>
      </c>
      <c r="N40" s="700">
        <f t="shared" si="4"/>
        <v>20</v>
      </c>
      <c r="O40" s="701" t="str">
        <f t="shared" si="5"/>
        <v>--</v>
      </c>
      <c r="P40" s="681" t="str">
        <f t="shared" si="6"/>
        <v>--</v>
      </c>
      <c r="Q40" s="682" t="str">
        <f t="shared" si="7"/>
        <v>--</v>
      </c>
      <c r="R40" s="702" t="str">
        <f t="shared" si="8"/>
        <v>--</v>
      </c>
      <c r="S40" s="674">
        <f t="shared" si="9"/>
      </c>
      <c r="T40" s="65">
        <f t="shared" si="10"/>
      </c>
      <c r="U40" s="38"/>
    </row>
    <row r="41" spans="2:21" s="10" customFormat="1" ht="16.5" customHeight="1">
      <c r="B41" s="44"/>
      <c r="C41" s="694"/>
      <c r="D41" s="695"/>
      <c r="E41" s="695"/>
      <c r="F41" s="705"/>
      <c r="G41" s="282">
        <f t="shared" si="0"/>
        <v>1.722</v>
      </c>
      <c r="H41" s="697"/>
      <c r="I41" s="698"/>
      <c r="J41" s="35">
        <f t="shared" si="1"/>
      </c>
      <c r="K41" s="64">
        <f t="shared" si="2"/>
      </c>
      <c r="L41" s="699"/>
      <c r="M41" s="699">
        <f t="shared" si="3"/>
      </c>
      <c r="N41" s="700">
        <f t="shared" si="4"/>
        <v>20</v>
      </c>
      <c r="O41" s="701" t="str">
        <f t="shared" si="5"/>
        <v>--</v>
      </c>
      <c r="P41" s="681" t="str">
        <f t="shared" si="6"/>
        <v>--</v>
      </c>
      <c r="Q41" s="682" t="str">
        <f t="shared" si="7"/>
        <v>--</v>
      </c>
      <c r="R41" s="702" t="str">
        <f t="shared" si="8"/>
        <v>--</v>
      </c>
      <c r="S41" s="674">
        <f t="shared" si="9"/>
      </c>
      <c r="T41" s="65">
        <f t="shared" si="10"/>
      </c>
      <c r="U41" s="38"/>
    </row>
    <row r="42" spans="2:21" s="10" customFormat="1" ht="16.5" customHeight="1">
      <c r="B42" s="44"/>
      <c r="C42" s="694"/>
      <c r="D42" s="695"/>
      <c r="E42" s="695"/>
      <c r="F42" s="705"/>
      <c r="G42" s="282">
        <f t="shared" si="0"/>
        <v>1.722</v>
      </c>
      <c r="H42" s="697"/>
      <c r="I42" s="698"/>
      <c r="J42" s="35">
        <f t="shared" si="1"/>
      </c>
      <c r="K42" s="64">
        <f t="shared" si="2"/>
      </c>
      <c r="L42" s="699"/>
      <c r="M42" s="699">
        <f t="shared" si="3"/>
      </c>
      <c r="N42" s="700">
        <f t="shared" si="4"/>
        <v>20</v>
      </c>
      <c r="O42" s="701" t="str">
        <f t="shared" si="5"/>
        <v>--</v>
      </c>
      <c r="P42" s="681" t="str">
        <f t="shared" si="6"/>
        <v>--</v>
      </c>
      <c r="Q42" s="682" t="str">
        <f t="shared" si="7"/>
        <v>--</v>
      </c>
      <c r="R42" s="702" t="str">
        <f t="shared" si="8"/>
        <v>--</v>
      </c>
      <c r="S42" s="674">
        <f t="shared" si="9"/>
      </c>
      <c r="T42" s="65">
        <f t="shared" si="10"/>
      </c>
      <c r="U42" s="38"/>
    </row>
    <row r="43" spans="2:21" s="10" customFormat="1" ht="16.5" customHeight="1">
      <c r="B43" s="44"/>
      <c r="C43" s="694"/>
      <c r="D43" s="695"/>
      <c r="E43" s="695"/>
      <c r="F43" s="705"/>
      <c r="G43" s="282">
        <f t="shared" si="0"/>
        <v>1.722</v>
      </c>
      <c r="H43" s="697"/>
      <c r="I43" s="698"/>
      <c r="J43" s="35">
        <f t="shared" si="1"/>
      </c>
      <c r="K43" s="64">
        <f t="shared" si="2"/>
      </c>
      <c r="L43" s="699"/>
      <c r="M43" s="699">
        <f t="shared" si="3"/>
      </c>
      <c r="N43" s="700">
        <f t="shared" si="4"/>
        <v>20</v>
      </c>
      <c r="O43" s="701" t="str">
        <f t="shared" si="5"/>
        <v>--</v>
      </c>
      <c r="P43" s="681" t="str">
        <f t="shared" si="6"/>
        <v>--</v>
      </c>
      <c r="Q43" s="682" t="str">
        <f t="shared" si="7"/>
        <v>--</v>
      </c>
      <c r="R43" s="702" t="str">
        <f t="shared" si="8"/>
        <v>--</v>
      </c>
      <c r="S43" s="674">
        <f t="shared" si="9"/>
      </c>
      <c r="T43" s="65">
        <f t="shared" si="10"/>
      </c>
      <c r="U43" s="38"/>
    </row>
    <row r="44" spans="2:21" s="10" customFormat="1" ht="16.5" customHeight="1" thickBot="1">
      <c r="B44" s="44"/>
      <c r="C44" s="672"/>
      <c r="D44" s="672"/>
      <c r="E44" s="672"/>
      <c r="F44" s="672"/>
      <c r="G44" s="281"/>
      <c r="H44" s="672"/>
      <c r="I44" s="672"/>
      <c r="J44" s="29"/>
      <c r="K44" s="29"/>
      <c r="L44" s="672"/>
      <c r="M44" s="672"/>
      <c r="N44" s="703"/>
      <c r="O44" s="704"/>
      <c r="P44" s="690"/>
      <c r="Q44" s="691"/>
      <c r="R44" s="685"/>
      <c r="S44" s="672"/>
      <c r="T44" s="219"/>
      <c r="U44" s="38"/>
    </row>
    <row r="45" spans="2:23" s="10" customFormat="1" ht="16.5" customHeight="1" thickBot="1" thickTop="1">
      <c r="B45" s="44"/>
      <c r="C45" s="249" t="s">
        <v>79</v>
      </c>
      <c r="D45" s="250" t="s">
        <v>180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408">
        <f>ROUND(SUM(O22:O44),2)</f>
        <v>0.41</v>
      </c>
      <c r="P45" s="336">
        <f>SUM(P22:P44)</f>
        <v>0</v>
      </c>
      <c r="Q45" s="336">
        <f>SUM(Q22:Q44)</f>
        <v>0</v>
      </c>
      <c r="R45" s="409">
        <f>SUM(R22:R44)</f>
        <v>0</v>
      </c>
      <c r="S45" s="66"/>
      <c r="T45" s="265">
        <f>SUM(T22:T44)</f>
        <v>0.41328</v>
      </c>
      <c r="U45" s="38"/>
      <c r="W45" s="818">
        <f>SUM(W26:W44)</f>
        <v>0.54576</v>
      </c>
    </row>
    <row r="46" spans="2:21" s="267" customFormat="1" ht="9.75" thickTop="1">
      <c r="B46" s="266"/>
      <c r="C46" s="251"/>
      <c r="D46" s="252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1"/>
      <c r="T46" s="272"/>
      <c r="U46" s="273"/>
    </row>
    <row r="47" spans="1:21" s="10" customFormat="1" ht="16.5" customHeight="1" thickBot="1">
      <c r="A47" s="11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6"/>
    </row>
    <row r="48" spans="1:21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3:4" ht="12.75">
      <c r="C49" s="6"/>
      <c r="D49" s="6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AD91"/>
  <sheetViews>
    <sheetView zoomScale="75" zoomScaleNormal="75" workbookViewId="0" topLeftCell="E10">
      <selection activeCell="B12" sqref="B1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6.28125" style="0" hidden="1" customWidth="1"/>
    <col min="8" max="9" width="15.7109375" style="0" customWidth="1"/>
    <col min="10" max="12" width="9.7109375" style="0" customWidth="1"/>
    <col min="13" max="13" width="14.140625" style="0" customWidth="1"/>
    <col min="14" max="23" width="14.140625" style="0" hidden="1" customWidth="1"/>
    <col min="24" max="24" width="14.140625" style="0" customWidth="1"/>
    <col min="25" max="26" width="15.7109375" style="0" customWidth="1"/>
  </cols>
  <sheetData>
    <row r="1" s="108" customFormat="1" ht="26.25">
      <c r="Z1" s="421"/>
    </row>
    <row r="2" spans="2:26" s="108" customFormat="1" ht="26.25">
      <c r="B2" s="109" t="str">
        <f>+'TOT-0806'!B2</f>
        <v>ANEXO VI al Memorándum D.T.E.E. N°  452  /2010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="10" customFormat="1" ht="12.75"/>
    <row r="4" spans="1:2" s="111" customFormat="1" ht="11.25">
      <c r="A4" s="127" t="s">
        <v>28</v>
      </c>
      <c r="B4" s="127"/>
    </row>
    <row r="5" spans="1:2" s="111" customFormat="1" ht="11.25">
      <c r="A5" s="127" t="s">
        <v>29</v>
      </c>
      <c r="B5" s="127"/>
    </row>
    <row r="6" s="10" customFormat="1" ht="13.5" thickBot="1"/>
    <row r="7" spans="1:26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3"/>
    </row>
    <row r="8" spans="1:26" s="113" customFormat="1" ht="20.25">
      <c r="A8" s="45"/>
      <c r="B8" s="112"/>
      <c r="C8" s="45"/>
      <c r="D8" s="21" t="s">
        <v>55</v>
      </c>
      <c r="E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114"/>
    </row>
    <row r="9" spans="1:26" s="10" customFormat="1" ht="12.75">
      <c r="A9" s="8"/>
      <c r="B9" s="44"/>
      <c r="C9" s="8"/>
      <c r="D9" s="125"/>
      <c r="E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1"/>
    </row>
    <row r="10" spans="1:26" s="113" customFormat="1" ht="20.25">
      <c r="A10" s="45"/>
      <c r="B10" s="112"/>
      <c r="C10" s="45"/>
      <c r="D10" s="21" t="s">
        <v>175</v>
      </c>
      <c r="E10" s="21"/>
      <c r="F10" s="45"/>
      <c r="G10" s="115"/>
      <c r="H10" s="115"/>
      <c r="I10" s="115"/>
      <c r="J10" s="115"/>
      <c r="K10" s="115"/>
      <c r="L10" s="115"/>
      <c r="M10" s="11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114"/>
    </row>
    <row r="11" spans="1:26" s="10" customFormat="1" ht="12.75">
      <c r="A11" s="8"/>
      <c r="B11" s="44"/>
      <c r="C11" s="8"/>
      <c r="D11" s="124"/>
      <c r="E11" s="122"/>
      <c r="F11" s="8"/>
      <c r="G11" s="121"/>
      <c r="H11" s="121"/>
      <c r="I11" s="121"/>
      <c r="J11" s="121"/>
      <c r="K11" s="121"/>
      <c r="L11" s="121"/>
      <c r="M11" s="121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s="120" customFormat="1" ht="19.5">
      <c r="A12" s="47"/>
      <c r="B12" s="87" t="str">
        <f>+'TOT-0806'!B14</f>
        <v>Desde el 01 al 30 de junio de 2008</v>
      </c>
      <c r="C12" s="116"/>
      <c r="D12" s="116"/>
      <c r="E12" s="117"/>
      <c r="F12" s="117"/>
      <c r="G12" s="118"/>
      <c r="H12" s="118"/>
      <c r="I12" s="118"/>
      <c r="J12" s="118"/>
      <c r="K12" s="118"/>
      <c r="L12" s="118"/>
      <c r="M12" s="118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9"/>
    </row>
    <row r="13" spans="1:26" s="120" customFormat="1" ht="7.5" customHeight="1">
      <c r="A13" s="47"/>
      <c r="B13" s="87"/>
      <c r="C13" s="116"/>
      <c r="D13" s="116"/>
      <c r="E13" s="117"/>
      <c r="F13" s="117"/>
      <c r="G13" s="118"/>
      <c r="H13" s="118"/>
      <c r="I13" s="118"/>
      <c r="J13" s="118"/>
      <c r="K13" s="118"/>
      <c r="L13" s="118"/>
      <c r="M13" s="118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9"/>
    </row>
    <row r="14" spans="1:26" s="10" customFormat="1" ht="7.5" customHeight="1" thickBot="1">
      <c r="A14" s="8"/>
      <c r="B14" s="44"/>
      <c r="C14" s="8"/>
      <c r="D14" s="8"/>
      <c r="E14" s="122"/>
      <c r="F14" s="123"/>
      <c r="G14" s="121"/>
      <c r="H14" s="121"/>
      <c r="I14" s="121"/>
      <c r="J14" s="121"/>
      <c r="K14" s="121"/>
      <c r="L14" s="121"/>
      <c r="M14" s="121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1"/>
    </row>
    <row r="15" spans="1:26" s="94" customFormat="1" ht="16.5" customHeight="1" thickBot="1" thickTop="1">
      <c r="A15" s="90"/>
      <c r="B15" s="91"/>
      <c r="C15" s="90"/>
      <c r="D15" s="515" t="s">
        <v>58</v>
      </c>
      <c r="E15" s="516">
        <v>51.653</v>
      </c>
      <c r="F15" s="246"/>
      <c r="G15" s="95"/>
      <c r="H15" s="95"/>
      <c r="I15" s="95"/>
      <c r="J15" s="95"/>
      <c r="K15" s="95"/>
      <c r="L15" s="95"/>
      <c r="M15" s="95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3"/>
    </row>
    <row r="16" spans="1:26" s="94" customFormat="1" ht="16.5" customHeight="1" thickBot="1" thickTop="1">
      <c r="A16" s="90"/>
      <c r="B16" s="91"/>
      <c r="C16" s="90"/>
      <c r="D16" s="515" t="s">
        <v>59</v>
      </c>
      <c r="E16" s="516">
        <v>49.357</v>
      </c>
      <c r="F16" s="247"/>
      <c r="G16" s="90"/>
      <c r="I16" s="96" t="s">
        <v>60</v>
      </c>
      <c r="J16" s="97">
        <f>30*'TOT-0806'!B13</f>
        <v>30</v>
      </c>
      <c r="K16" s="243" t="str">
        <f>IF(J16=30," ",IF(J16=60,"Coeficiente duplicado por tasa de falla &gt;4 Sal. x año/100 km.","REVISAR COEFICIENTE"))</f>
        <v> </v>
      </c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3"/>
    </row>
    <row r="17" spans="1:26" s="94" customFormat="1" ht="7.5" customHeight="1" thickTop="1">
      <c r="A17" s="90"/>
      <c r="B17" s="91"/>
      <c r="C17" s="90"/>
      <c r="D17" s="731"/>
      <c r="E17" s="732"/>
      <c r="F17" s="733"/>
      <c r="G17" s="90"/>
      <c r="I17" s="96"/>
      <c r="J17" s="97"/>
      <c r="K17" s="243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3"/>
    </row>
    <row r="18" spans="1:26" s="10" customFormat="1" ht="7.5" customHeight="1" thickBot="1">
      <c r="A18" s="8"/>
      <c r="B18" s="44"/>
      <c r="C18" s="8"/>
      <c r="D18" s="8"/>
      <c r="E18" s="8"/>
      <c r="F18" s="8"/>
      <c r="G18" s="8"/>
      <c r="H18" s="12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1"/>
    </row>
    <row r="19" spans="1:26" s="107" customFormat="1" ht="33.75" customHeight="1" thickBot="1" thickTop="1">
      <c r="A19" s="98"/>
      <c r="B19" s="99"/>
      <c r="C19" s="100" t="s">
        <v>61</v>
      </c>
      <c r="D19" s="101" t="s">
        <v>31</v>
      </c>
      <c r="E19" s="102" t="s">
        <v>62</v>
      </c>
      <c r="F19" s="103" t="s">
        <v>63</v>
      </c>
      <c r="G19" s="274" t="s">
        <v>64</v>
      </c>
      <c r="H19" s="101" t="s">
        <v>65</v>
      </c>
      <c r="I19" s="101" t="s">
        <v>66</v>
      </c>
      <c r="J19" s="102" t="s">
        <v>67</v>
      </c>
      <c r="K19" s="102" t="s">
        <v>68</v>
      </c>
      <c r="L19" s="104" t="s">
        <v>69</v>
      </c>
      <c r="M19" s="102" t="s">
        <v>70</v>
      </c>
      <c r="N19" s="303" t="s">
        <v>71</v>
      </c>
      <c r="O19" s="306" t="s">
        <v>72</v>
      </c>
      <c r="P19" s="309" t="s">
        <v>73</v>
      </c>
      <c r="Q19" s="310"/>
      <c r="R19" s="311"/>
      <c r="S19" s="320" t="s">
        <v>74</v>
      </c>
      <c r="T19" s="321"/>
      <c r="U19" s="322"/>
      <c r="V19" s="330" t="s">
        <v>75</v>
      </c>
      <c r="W19" s="333" t="s">
        <v>76</v>
      </c>
      <c r="X19" s="105" t="s">
        <v>77</v>
      </c>
      <c r="Y19" s="105" t="s">
        <v>78</v>
      </c>
      <c r="Z19" s="106"/>
    </row>
    <row r="20" spans="1:30" ht="16.5" customHeight="1" thickTop="1">
      <c r="A20" s="1"/>
      <c r="B20" s="2"/>
      <c r="C20" s="51"/>
      <c r="D20" s="52"/>
      <c r="E20" s="53"/>
      <c r="F20" s="53"/>
      <c r="G20" s="275"/>
      <c r="H20" s="53"/>
      <c r="I20" s="54"/>
      <c r="J20" s="54"/>
      <c r="K20" s="54"/>
      <c r="L20" s="52"/>
      <c r="M20" s="53"/>
      <c r="N20" s="304"/>
      <c r="O20" s="307"/>
      <c r="P20" s="312"/>
      <c r="Q20" s="313"/>
      <c r="R20" s="314"/>
      <c r="S20" s="323"/>
      <c r="T20" s="324"/>
      <c r="U20" s="325"/>
      <c r="V20" s="331"/>
      <c r="W20" s="334"/>
      <c r="X20" s="318"/>
      <c r="Y20" s="54"/>
      <c r="Z20" s="3"/>
      <c r="AD20">
        <f>+'SUP-SPSE'!J17</f>
        <v>65.168</v>
      </c>
    </row>
    <row r="21" spans="1:28" ht="16.5" customHeight="1">
      <c r="A21" s="1"/>
      <c r="B21" s="2"/>
      <c r="C21" s="738"/>
      <c r="D21" s="738"/>
      <c r="E21" s="739"/>
      <c r="F21" s="739"/>
      <c r="G21" s="276"/>
      <c r="H21" s="51"/>
      <c r="I21" s="89"/>
      <c r="J21" s="89"/>
      <c r="K21" s="89"/>
      <c r="L21" s="88"/>
      <c r="M21" s="51"/>
      <c r="N21" s="305"/>
      <c r="O21" s="308"/>
      <c r="P21" s="315"/>
      <c r="Q21" s="316"/>
      <c r="R21" s="317"/>
      <c r="S21" s="326"/>
      <c r="T21" s="327"/>
      <c r="U21" s="328"/>
      <c r="V21" s="332"/>
      <c r="W21" s="335"/>
      <c r="X21" s="319"/>
      <c r="Y21" s="89"/>
      <c r="Z21" s="3"/>
      <c r="AB21" t="s">
        <v>198</v>
      </c>
    </row>
    <row r="22" spans="1:28" ht="16.5" customHeight="1">
      <c r="A22" s="1"/>
      <c r="B22" s="2"/>
      <c r="C22" s="741">
        <v>14</v>
      </c>
      <c r="D22" s="740" t="s">
        <v>4</v>
      </c>
      <c r="E22" s="741">
        <v>132</v>
      </c>
      <c r="F22" s="741">
        <v>209</v>
      </c>
      <c r="G22" s="277">
        <f aca="true" t="shared" si="0" ref="G22:G41">IF(F22&gt;25,F22,25)*IF(E22=330,$E$15,$E$16)/100</f>
        <v>103.15612999999999</v>
      </c>
      <c r="H22" s="528">
        <v>39629.467361111114</v>
      </c>
      <c r="I22" s="528">
        <v>39629.46944444445</v>
      </c>
      <c r="J22" s="13">
        <f>IF(D22="","",(I22-H22)*24)</f>
        <v>0.04999999998835847</v>
      </c>
      <c r="K22" s="14">
        <f aca="true" t="shared" si="1" ref="K22:K41">IF(D22="","",ROUND((I22-H22)*24*60,0))</f>
        <v>3</v>
      </c>
      <c r="L22" s="529" t="s">
        <v>167</v>
      </c>
      <c r="M22" s="530" t="str">
        <f aca="true" t="shared" si="2" ref="M22:M41">IF(D22="","","--")</f>
        <v>--</v>
      </c>
      <c r="N22" s="531" t="str">
        <f aca="true" t="shared" si="3" ref="N22:N41">IF(L22="P",ROUND(K22/60,2)*G22*$J$16*0.01,"--")</f>
        <v>--</v>
      </c>
      <c r="O22" s="532" t="str">
        <f aca="true" t="shared" si="4" ref="O22:O41">IF(L22="RP",ROUND(K22/60,2)*G22*$J$16*0.01*M22/100,"--")</f>
        <v>--</v>
      </c>
      <c r="P22" s="533">
        <f aca="true" t="shared" si="5" ref="P22:P41">IF(L22="F",G22*$J$16,"--")</f>
        <v>3094.6838999999995</v>
      </c>
      <c r="Q22" s="534" t="str">
        <f aca="true" t="shared" si="6" ref="Q22:Q41">IF(AND(K22&gt;10,L22="F"),G22*$J$16*IF(K22&gt;180,3,ROUND(K22/60,2)),"--")</f>
        <v>--</v>
      </c>
      <c r="R22" s="535" t="str">
        <f aca="true" t="shared" si="7" ref="R22:R41">IF(AND(K22&gt;180,L22="F"),(ROUND(K22/60,2)-3)*G22*$J$16*0.1,"--")</f>
        <v>--</v>
      </c>
      <c r="S22" s="536" t="str">
        <f aca="true" t="shared" si="8" ref="S22:S41">IF(L22="R",G22*$J$16*M22/100,"--")</f>
        <v>--</v>
      </c>
      <c r="T22" s="537" t="str">
        <f aca="true" t="shared" si="9" ref="T22:T41">IF(AND(K22&gt;10,L22="R"),G22*$J$16*M22/100*IF(K22&gt;180,3,ROUND(K22/60,2)),"--")</f>
        <v>--</v>
      </c>
      <c r="U22" s="538" t="str">
        <f aca="true" t="shared" si="10" ref="U22:U41">IF(AND(K22&gt;180,L22="R"),(ROUND(K22/60,2)-3)*M22/100*G22*$J$16*0.1,"--")</f>
        <v>--</v>
      </c>
      <c r="V22" s="539" t="str">
        <f aca="true" t="shared" si="11" ref="V22:V41">IF(L22="RF",ROUND(K22/60,2)*G22*$J$16*0.1,"--")</f>
        <v>--</v>
      </c>
      <c r="W22" s="540" t="str">
        <f aca="true" t="shared" si="12" ref="W22:W41">IF(L22="RR",ROUND(K22/60,2)*M22/100*G22*$J$16*0.1,"--")</f>
        <v>--</v>
      </c>
      <c r="X22" s="541" t="str">
        <f aca="true" t="shared" si="13" ref="X22:X41">IF(D22="","","SI")</f>
        <v>SI</v>
      </c>
      <c r="Y22" s="55">
        <f aca="true" t="shared" si="14" ref="Y22:Y41">IF(D22="","",SUM(N22:W22)*IF(X22="SI",1,2))</f>
        <v>3094.6838999999995</v>
      </c>
      <c r="Z22" s="3"/>
      <c r="AB22" s="817">
        <f>+Y22*$AD$20/$E$16</f>
        <v>4086.0336</v>
      </c>
    </row>
    <row r="23" spans="1:28" ht="16.5" customHeight="1">
      <c r="A23" s="1"/>
      <c r="B23" s="2"/>
      <c r="C23" s="89">
        <v>15</v>
      </c>
      <c r="D23" s="51" t="s">
        <v>4</v>
      </c>
      <c r="E23" s="742">
        <v>132</v>
      </c>
      <c r="F23" s="742">
        <v>209</v>
      </c>
      <c r="G23" s="277">
        <f t="shared" si="0"/>
        <v>103.15612999999999</v>
      </c>
      <c r="H23" s="528">
        <v>39629.47361111111</v>
      </c>
      <c r="I23" s="528">
        <v>39629.55625</v>
      </c>
      <c r="J23" s="13">
        <f aca="true" t="shared" si="15" ref="J23:J41">IF(D23="","",(I23-H23)*24)</f>
        <v>1.9833333333372138</v>
      </c>
      <c r="K23" s="14">
        <f t="shared" si="1"/>
        <v>119</v>
      </c>
      <c r="L23" s="529" t="s">
        <v>167</v>
      </c>
      <c r="M23" s="530" t="str">
        <f t="shared" si="2"/>
        <v>--</v>
      </c>
      <c r="N23" s="531" t="str">
        <f t="shared" si="3"/>
        <v>--</v>
      </c>
      <c r="O23" s="532" t="str">
        <f t="shared" si="4"/>
        <v>--</v>
      </c>
      <c r="P23" s="533">
        <f t="shared" si="5"/>
        <v>3094.6838999999995</v>
      </c>
      <c r="Q23" s="534">
        <f t="shared" si="6"/>
        <v>6127.474121999999</v>
      </c>
      <c r="R23" s="535" t="str">
        <f t="shared" si="7"/>
        <v>--</v>
      </c>
      <c r="S23" s="536" t="str">
        <f t="shared" si="8"/>
        <v>--</v>
      </c>
      <c r="T23" s="537" t="str">
        <f t="shared" si="9"/>
        <v>--</v>
      </c>
      <c r="U23" s="538" t="str">
        <f t="shared" si="10"/>
        <v>--</v>
      </c>
      <c r="V23" s="539" t="str">
        <f t="shared" si="11"/>
        <v>--</v>
      </c>
      <c r="W23" s="540" t="str">
        <f t="shared" si="12"/>
        <v>--</v>
      </c>
      <c r="X23" s="541" t="str">
        <f t="shared" si="13"/>
        <v>SI</v>
      </c>
      <c r="Y23" s="55">
        <f t="shared" si="14"/>
        <v>9222.158021999998</v>
      </c>
      <c r="Z23" s="3"/>
      <c r="AB23" s="817">
        <f>+Y23*$AD$20/$E$16</f>
        <v>12176.380127999999</v>
      </c>
    </row>
    <row r="24" spans="1:26" ht="16.5" customHeight="1">
      <c r="A24" s="1"/>
      <c r="B24" s="2"/>
      <c r="C24" s="520"/>
      <c r="D24" s="521"/>
      <c r="E24" s="522"/>
      <c r="F24" s="523"/>
      <c r="G24" s="277">
        <f t="shared" si="0"/>
        <v>12.33925</v>
      </c>
      <c r="H24" s="528"/>
      <c r="I24" s="528"/>
      <c r="J24" s="13">
        <f t="shared" si="15"/>
      </c>
      <c r="K24" s="14">
        <f t="shared" si="1"/>
      </c>
      <c r="L24" s="529"/>
      <c r="M24" s="530">
        <f t="shared" si="2"/>
      </c>
      <c r="N24" s="531" t="str">
        <f t="shared" si="3"/>
        <v>--</v>
      </c>
      <c r="O24" s="532" t="str">
        <f t="shared" si="4"/>
        <v>--</v>
      </c>
      <c r="P24" s="533" t="str">
        <f t="shared" si="5"/>
        <v>--</v>
      </c>
      <c r="Q24" s="534" t="str">
        <f t="shared" si="6"/>
        <v>--</v>
      </c>
      <c r="R24" s="535" t="str">
        <f t="shared" si="7"/>
        <v>--</v>
      </c>
      <c r="S24" s="536" t="str">
        <f t="shared" si="8"/>
        <v>--</v>
      </c>
      <c r="T24" s="537" t="str">
        <f t="shared" si="9"/>
        <v>--</v>
      </c>
      <c r="U24" s="538" t="str">
        <f t="shared" si="10"/>
        <v>--</v>
      </c>
      <c r="V24" s="539" t="str">
        <f t="shared" si="11"/>
        <v>--</v>
      </c>
      <c r="W24" s="540" t="str">
        <f t="shared" si="12"/>
        <v>--</v>
      </c>
      <c r="X24" s="541">
        <f t="shared" si="13"/>
      </c>
      <c r="Y24" s="55">
        <f t="shared" si="14"/>
      </c>
      <c r="Z24" s="3"/>
    </row>
    <row r="25" spans="1:26" ht="16.5" customHeight="1">
      <c r="A25" s="1"/>
      <c r="B25" s="2"/>
      <c r="C25" s="520"/>
      <c r="D25" s="521"/>
      <c r="E25" s="522"/>
      <c r="F25" s="523"/>
      <c r="G25" s="277">
        <f t="shared" si="0"/>
        <v>12.33925</v>
      </c>
      <c r="H25" s="528"/>
      <c r="I25" s="528"/>
      <c r="J25" s="13">
        <f t="shared" si="15"/>
      </c>
      <c r="K25" s="14">
        <f t="shared" si="1"/>
      </c>
      <c r="L25" s="529"/>
      <c r="M25" s="530">
        <f t="shared" si="2"/>
      </c>
      <c r="N25" s="531" t="str">
        <f t="shared" si="3"/>
        <v>--</v>
      </c>
      <c r="O25" s="532" t="str">
        <f t="shared" si="4"/>
        <v>--</v>
      </c>
      <c r="P25" s="533" t="str">
        <f t="shared" si="5"/>
        <v>--</v>
      </c>
      <c r="Q25" s="534" t="str">
        <f t="shared" si="6"/>
        <v>--</v>
      </c>
      <c r="R25" s="535" t="str">
        <f t="shared" si="7"/>
        <v>--</v>
      </c>
      <c r="S25" s="536" t="str">
        <f t="shared" si="8"/>
        <v>--</v>
      </c>
      <c r="T25" s="537" t="str">
        <f t="shared" si="9"/>
        <v>--</v>
      </c>
      <c r="U25" s="538" t="str">
        <f t="shared" si="10"/>
        <v>--</v>
      </c>
      <c r="V25" s="539" t="str">
        <f t="shared" si="11"/>
        <v>--</v>
      </c>
      <c r="W25" s="540" t="str">
        <f t="shared" si="12"/>
        <v>--</v>
      </c>
      <c r="X25" s="541">
        <f t="shared" si="13"/>
      </c>
      <c r="Y25" s="55">
        <f t="shared" si="14"/>
      </c>
      <c r="Z25" s="3"/>
    </row>
    <row r="26" spans="1:26" ht="16.5" customHeight="1">
      <c r="A26" s="1"/>
      <c r="B26" s="2"/>
      <c r="C26" s="520"/>
      <c r="D26" s="521"/>
      <c r="E26" s="522"/>
      <c r="F26" s="523"/>
      <c r="G26" s="277">
        <f t="shared" si="0"/>
        <v>12.33925</v>
      </c>
      <c r="H26" s="528"/>
      <c r="I26" s="528"/>
      <c r="J26" s="13">
        <f t="shared" si="15"/>
      </c>
      <c r="K26" s="14">
        <f t="shared" si="1"/>
      </c>
      <c r="L26" s="529"/>
      <c r="M26" s="530">
        <f t="shared" si="2"/>
      </c>
      <c r="N26" s="531" t="str">
        <f t="shared" si="3"/>
        <v>--</v>
      </c>
      <c r="O26" s="532" t="str">
        <f t="shared" si="4"/>
        <v>--</v>
      </c>
      <c r="P26" s="533" t="str">
        <f t="shared" si="5"/>
        <v>--</v>
      </c>
      <c r="Q26" s="534" t="str">
        <f t="shared" si="6"/>
        <v>--</v>
      </c>
      <c r="R26" s="535" t="str">
        <f t="shared" si="7"/>
        <v>--</v>
      </c>
      <c r="S26" s="536" t="str">
        <f t="shared" si="8"/>
        <v>--</v>
      </c>
      <c r="T26" s="537" t="str">
        <f t="shared" si="9"/>
        <v>--</v>
      </c>
      <c r="U26" s="538" t="str">
        <f t="shared" si="10"/>
        <v>--</v>
      </c>
      <c r="V26" s="539" t="str">
        <f t="shared" si="11"/>
        <v>--</v>
      </c>
      <c r="W26" s="540" t="str">
        <f t="shared" si="12"/>
        <v>--</v>
      </c>
      <c r="X26" s="541">
        <f t="shared" si="13"/>
      </c>
      <c r="Y26" s="55">
        <f t="shared" si="14"/>
      </c>
      <c r="Z26" s="3"/>
    </row>
    <row r="27" spans="1:26" ht="16.5" customHeight="1">
      <c r="A27" s="1"/>
      <c r="B27" s="2"/>
      <c r="C27" s="520"/>
      <c r="D27" s="521"/>
      <c r="E27" s="522"/>
      <c r="F27" s="523"/>
      <c r="G27" s="277">
        <f t="shared" si="0"/>
        <v>12.33925</v>
      </c>
      <c r="H27" s="528"/>
      <c r="I27" s="528"/>
      <c r="J27" s="13">
        <f t="shared" si="15"/>
      </c>
      <c r="K27" s="14">
        <f t="shared" si="1"/>
      </c>
      <c r="L27" s="529"/>
      <c r="M27" s="530">
        <f t="shared" si="2"/>
      </c>
      <c r="N27" s="531" t="str">
        <f t="shared" si="3"/>
        <v>--</v>
      </c>
      <c r="O27" s="532" t="str">
        <f t="shared" si="4"/>
        <v>--</v>
      </c>
      <c r="P27" s="533" t="str">
        <f t="shared" si="5"/>
        <v>--</v>
      </c>
      <c r="Q27" s="534" t="str">
        <f t="shared" si="6"/>
        <v>--</v>
      </c>
      <c r="R27" s="535" t="str">
        <f t="shared" si="7"/>
        <v>--</v>
      </c>
      <c r="S27" s="536" t="str">
        <f t="shared" si="8"/>
        <v>--</v>
      </c>
      <c r="T27" s="537" t="str">
        <f t="shared" si="9"/>
        <v>--</v>
      </c>
      <c r="U27" s="538" t="str">
        <f t="shared" si="10"/>
        <v>--</v>
      </c>
      <c r="V27" s="539" t="str">
        <f t="shared" si="11"/>
        <v>--</v>
      </c>
      <c r="W27" s="540" t="str">
        <f t="shared" si="12"/>
        <v>--</v>
      </c>
      <c r="X27" s="541">
        <f t="shared" si="13"/>
      </c>
      <c r="Y27" s="55">
        <f t="shared" si="14"/>
      </c>
      <c r="Z27" s="3"/>
    </row>
    <row r="28" spans="1:26" ht="16.5" customHeight="1">
      <c r="A28" s="1"/>
      <c r="B28" s="2"/>
      <c r="C28" s="520"/>
      <c r="D28" s="521"/>
      <c r="E28" s="522"/>
      <c r="F28" s="523"/>
      <c r="G28" s="277">
        <f t="shared" si="0"/>
        <v>12.33925</v>
      </c>
      <c r="H28" s="528"/>
      <c r="I28" s="528"/>
      <c r="J28" s="13">
        <f t="shared" si="15"/>
      </c>
      <c r="K28" s="14">
        <f t="shared" si="1"/>
      </c>
      <c r="L28" s="529"/>
      <c r="M28" s="530">
        <f t="shared" si="2"/>
      </c>
      <c r="N28" s="531" t="str">
        <f t="shared" si="3"/>
        <v>--</v>
      </c>
      <c r="O28" s="532" t="str">
        <f t="shared" si="4"/>
        <v>--</v>
      </c>
      <c r="P28" s="533" t="str">
        <f t="shared" si="5"/>
        <v>--</v>
      </c>
      <c r="Q28" s="534" t="str">
        <f t="shared" si="6"/>
        <v>--</v>
      </c>
      <c r="R28" s="535" t="str">
        <f t="shared" si="7"/>
        <v>--</v>
      </c>
      <c r="S28" s="536" t="str">
        <f t="shared" si="8"/>
        <v>--</v>
      </c>
      <c r="T28" s="537" t="str">
        <f t="shared" si="9"/>
        <v>--</v>
      </c>
      <c r="U28" s="538" t="str">
        <f t="shared" si="10"/>
        <v>--</v>
      </c>
      <c r="V28" s="539" t="str">
        <f t="shared" si="11"/>
        <v>--</v>
      </c>
      <c r="W28" s="540" t="str">
        <f t="shared" si="12"/>
        <v>--</v>
      </c>
      <c r="X28" s="541">
        <f t="shared" si="13"/>
      </c>
      <c r="Y28" s="55">
        <f t="shared" si="14"/>
      </c>
      <c r="Z28" s="3"/>
    </row>
    <row r="29" spans="1:26" ht="16.5" customHeight="1">
      <c r="A29" s="1"/>
      <c r="B29" s="2"/>
      <c r="C29" s="520"/>
      <c r="D29" s="521"/>
      <c r="E29" s="522"/>
      <c r="F29" s="523"/>
      <c r="G29" s="277">
        <f t="shared" si="0"/>
        <v>12.33925</v>
      </c>
      <c r="H29" s="528"/>
      <c r="I29" s="528"/>
      <c r="J29" s="13">
        <f t="shared" si="15"/>
      </c>
      <c r="K29" s="14">
        <f t="shared" si="1"/>
      </c>
      <c r="L29" s="529"/>
      <c r="M29" s="530">
        <f t="shared" si="2"/>
      </c>
      <c r="N29" s="531" t="str">
        <f t="shared" si="3"/>
        <v>--</v>
      </c>
      <c r="O29" s="532" t="str">
        <f t="shared" si="4"/>
        <v>--</v>
      </c>
      <c r="P29" s="533" t="str">
        <f t="shared" si="5"/>
        <v>--</v>
      </c>
      <c r="Q29" s="534" t="str">
        <f t="shared" si="6"/>
        <v>--</v>
      </c>
      <c r="R29" s="535" t="str">
        <f t="shared" si="7"/>
        <v>--</v>
      </c>
      <c r="S29" s="536" t="str">
        <f t="shared" si="8"/>
        <v>--</v>
      </c>
      <c r="T29" s="537" t="str">
        <f t="shared" si="9"/>
        <v>--</v>
      </c>
      <c r="U29" s="538" t="str">
        <f t="shared" si="10"/>
        <v>--</v>
      </c>
      <c r="V29" s="539" t="str">
        <f t="shared" si="11"/>
        <v>--</v>
      </c>
      <c r="W29" s="540" t="str">
        <f t="shared" si="12"/>
        <v>--</v>
      </c>
      <c r="X29" s="541">
        <f t="shared" si="13"/>
      </c>
      <c r="Y29" s="55">
        <f t="shared" si="14"/>
      </c>
      <c r="Z29" s="3"/>
    </row>
    <row r="30" spans="1:26" ht="16.5" customHeight="1">
      <c r="A30" s="1"/>
      <c r="B30" s="2"/>
      <c r="C30" s="520"/>
      <c r="D30" s="521"/>
      <c r="E30" s="522"/>
      <c r="F30" s="523"/>
      <c r="G30" s="277">
        <f t="shared" si="0"/>
        <v>12.33925</v>
      </c>
      <c r="H30" s="528"/>
      <c r="I30" s="528"/>
      <c r="J30" s="13">
        <f t="shared" si="15"/>
      </c>
      <c r="K30" s="14">
        <f t="shared" si="1"/>
      </c>
      <c r="L30" s="529"/>
      <c r="M30" s="530">
        <f t="shared" si="2"/>
      </c>
      <c r="N30" s="531" t="str">
        <f t="shared" si="3"/>
        <v>--</v>
      </c>
      <c r="O30" s="532" t="str">
        <f t="shared" si="4"/>
        <v>--</v>
      </c>
      <c r="P30" s="533" t="str">
        <f t="shared" si="5"/>
        <v>--</v>
      </c>
      <c r="Q30" s="534" t="str">
        <f t="shared" si="6"/>
        <v>--</v>
      </c>
      <c r="R30" s="535" t="str">
        <f t="shared" si="7"/>
        <v>--</v>
      </c>
      <c r="S30" s="536" t="str">
        <f t="shared" si="8"/>
        <v>--</v>
      </c>
      <c r="T30" s="537" t="str">
        <f t="shared" si="9"/>
        <v>--</v>
      </c>
      <c r="U30" s="538" t="str">
        <f t="shared" si="10"/>
        <v>--</v>
      </c>
      <c r="V30" s="539" t="str">
        <f t="shared" si="11"/>
        <v>--</v>
      </c>
      <c r="W30" s="540" t="str">
        <f t="shared" si="12"/>
        <v>--</v>
      </c>
      <c r="X30" s="541">
        <f t="shared" si="13"/>
      </c>
      <c r="Y30" s="55">
        <f t="shared" si="14"/>
      </c>
      <c r="Z30" s="3"/>
    </row>
    <row r="31" spans="1:26" ht="16.5" customHeight="1">
      <c r="A31" s="1"/>
      <c r="B31" s="2"/>
      <c r="C31" s="520"/>
      <c r="D31" s="521"/>
      <c r="E31" s="522"/>
      <c r="F31" s="523"/>
      <c r="G31" s="277">
        <f t="shared" si="0"/>
        <v>12.33925</v>
      </c>
      <c r="H31" s="528"/>
      <c r="I31" s="528"/>
      <c r="J31" s="13">
        <f t="shared" si="15"/>
      </c>
      <c r="K31" s="14">
        <f t="shared" si="1"/>
      </c>
      <c r="L31" s="529"/>
      <c r="M31" s="530">
        <f t="shared" si="2"/>
      </c>
      <c r="N31" s="531" t="str">
        <f t="shared" si="3"/>
        <v>--</v>
      </c>
      <c r="O31" s="532" t="str">
        <f t="shared" si="4"/>
        <v>--</v>
      </c>
      <c r="P31" s="533" t="str">
        <f t="shared" si="5"/>
        <v>--</v>
      </c>
      <c r="Q31" s="534" t="str">
        <f t="shared" si="6"/>
        <v>--</v>
      </c>
      <c r="R31" s="535" t="str">
        <f t="shared" si="7"/>
        <v>--</v>
      </c>
      <c r="S31" s="536" t="str">
        <f t="shared" si="8"/>
        <v>--</v>
      </c>
      <c r="T31" s="537" t="str">
        <f t="shared" si="9"/>
        <v>--</v>
      </c>
      <c r="U31" s="538" t="str">
        <f t="shared" si="10"/>
        <v>--</v>
      </c>
      <c r="V31" s="539" t="str">
        <f t="shared" si="11"/>
        <v>--</v>
      </c>
      <c r="W31" s="540" t="str">
        <f t="shared" si="12"/>
        <v>--</v>
      </c>
      <c r="X31" s="541">
        <f t="shared" si="13"/>
      </c>
      <c r="Y31" s="55">
        <f t="shared" si="14"/>
      </c>
      <c r="Z31" s="3"/>
    </row>
    <row r="32" spans="1:26" ht="16.5" customHeight="1">
      <c r="A32" s="1"/>
      <c r="B32" s="2"/>
      <c r="C32" s="520"/>
      <c r="D32" s="521"/>
      <c r="E32" s="522"/>
      <c r="F32" s="523"/>
      <c r="G32" s="277">
        <f t="shared" si="0"/>
        <v>12.33925</v>
      </c>
      <c r="H32" s="528"/>
      <c r="I32" s="528"/>
      <c r="J32" s="13">
        <f t="shared" si="15"/>
      </c>
      <c r="K32" s="14">
        <f t="shared" si="1"/>
      </c>
      <c r="L32" s="529"/>
      <c r="M32" s="530">
        <f t="shared" si="2"/>
      </c>
      <c r="N32" s="531" t="str">
        <f t="shared" si="3"/>
        <v>--</v>
      </c>
      <c r="O32" s="532" t="str">
        <f t="shared" si="4"/>
        <v>--</v>
      </c>
      <c r="P32" s="533" t="str">
        <f t="shared" si="5"/>
        <v>--</v>
      </c>
      <c r="Q32" s="534" t="str">
        <f t="shared" si="6"/>
        <v>--</v>
      </c>
      <c r="R32" s="535" t="str">
        <f t="shared" si="7"/>
        <v>--</v>
      </c>
      <c r="S32" s="536" t="str">
        <f t="shared" si="8"/>
        <v>--</v>
      </c>
      <c r="T32" s="537" t="str">
        <f t="shared" si="9"/>
        <v>--</v>
      </c>
      <c r="U32" s="538" t="str">
        <f t="shared" si="10"/>
        <v>--</v>
      </c>
      <c r="V32" s="539" t="str">
        <f t="shared" si="11"/>
        <v>--</v>
      </c>
      <c r="W32" s="540" t="str">
        <f t="shared" si="12"/>
        <v>--</v>
      </c>
      <c r="X32" s="541">
        <f t="shared" si="13"/>
      </c>
      <c r="Y32" s="55">
        <f t="shared" si="14"/>
      </c>
      <c r="Z32" s="3"/>
    </row>
    <row r="33" spans="1:26" ht="16.5" customHeight="1">
      <c r="A33" s="1"/>
      <c r="B33" s="2"/>
      <c r="C33" s="520"/>
      <c r="D33" s="521"/>
      <c r="E33" s="522"/>
      <c r="F33" s="523"/>
      <c r="G33" s="277">
        <f t="shared" si="0"/>
        <v>12.33925</v>
      </c>
      <c r="H33" s="528"/>
      <c r="I33" s="528"/>
      <c r="J33" s="13">
        <f t="shared" si="15"/>
      </c>
      <c r="K33" s="14">
        <f t="shared" si="1"/>
      </c>
      <c r="L33" s="529"/>
      <c r="M33" s="530">
        <f t="shared" si="2"/>
      </c>
      <c r="N33" s="531" t="str">
        <f t="shared" si="3"/>
        <v>--</v>
      </c>
      <c r="O33" s="532" t="str">
        <f t="shared" si="4"/>
        <v>--</v>
      </c>
      <c r="P33" s="533" t="str">
        <f t="shared" si="5"/>
        <v>--</v>
      </c>
      <c r="Q33" s="534" t="str">
        <f t="shared" si="6"/>
        <v>--</v>
      </c>
      <c r="R33" s="535" t="str">
        <f t="shared" si="7"/>
        <v>--</v>
      </c>
      <c r="S33" s="536" t="str">
        <f t="shared" si="8"/>
        <v>--</v>
      </c>
      <c r="T33" s="537" t="str">
        <f t="shared" si="9"/>
        <v>--</v>
      </c>
      <c r="U33" s="538" t="str">
        <f t="shared" si="10"/>
        <v>--</v>
      </c>
      <c r="V33" s="539" t="str">
        <f t="shared" si="11"/>
        <v>--</v>
      </c>
      <c r="W33" s="540" t="str">
        <f t="shared" si="12"/>
        <v>--</v>
      </c>
      <c r="X33" s="541">
        <f t="shared" si="13"/>
      </c>
      <c r="Y33" s="55">
        <f t="shared" si="14"/>
      </c>
      <c r="Z33" s="3"/>
    </row>
    <row r="34" spans="1:26" ht="16.5" customHeight="1">
      <c r="A34" s="1"/>
      <c r="B34" s="2"/>
      <c r="C34" s="520"/>
      <c r="D34" s="521"/>
      <c r="E34" s="522"/>
      <c r="F34" s="523"/>
      <c r="G34" s="277">
        <f t="shared" si="0"/>
        <v>12.33925</v>
      </c>
      <c r="H34" s="528"/>
      <c r="I34" s="528"/>
      <c r="J34" s="13">
        <f t="shared" si="15"/>
      </c>
      <c r="K34" s="14">
        <f t="shared" si="1"/>
      </c>
      <c r="L34" s="529"/>
      <c r="M34" s="530">
        <f t="shared" si="2"/>
      </c>
      <c r="N34" s="531" t="str">
        <f t="shared" si="3"/>
        <v>--</v>
      </c>
      <c r="O34" s="532" t="str">
        <f t="shared" si="4"/>
        <v>--</v>
      </c>
      <c r="P34" s="533" t="str">
        <f t="shared" si="5"/>
        <v>--</v>
      </c>
      <c r="Q34" s="534" t="str">
        <f t="shared" si="6"/>
        <v>--</v>
      </c>
      <c r="R34" s="535" t="str">
        <f t="shared" si="7"/>
        <v>--</v>
      </c>
      <c r="S34" s="536" t="str">
        <f t="shared" si="8"/>
        <v>--</v>
      </c>
      <c r="T34" s="537" t="str">
        <f t="shared" si="9"/>
        <v>--</v>
      </c>
      <c r="U34" s="538" t="str">
        <f t="shared" si="10"/>
        <v>--</v>
      </c>
      <c r="V34" s="539" t="str">
        <f t="shared" si="11"/>
        <v>--</v>
      </c>
      <c r="W34" s="540" t="str">
        <f t="shared" si="12"/>
        <v>--</v>
      </c>
      <c r="X34" s="541">
        <f t="shared" si="13"/>
      </c>
      <c r="Y34" s="55">
        <f t="shared" si="14"/>
      </c>
      <c r="Z34" s="3"/>
    </row>
    <row r="35" spans="1:26" ht="16.5" customHeight="1">
      <c r="A35" s="1"/>
      <c r="B35" s="2"/>
      <c r="C35" s="520"/>
      <c r="D35" s="521"/>
      <c r="E35" s="522"/>
      <c r="F35" s="523"/>
      <c r="G35" s="277">
        <f t="shared" si="0"/>
        <v>12.33925</v>
      </c>
      <c r="H35" s="528"/>
      <c r="I35" s="528"/>
      <c r="J35" s="13">
        <f t="shared" si="15"/>
      </c>
      <c r="K35" s="14">
        <f t="shared" si="1"/>
      </c>
      <c r="L35" s="529"/>
      <c r="M35" s="530">
        <f t="shared" si="2"/>
      </c>
      <c r="N35" s="531" t="str">
        <f t="shared" si="3"/>
        <v>--</v>
      </c>
      <c r="O35" s="532" t="str">
        <f t="shared" si="4"/>
        <v>--</v>
      </c>
      <c r="P35" s="533" t="str">
        <f t="shared" si="5"/>
        <v>--</v>
      </c>
      <c r="Q35" s="534" t="str">
        <f t="shared" si="6"/>
        <v>--</v>
      </c>
      <c r="R35" s="535" t="str">
        <f t="shared" si="7"/>
        <v>--</v>
      </c>
      <c r="S35" s="536" t="str">
        <f t="shared" si="8"/>
        <v>--</v>
      </c>
      <c r="T35" s="537" t="str">
        <f t="shared" si="9"/>
        <v>--</v>
      </c>
      <c r="U35" s="538" t="str">
        <f t="shared" si="10"/>
        <v>--</v>
      </c>
      <c r="V35" s="539" t="str">
        <f t="shared" si="11"/>
        <v>--</v>
      </c>
      <c r="W35" s="540" t="str">
        <f t="shared" si="12"/>
        <v>--</v>
      </c>
      <c r="X35" s="541">
        <f t="shared" si="13"/>
      </c>
      <c r="Y35" s="55">
        <f t="shared" si="14"/>
      </c>
      <c r="Z35" s="3"/>
    </row>
    <row r="36" spans="1:26" ht="16.5" customHeight="1">
      <c r="A36" s="1"/>
      <c r="B36" s="2"/>
      <c r="C36" s="520"/>
      <c r="D36" s="521"/>
      <c r="E36" s="522"/>
      <c r="F36" s="523"/>
      <c r="G36" s="277">
        <f t="shared" si="0"/>
        <v>12.33925</v>
      </c>
      <c r="H36" s="528"/>
      <c r="I36" s="528"/>
      <c r="J36" s="13">
        <f t="shared" si="15"/>
      </c>
      <c r="K36" s="14">
        <f t="shared" si="1"/>
      </c>
      <c r="L36" s="529"/>
      <c r="M36" s="530">
        <f t="shared" si="2"/>
      </c>
      <c r="N36" s="531" t="str">
        <f t="shared" si="3"/>
        <v>--</v>
      </c>
      <c r="O36" s="532" t="str">
        <f t="shared" si="4"/>
        <v>--</v>
      </c>
      <c r="P36" s="533" t="str">
        <f t="shared" si="5"/>
        <v>--</v>
      </c>
      <c r="Q36" s="534" t="str">
        <f t="shared" si="6"/>
        <v>--</v>
      </c>
      <c r="R36" s="535" t="str">
        <f t="shared" si="7"/>
        <v>--</v>
      </c>
      <c r="S36" s="536" t="str">
        <f t="shared" si="8"/>
        <v>--</v>
      </c>
      <c r="T36" s="537" t="str">
        <f t="shared" si="9"/>
        <v>--</v>
      </c>
      <c r="U36" s="538" t="str">
        <f t="shared" si="10"/>
        <v>--</v>
      </c>
      <c r="V36" s="539" t="str">
        <f t="shared" si="11"/>
        <v>--</v>
      </c>
      <c r="W36" s="540" t="str">
        <f t="shared" si="12"/>
        <v>--</v>
      </c>
      <c r="X36" s="541">
        <f t="shared" si="13"/>
      </c>
      <c r="Y36" s="55">
        <f t="shared" si="14"/>
      </c>
      <c r="Z36" s="3"/>
    </row>
    <row r="37" spans="1:26" ht="16.5" customHeight="1">
      <c r="A37" s="1"/>
      <c r="B37" s="2"/>
      <c r="C37" s="520"/>
      <c r="D37" s="521"/>
      <c r="E37" s="522"/>
      <c r="F37" s="523"/>
      <c r="G37" s="277">
        <f t="shared" si="0"/>
        <v>12.33925</v>
      </c>
      <c r="H37" s="528"/>
      <c r="I37" s="528"/>
      <c r="J37" s="13">
        <f t="shared" si="15"/>
      </c>
      <c r="K37" s="14">
        <f t="shared" si="1"/>
      </c>
      <c r="L37" s="529"/>
      <c r="M37" s="530">
        <f t="shared" si="2"/>
      </c>
      <c r="N37" s="531" t="str">
        <f t="shared" si="3"/>
        <v>--</v>
      </c>
      <c r="O37" s="532" t="str">
        <f t="shared" si="4"/>
        <v>--</v>
      </c>
      <c r="P37" s="533" t="str">
        <f t="shared" si="5"/>
        <v>--</v>
      </c>
      <c r="Q37" s="534" t="str">
        <f t="shared" si="6"/>
        <v>--</v>
      </c>
      <c r="R37" s="535" t="str">
        <f t="shared" si="7"/>
        <v>--</v>
      </c>
      <c r="S37" s="536" t="str">
        <f t="shared" si="8"/>
        <v>--</v>
      </c>
      <c r="T37" s="537" t="str">
        <f t="shared" si="9"/>
        <v>--</v>
      </c>
      <c r="U37" s="538" t="str">
        <f t="shared" si="10"/>
        <v>--</v>
      </c>
      <c r="V37" s="539" t="str">
        <f t="shared" si="11"/>
        <v>--</v>
      </c>
      <c r="W37" s="540" t="str">
        <f t="shared" si="12"/>
        <v>--</v>
      </c>
      <c r="X37" s="541">
        <f t="shared" si="13"/>
      </c>
      <c r="Y37" s="55">
        <f t="shared" si="14"/>
      </c>
      <c r="Z37" s="3"/>
    </row>
    <row r="38" spans="2:26" ht="16.5" customHeight="1">
      <c r="B38" s="56"/>
      <c r="C38" s="520"/>
      <c r="D38" s="521"/>
      <c r="E38" s="522"/>
      <c r="F38" s="523"/>
      <c r="G38" s="277">
        <f t="shared" si="0"/>
        <v>12.33925</v>
      </c>
      <c r="H38" s="528"/>
      <c r="I38" s="528"/>
      <c r="J38" s="13">
        <f t="shared" si="15"/>
      </c>
      <c r="K38" s="14">
        <f t="shared" si="1"/>
      </c>
      <c r="L38" s="529"/>
      <c r="M38" s="530">
        <f t="shared" si="2"/>
      </c>
      <c r="N38" s="531" t="str">
        <f t="shared" si="3"/>
        <v>--</v>
      </c>
      <c r="O38" s="532" t="str">
        <f t="shared" si="4"/>
        <v>--</v>
      </c>
      <c r="P38" s="533" t="str">
        <f t="shared" si="5"/>
        <v>--</v>
      </c>
      <c r="Q38" s="534" t="str">
        <f t="shared" si="6"/>
        <v>--</v>
      </c>
      <c r="R38" s="535" t="str">
        <f t="shared" si="7"/>
        <v>--</v>
      </c>
      <c r="S38" s="536" t="str">
        <f t="shared" si="8"/>
        <v>--</v>
      </c>
      <c r="T38" s="537" t="str">
        <f t="shared" si="9"/>
        <v>--</v>
      </c>
      <c r="U38" s="538" t="str">
        <f t="shared" si="10"/>
        <v>--</v>
      </c>
      <c r="V38" s="539" t="str">
        <f t="shared" si="11"/>
        <v>--</v>
      </c>
      <c r="W38" s="540" t="str">
        <f t="shared" si="12"/>
        <v>--</v>
      </c>
      <c r="X38" s="541">
        <f t="shared" si="13"/>
      </c>
      <c r="Y38" s="55">
        <f t="shared" si="14"/>
      </c>
      <c r="Z38" s="3"/>
    </row>
    <row r="39" spans="2:26" ht="16.5" customHeight="1">
      <c r="B39" s="56"/>
      <c r="C39" s="520"/>
      <c r="D39" s="521"/>
      <c r="E39" s="522"/>
      <c r="F39" s="523"/>
      <c r="G39" s="277">
        <f t="shared" si="0"/>
        <v>12.33925</v>
      </c>
      <c r="H39" s="528"/>
      <c r="I39" s="528"/>
      <c r="J39" s="13">
        <f t="shared" si="15"/>
      </c>
      <c r="K39" s="14">
        <f t="shared" si="1"/>
      </c>
      <c r="L39" s="529"/>
      <c r="M39" s="530">
        <f t="shared" si="2"/>
      </c>
      <c r="N39" s="531" t="str">
        <f t="shared" si="3"/>
        <v>--</v>
      </c>
      <c r="O39" s="532" t="str">
        <f t="shared" si="4"/>
        <v>--</v>
      </c>
      <c r="P39" s="533" t="str">
        <f t="shared" si="5"/>
        <v>--</v>
      </c>
      <c r="Q39" s="534" t="str">
        <f t="shared" si="6"/>
        <v>--</v>
      </c>
      <c r="R39" s="535" t="str">
        <f t="shared" si="7"/>
        <v>--</v>
      </c>
      <c r="S39" s="536" t="str">
        <f t="shared" si="8"/>
        <v>--</v>
      </c>
      <c r="T39" s="537" t="str">
        <f t="shared" si="9"/>
        <v>--</v>
      </c>
      <c r="U39" s="538" t="str">
        <f t="shared" si="10"/>
        <v>--</v>
      </c>
      <c r="V39" s="539" t="str">
        <f t="shared" si="11"/>
        <v>--</v>
      </c>
      <c r="W39" s="540" t="str">
        <f t="shared" si="12"/>
        <v>--</v>
      </c>
      <c r="X39" s="541">
        <f t="shared" si="13"/>
      </c>
      <c r="Y39" s="55">
        <f t="shared" si="14"/>
      </c>
      <c r="Z39" s="3"/>
    </row>
    <row r="40" spans="2:26" ht="16.5" customHeight="1">
      <c r="B40" s="56"/>
      <c r="C40" s="520"/>
      <c r="D40" s="521"/>
      <c r="E40" s="522"/>
      <c r="F40" s="523"/>
      <c r="G40" s="277">
        <f t="shared" si="0"/>
        <v>12.33925</v>
      </c>
      <c r="H40" s="528"/>
      <c r="I40" s="528"/>
      <c r="J40" s="13">
        <f t="shared" si="15"/>
      </c>
      <c r="K40" s="14">
        <f t="shared" si="1"/>
      </c>
      <c r="L40" s="529"/>
      <c r="M40" s="530">
        <f t="shared" si="2"/>
      </c>
      <c r="N40" s="531" t="str">
        <f t="shared" si="3"/>
        <v>--</v>
      </c>
      <c r="O40" s="532" t="str">
        <f t="shared" si="4"/>
        <v>--</v>
      </c>
      <c r="P40" s="533" t="str">
        <f t="shared" si="5"/>
        <v>--</v>
      </c>
      <c r="Q40" s="534" t="str">
        <f t="shared" si="6"/>
        <v>--</v>
      </c>
      <c r="R40" s="535" t="str">
        <f t="shared" si="7"/>
        <v>--</v>
      </c>
      <c r="S40" s="536" t="str">
        <f t="shared" si="8"/>
        <v>--</v>
      </c>
      <c r="T40" s="537" t="str">
        <f t="shared" si="9"/>
        <v>--</v>
      </c>
      <c r="U40" s="538" t="str">
        <f t="shared" si="10"/>
        <v>--</v>
      </c>
      <c r="V40" s="539" t="str">
        <f t="shared" si="11"/>
        <v>--</v>
      </c>
      <c r="W40" s="540" t="str">
        <f t="shared" si="12"/>
        <v>--</v>
      </c>
      <c r="X40" s="541">
        <f t="shared" si="13"/>
      </c>
      <c r="Y40" s="55">
        <f t="shared" si="14"/>
      </c>
      <c r="Z40" s="3"/>
    </row>
    <row r="41" spans="2:26" ht="16.5" customHeight="1">
      <c r="B41" s="56"/>
      <c r="C41" s="520"/>
      <c r="D41" s="521"/>
      <c r="E41" s="522"/>
      <c r="F41" s="523"/>
      <c r="G41" s="277">
        <f t="shared" si="0"/>
        <v>12.33925</v>
      </c>
      <c r="H41" s="528"/>
      <c r="I41" s="528"/>
      <c r="J41" s="13">
        <f t="shared" si="15"/>
      </c>
      <c r="K41" s="14">
        <f t="shared" si="1"/>
      </c>
      <c r="L41" s="529"/>
      <c r="M41" s="530">
        <f t="shared" si="2"/>
      </c>
      <c r="N41" s="531" t="str">
        <f t="shared" si="3"/>
        <v>--</v>
      </c>
      <c r="O41" s="532" t="str">
        <f t="shared" si="4"/>
        <v>--</v>
      </c>
      <c r="P41" s="533" t="str">
        <f t="shared" si="5"/>
        <v>--</v>
      </c>
      <c r="Q41" s="534" t="str">
        <f t="shared" si="6"/>
        <v>--</v>
      </c>
      <c r="R41" s="535" t="str">
        <f t="shared" si="7"/>
        <v>--</v>
      </c>
      <c r="S41" s="536" t="str">
        <f t="shared" si="8"/>
        <v>--</v>
      </c>
      <c r="T41" s="537" t="str">
        <f t="shared" si="9"/>
        <v>--</v>
      </c>
      <c r="U41" s="538" t="str">
        <f t="shared" si="10"/>
        <v>--</v>
      </c>
      <c r="V41" s="539" t="str">
        <f t="shared" si="11"/>
        <v>--</v>
      </c>
      <c r="W41" s="540" t="str">
        <f t="shared" si="12"/>
        <v>--</v>
      </c>
      <c r="X41" s="541">
        <f t="shared" si="13"/>
      </c>
      <c r="Y41" s="55">
        <f t="shared" si="14"/>
      </c>
      <c r="Z41" s="3"/>
    </row>
    <row r="42" spans="1:26" ht="16.5" customHeight="1" thickBot="1">
      <c r="A42" s="1"/>
      <c r="B42" s="2"/>
      <c r="C42" s="524"/>
      <c r="D42" s="525"/>
      <c r="E42" s="526"/>
      <c r="F42" s="527"/>
      <c r="G42" s="278"/>
      <c r="H42" s="527"/>
      <c r="I42" s="527"/>
      <c r="J42" s="15"/>
      <c r="K42" s="15"/>
      <c r="L42" s="527"/>
      <c r="M42" s="542"/>
      <c r="N42" s="543"/>
      <c r="O42" s="544"/>
      <c r="P42" s="545"/>
      <c r="Q42" s="546"/>
      <c r="R42" s="547"/>
      <c r="S42" s="548"/>
      <c r="T42" s="549"/>
      <c r="U42" s="550"/>
      <c r="V42" s="551"/>
      <c r="W42" s="552"/>
      <c r="X42" s="553"/>
      <c r="Y42" s="57"/>
      <c r="Z42" s="3"/>
    </row>
    <row r="43" spans="1:28" ht="16.5" customHeight="1" thickBot="1" thickTop="1">
      <c r="A43" s="1"/>
      <c r="B43" s="2"/>
      <c r="C43" s="249" t="s">
        <v>79</v>
      </c>
      <c r="D43" s="250" t="s">
        <v>177</v>
      </c>
      <c r="E43" s="16"/>
      <c r="F43" s="17"/>
      <c r="G43" s="58"/>
      <c r="H43" s="58"/>
      <c r="I43" s="58"/>
      <c r="J43" s="58"/>
      <c r="K43" s="58"/>
      <c r="L43" s="58"/>
      <c r="M43" s="59"/>
      <c r="N43" s="336">
        <f aca="true" t="shared" si="16" ref="N43:W43">ROUND(SUM(N20:N42),2)</f>
        <v>0</v>
      </c>
      <c r="O43" s="337">
        <f t="shared" si="16"/>
        <v>0</v>
      </c>
      <c r="P43" s="338">
        <f t="shared" si="16"/>
        <v>6189.37</v>
      </c>
      <c r="Q43" s="338">
        <f t="shared" si="16"/>
        <v>6127.47</v>
      </c>
      <c r="R43" s="339">
        <f t="shared" si="16"/>
        <v>0</v>
      </c>
      <c r="S43" s="340">
        <f t="shared" si="16"/>
        <v>0</v>
      </c>
      <c r="T43" s="340">
        <f t="shared" si="16"/>
        <v>0</v>
      </c>
      <c r="U43" s="341">
        <f t="shared" si="16"/>
        <v>0</v>
      </c>
      <c r="V43" s="342">
        <f t="shared" si="16"/>
        <v>0</v>
      </c>
      <c r="W43" s="343">
        <f t="shared" si="16"/>
        <v>0</v>
      </c>
      <c r="X43" s="60"/>
      <c r="Y43" s="248">
        <f>ROUND(SUM(Y20:Y42),2)</f>
        <v>12316.84</v>
      </c>
      <c r="Z43" s="61"/>
      <c r="AB43" s="817">
        <f>SUM(AB22:AB42)</f>
        <v>16262.413728</v>
      </c>
    </row>
    <row r="44" spans="1:26" s="264" customFormat="1" ht="9.75" thickTop="1">
      <c r="A44" s="253"/>
      <c r="B44" s="254"/>
      <c r="C44" s="251"/>
      <c r="D44" s="252"/>
      <c r="E44" s="255"/>
      <c r="F44" s="256"/>
      <c r="G44" s="257"/>
      <c r="H44" s="257"/>
      <c r="I44" s="257"/>
      <c r="J44" s="257"/>
      <c r="K44" s="257"/>
      <c r="L44" s="257"/>
      <c r="M44" s="258"/>
      <c r="N44" s="259"/>
      <c r="O44" s="259"/>
      <c r="P44" s="260"/>
      <c r="Q44" s="260"/>
      <c r="R44" s="261"/>
      <c r="S44" s="261"/>
      <c r="T44" s="261"/>
      <c r="U44" s="261"/>
      <c r="V44" s="261"/>
      <c r="W44" s="261"/>
      <c r="X44" s="261"/>
      <c r="Y44" s="262"/>
      <c r="Z44" s="263"/>
    </row>
    <row r="45" spans="1:26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50"/>
    </row>
    <row r="46" spans="1:26" ht="13.5" thickTop="1">
      <c r="A46" s="1"/>
      <c r="B46" s="1"/>
      <c r="Z46" s="1"/>
    </row>
    <row r="91" spans="1:2" ht="12.75">
      <c r="A91" s="1"/>
      <c r="B91" s="1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Roman,Normal"&amp;8&amp;F-&amp;A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S112"/>
  <sheetViews>
    <sheetView zoomScale="65" zoomScaleNormal="65" workbookViewId="0" topLeftCell="C25">
      <selection activeCell="B12" sqref="B12"/>
    </sheetView>
  </sheetViews>
  <sheetFormatPr defaultColWidth="13.421875" defaultRowHeight="12.75"/>
  <cols>
    <col min="1" max="1" width="31.00390625" style="0" customWidth="1"/>
    <col min="2" max="2" width="15.710937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18.28125" style="0" customWidth="1"/>
    <col min="14" max="14" width="9.28125" style="0" customWidth="1"/>
    <col min="15" max="15" width="9.8515625" style="0" customWidth="1"/>
    <col min="16" max="16" width="19.00390625" style="0" customWidth="1"/>
  </cols>
  <sheetData>
    <row r="1" s="108" customFormat="1" ht="39.75" customHeight="1">
      <c r="P1" s="421"/>
    </row>
    <row r="2" spans="2:16" s="108" customFormat="1" ht="26.25">
      <c r="B2" s="109" t="str">
        <f>+'TOT-0806'!B2</f>
        <v>ANEXO VI al Memorándum D.T.E.E. N°  452  /2010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2" s="111" customFormat="1" ht="11.25">
      <c r="A3" s="127" t="s">
        <v>28</v>
      </c>
      <c r="B3" s="422"/>
    </row>
    <row r="4" spans="1:2" s="111" customFormat="1" ht="11.25">
      <c r="A4" s="127" t="s">
        <v>29</v>
      </c>
      <c r="B4" s="422"/>
    </row>
    <row r="5" s="10" customFormat="1" ht="13.5" thickBot="1"/>
    <row r="6" spans="1:16" s="10" customFormat="1" ht="13.5" thickTop="1">
      <c r="A6" s="8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s="113" customFormat="1" ht="20.25">
      <c r="A7" s="45"/>
      <c r="B7" s="112"/>
      <c r="C7" s="45"/>
      <c r="D7" s="21" t="s">
        <v>55</v>
      </c>
      <c r="G7" s="45"/>
      <c r="H7" s="45"/>
      <c r="I7" s="45"/>
      <c r="J7" s="45"/>
      <c r="K7" s="45"/>
      <c r="L7" s="45"/>
      <c r="M7" s="45"/>
      <c r="N7" s="45"/>
      <c r="O7" s="45"/>
      <c r="P7" s="114"/>
    </row>
    <row r="8" spans="1:16" ht="15">
      <c r="A8" s="1"/>
      <c r="B8" s="284"/>
      <c r="C8" s="73"/>
      <c r="D8" s="423"/>
      <c r="E8" s="73"/>
      <c r="F8" s="71"/>
      <c r="G8" s="73"/>
      <c r="H8" s="73"/>
      <c r="I8" s="73"/>
      <c r="J8" s="73"/>
      <c r="K8" s="73"/>
      <c r="L8" s="73"/>
      <c r="M8" s="73"/>
      <c r="N8" s="73"/>
      <c r="O8" s="73"/>
      <c r="P8" s="288"/>
    </row>
    <row r="9" spans="1:19" s="113" customFormat="1" ht="20.25">
      <c r="A9" s="45"/>
      <c r="B9" s="424"/>
      <c r="C9"/>
      <c r="D9" s="22" t="s">
        <v>172</v>
      </c>
      <c r="E9" s="425"/>
      <c r="F9" s="425"/>
      <c r="G9" s="425"/>
      <c r="H9" s="426"/>
      <c r="I9" s="425"/>
      <c r="J9" s="425"/>
      <c r="K9" s="425"/>
      <c r="L9" s="425"/>
      <c r="M9" s="425"/>
      <c r="N9" s="425"/>
      <c r="O9" s="425"/>
      <c r="P9" s="427"/>
      <c r="Q9" s="238"/>
      <c r="R9" s="178"/>
      <c r="S9" s="178"/>
    </row>
    <row r="10" spans="1:19" s="10" customFormat="1" ht="12.75">
      <c r="A10" s="8"/>
      <c r="B10" s="44"/>
      <c r="C10" s="8"/>
      <c r="D10" s="67"/>
      <c r="E10" s="30"/>
      <c r="F10" s="30"/>
      <c r="G10" s="30"/>
      <c r="H10" s="170"/>
      <c r="I10" s="30"/>
      <c r="J10" s="30"/>
      <c r="K10" s="30"/>
      <c r="L10" s="30"/>
      <c r="M10" s="30"/>
      <c r="N10" s="30"/>
      <c r="O10" s="30"/>
      <c r="P10" s="38"/>
      <c r="Q10" s="30"/>
      <c r="R10" s="30"/>
      <c r="S10" s="177"/>
    </row>
    <row r="11" spans="1:19" s="120" customFormat="1" ht="19.5">
      <c r="A11" s="47"/>
      <c r="B11" s="241" t="str">
        <f>+'TOT-0806'!B14</f>
        <v>Desde el 01 al 30 de junio de 2008</v>
      </c>
      <c r="C11" s="144"/>
      <c r="D11" s="199"/>
      <c r="E11" s="199"/>
      <c r="F11" s="199"/>
      <c r="G11" s="199"/>
      <c r="H11" s="199"/>
      <c r="I11" s="144"/>
      <c r="J11" s="199"/>
      <c r="K11" s="199"/>
      <c r="L11" s="199"/>
      <c r="M11" s="199"/>
      <c r="N11" s="199"/>
      <c r="O11" s="199"/>
      <c r="P11" s="428"/>
      <c r="Q11" s="429"/>
      <c r="R11" s="429"/>
      <c r="S11" s="429"/>
    </row>
    <row r="12" spans="1:19" ht="15">
      <c r="A12" s="1"/>
      <c r="B12" s="284"/>
      <c r="C12" s="73"/>
      <c r="D12" s="69"/>
      <c r="E12" s="69"/>
      <c r="F12" s="69"/>
      <c r="G12" s="69"/>
      <c r="H12" s="430"/>
      <c r="I12" s="73"/>
      <c r="J12" s="69"/>
      <c r="K12" s="69"/>
      <c r="L12" s="69"/>
      <c r="M12" s="69"/>
      <c r="N12" s="69"/>
      <c r="O12" s="69"/>
      <c r="P12" s="70"/>
      <c r="Q12" s="4"/>
      <c r="R12" s="4"/>
      <c r="S12" s="431"/>
    </row>
    <row r="13" spans="1:19" ht="18" customHeight="1">
      <c r="A13" s="1"/>
      <c r="B13" s="284"/>
      <c r="C13" s="73"/>
      <c r="D13" s="69"/>
      <c r="E13" s="69"/>
      <c r="F13" s="69"/>
      <c r="G13" s="69"/>
      <c r="H13" s="81"/>
      <c r="I13" s="81"/>
      <c r="J13" s="69"/>
      <c r="K13" s="69"/>
      <c r="P13" s="70"/>
      <c r="Q13" s="4"/>
      <c r="R13" s="4"/>
      <c r="S13" s="431"/>
    </row>
    <row r="14" spans="1:19" ht="18" customHeight="1">
      <c r="A14" s="1"/>
      <c r="B14" s="284"/>
      <c r="C14" s="73"/>
      <c r="D14" s="68"/>
      <c r="E14" s="432"/>
      <c r="F14" s="69"/>
      <c r="G14" s="69"/>
      <c r="H14" s="81"/>
      <c r="I14" s="81"/>
      <c r="J14" s="69"/>
      <c r="K14" s="69"/>
      <c r="P14" s="70"/>
      <c r="Q14" s="4"/>
      <c r="R14" s="4"/>
      <c r="S14" s="431"/>
    </row>
    <row r="15" spans="1:16" ht="16.5" thickBot="1">
      <c r="A15" s="1"/>
      <c r="B15" s="284"/>
      <c r="C15" s="433" t="s">
        <v>105</v>
      </c>
      <c r="D15" s="71"/>
      <c r="E15" s="285"/>
      <c r="F15" s="286"/>
      <c r="G15" s="73"/>
      <c r="H15" s="73"/>
      <c r="I15" s="73"/>
      <c r="J15" s="72"/>
      <c r="K15" s="72"/>
      <c r="L15" s="287"/>
      <c r="M15" s="73"/>
      <c r="N15" s="73"/>
      <c r="O15" s="73"/>
      <c r="P15" s="288"/>
    </row>
    <row r="16" spans="1:16" ht="16.5" thickBot="1">
      <c r="A16" s="1"/>
      <c r="B16" s="284"/>
      <c r="C16" s="289"/>
      <c r="D16" s="71"/>
      <c r="E16" s="285"/>
      <c r="F16" s="286"/>
      <c r="G16" s="73"/>
      <c r="H16" s="73"/>
      <c r="L16" s="434" t="s">
        <v>100</v>
      </c>
      <c r="M16" s="435">
        <v>3.03</v>
      </c>
      <c r="N16" s="436"/>
      <c r="O16" s="73"/>
      <c r="P16" s="288"/>
    </row>
    <row r="17" spans="1:16" ht="15.75">
      <c r="A17" s="1"/>
      <c r="B17" s="284"/>
      <c r="C17" s="289"/>
      <c r="D17" s="72" t="s">
        <v>106</v>
      </c>
      <c r="E17" s="290">
        <f>MID(B11,16,2)*24</f>
        <v>720</v>
      </c>
      <c r="F17" s="73" t="s">
        <v>107</v>
      </c>
      <c r="G17" s="69"/>
      <c r="H17" s="437"/>
      <c r="I17" s="438" t="s">
        <v>108</v>
      </c>
      <c r="J17" s="439">
        <v>65.168</v>
      </c>
      <c r="K17" s="416"/>
      <c r="L17" s="440" t="s">
        <v>101</v>
      </c>
      <c r="M17" s="441">
        <v>2.274</v>
      </c>
      <c r="N17" s="442"/>
      <c r="O17" s="73"/>
      <c r="P17" s="288"/>
    </row>
    <row r="18" spans="1:16" ht="16.5" thickBot="1">
      <c r="A18" s="1"/>
      <c r="B18" s="284"/>
      <c r="C18" s="289"/>
      <c r="D18" s="72" t="s">
        <v>109</v>
      </c>
      <c r="E18" s="292">
        <v>0.025</v>
      </c>
      <c r="F18" s="69"/>
      <c r="G18" s="69"/>
      <c r="H18" s="443"/>
      <c r="I18" s="444" t="s">
        <v>110</v>
      </c>
      <c r="J18" s="445">
        <v>0.227</v>
      </c>
      <c r="K18" s="446"/>
      <c r="L18" s="447" t="s">
        <v>102</v>
      </c>
      <c r="M18" s="448">
        <v>2.274</v>
      </c>
      <c r="N18" s="449"/>
      <c r="O18" s="73"/>
      <c r="P18" s="288"/>
    </row>
    <row r="19" spans="1:16" ht="15.75">
      <c r="A19" s="1"/>
      <c r="B19" s="284"/>
      <c r="C19" s="289"/>
      <c r="D19" s="72"/>
      <c r="E19" s="292"/>
      <c r="F19" s="69"/>
      <c r="G19" s="69"/>
      <c r="H19" s="69"/>
      <c r="I19" s="69"/>
      <c r="L19" s="287"/>
      <c r="M19" s="73"/>
      <c r="N19" s="73"/>
      <c r="O19" s="73"/>
      <c r="P19" s="288"/>
    </row>
    <row r="20" spans="1:16" ht="15">
      <c r="A20" s="1"/>
      <c r="B20" s="284"/>
      <c r="C20" s="68" t="s">
        <v>111</v>
      </c>
      <c r="D20" s="76"/>
      <c r="E20" s="285"/>
      <c r="F20" s="286"/>
      <c r="G20" s="73"/>
      <c r="H20" s="73"/>
      <c r="I20" s="73"/>
      <c r="J20" s="72"/>
      <c r="K20" s="72"/>
      <c r="L20" s="287"/>
      <c r="M20" s="73"/>
      <c r="N20" s="73"/>
      <c r="O20" s="73"/>
      <c r="P20" s="288"/>
    </row>
    <row r="21" spans="1:16" ht="15">
      <c r="A21" s="1"/>
      <c r="B21" s="284"/>
      <c r="C21" s="73"/>
      <c r="D21" s="73"/>
      <c r="E21" s="73"/>
      <c r="F21" s="73"/>
      <c r="G21" s="73"/>
      <c r="H21" s="293"/>
      <c r="I21" s="73"/>
      <c r="J21" s="73"/>
      <c r="K21" s="73"/>
      <c r="L21" s="73"/>
      <c r="M21" s="73"/>
      <c r="N21" s="73"/>
      <c r="O21" s="73"/>
      <c r="P21" s="288"/>
    </row>
    <row r="22" spans="1:16" ht="15">
      <c r="A22" s="1"/>
      <c r="B22" s="284"/>
      <c r="C22" s="73"/>
      <c r="D22" s="72" t="s">
        <v>112</v>
      </c>
      <c r="E22" s="73"/>
      <c r="F22" s="293" t="s">
        <v>31</v>
      </c>
      <c r="G22" s="73"/>
      <c r="H22" s="71"/>
      <c r="I22" s="450">
        <f>+'LI-0806 (EDERSA)'!AB43</f>
        <v>3628.5542400000004</v>
      </c>
      <c r="J22" s="73"/>
      <c r="K22" s="73"/>
      <c r="L22" s="451"/>
      <c r="M22" s="73"/>
      <c r="N22" s="73"/>
      <c r="O22" s="73"/>
      <c r="P22" s="288"/>
    </row>
    <row r="23" spans="1:16" ht="15">
      <c r="A23" s="1"/>
      <c r="B23" s="284"/>
      <c r="C23" s="73"/>
      <c r="D23" s="73"/>
      <c r="E23" s="73"/>
      <c r="F23" s="293" t="s">
        <v>113</v>
      </c>
      <c r="G23" s="73"/>
      <c r="H23" s="71"/>
      <c r="I23" s="450">
        <f>+'TR-0806 (EDERSA)'!AD45</f>
        <v>7.722540000000002</v>
      </c>
      <c r="J23" s="73"/>
      <c r="K23" s="73"/>
      <c r="L23" s="451"/>
      <c r="M23" s="73"/>
      <c r="N23" s="73"/>
      <c r="O23" s="73"/>
      <c r="P23" s="288"/>
    </row>
    <row r="24" spans="1:16" ht="15">
      <c r="A24" s="1"/>
      <c r="B24" s="284"/>
      <c r="C24" s="73"/>
      <c r="D24" s="73"/>
      <c r="E24" s="73"/>
      <c r="F24" s="293" t="s">
        <v>3</v>
      </c>
      <c r="G24" s="73"/>
      <c r="H24" s="71"/>
      <c r="I24" s="452">
        <f>+'SA-0806 (EDERSA)'!W45</f>
        <v>0.54576</v>
      </c>
      <c r="J24" s="73"/>
      <c r="K24" s="73"/>
      <c r="L24" s="451"/>
      <c r="M24" s="73"/>
      <c r="N24" s="73"/>
      <c r="O24" s="73"/>
      <c r="P24" s="288"/>
    </row>
    <row r="25" spans="1:16" ht="15.75" thickBot="1">
      <c r="A25" s="1"/>
      <c r="B25" s="284"/>
      <c r="C25" s="73"/>
      <c r="D25" s="73"/>
      <c r="E25" s="73"/>
      <c r="F25" s="73"/>
      <c r="G25" s="73"/>
      <c r="H25" s="293"/>
      <c r="I25" s="73"/>
      <c r="J25" s="73"/>
      <c r="K25" s="73"/>
      <c r="L25" s="73"/>
      <c r="M25" s="73"/>
      <c r="N25" s="73"/>
      <c r="O25" s="73"/>
      <c r="P25" s="288"/>
    </row>
    <row r="26" spans="2:16" ht="20.25" thickBot="1" thickTop="1">
      <c r="B26" s="284"/>
      <c r="C26" s="80"/>
      <c r="H26" s="453" t="s">
        <v>114</v>
      </c>
      <c r="I26" s="157">
        <f>SUM(I22:I25)</f>
        <v>3636.8225400000006</v>
      </c>
      <c r="L26" s="77"/>
      <c r="M26" s="77"/>
      <c r="N26" s="78"/>
      <c r="O26" s="79"/>
      <c r="P26" s="294"/>
    </row>
    <row r="27" spans="2:16" ht="15.75" thickTop="1">
      <c r="B27" s="284"/>
      <c r="C27" s="80"/>
      <c r="D27" s="76"/>
      <c r="E27" s="76"/>
      <c r="F27" s="82"/>
      <c r="G27" s="77"/>
      <c r="H27" s="77"/>
      <c r="I27" s="77"/>
      <c r="J27" s="77"/>
      <c r="K27" s="77"/>
      <c r="L27" s="77"/>
      <c r="M27" s="77"/>
      <c r="N27" s="78"/>
      <c r="O27" s="79"/>
      <c r="P27" s="294"/>
    </row>
    <row r="28" spans="2:16" ht="15">
      <c r="B28" s="284"/>
      <c r="C28" s="68" t="s">
        <v>115</v>
      </c>
      <c r="D28" s="76"/>
      <c r="E28" s="76"/>
      <c r="F28" s="82"/>
      <c r="G28" s="77"/>
      <c r="H28" s="77"/>
      <c r="I28" s="77"/>
      <c r="J28" s="77"/>
      <c r="K28" s="77"/>
      <c r="L28" s="77"/>
      <c r="M28" s="77"/>
      <c r="N28" s="78"/>
      <c r="O28" s="79"/>
      <c r="P28" s="294"/>
    </row>
    <row r="29" spans="2:16" ht="15">
      <c r="B29" s="284"/>
      <c r="C29" s="80"/>
      <c r="D29" s="76"/>
      <c r="E29" s="76"/>
      <c r="F29" s="82"/>
      <c r="G29" s="77"/>
      <c r="H29" s="77"/>
      <c r="I29" s="77"/>
      <c r="J29" s="77"/>
      <c r="K29" s="77"/>
      <c r="L29" s="77"/>
      <c r="M29" s="77"/>
      <c r="N29" s="78"/>
      <c r="O29" s="79"/>
      <c r="P29" s="294"/>
    </row>
    <row r="30" spans="2:16" ht="15.75">
      <c r="B30" s="284"/>
      <c r="C30" s="80"/>
      <c r="D30" s="454" t="s">
        <v>116</v>
      </c>
      <c r="E30" s="455" t="s">
        <v>27</v>
      </c>
      <c r="F30" s="456" t="s">
        <v>117</v>
      </c>
      <c r="G30" s="457"/>
      <c r="H30" s="716" t="s">
        <v>170</v>
      </c>
      <c r="I30" s="715" t="s">
        <v>169</v>
      </c>
      <c r="J30" s="711"/>
      <c r="K30" s="482"/>
      <c r="L30" s="460" t="s">
        <v>2</v>
      </c>
      <c r="N30" s="78"/>
      <c r="O30" s="79"/>
      <c r="P30" s="294"/>
    </row>
    <row r="31" spans="2:16" ht="15.75">
      <c r="B31" s="284"/>
      <c r="C31" s="80"/>
      <c r="D31" s="461" t="s">
        <v>5</v>
      </c>
      <c r="E31" s="462">
        <v>132</v>
      </c>
      <c r="F31" s="463">
        <v>31</v>
      </c>
      <c r="G31" s="464"/>
      <c r="H31" s="465">
        <f>F31*$J$17*$E$17/100</f>
        <v>14545.4976</v>
      </c>
      <c r="I31" s="466">
        <v>44</v>
      </c>
      <c r="J31" s="713" t="str">
        <f>"(DTE "&amp;IF(DATO!$F$4&lt;10,"0"&amp;DATO!$F$4,DATO!$F$4)&amp;"/"&amp;RIGHT(DATO!$G$6,2)&amp;")"</f>
        <v>(DTE 06/08)</v>
      </c>
      <c r="K31" s="468"/>
      <c r="L31" s="469">
        <f>SUM(H31:K31)</f>
        <v>14589.4976</v>
      </c>
      <c r="M31" s="77"/>
      <c r="N31" s="78"/>
      <c r="O31" s="79"/>
      <c r="P31" s="294"/>
    </row>
    <row r="32" spans="2:16" ht="15.75">
      <c r="B32" s="284"/>
      <c r="C32" s="80"/>
      <c r="D32" s="489" t="s">
        <v>6</v>
      </c>
      <c r="E32" s="76">
        <v>132</v>
      </c>
      <c r="F32" s="82">
        <v>110.3</v>
      </c>
      <c r="G32" s="77"/>
      <c r="H32" s="299">
        <f>F32*$J$17*$E$17/100</f>
        <v>51753.818880000006</v>
      </c>
      <c r="I32" s="299">
        <v>5816</v>
      </c>
      <c r="J32" s="712" t="str">
        <f>"(DTE "&amp;IF(DATO!$F$4&lt;10,"0"&amp;DATO!$F$4,DATO!$F$4)&amp;"/"&amp;RIGHT(DATO!$G$6,2)&amp;")"</f>
        <v>(DTE 06/08)</v>
      </c>
      <c r="K32" s="291"/>
      <c r="L32" s="490">
        <f>SUM(H32:K32)</f>
        <v>57569.818880000006</v>
      </c>
      <c r="M32" s="77"/>
      <c r="N32" s="78"/>
      <c r="O32" s="79"/>
      <c r="P32" s="294"/>
    </row>
    <row r="33" spans="2:16" ht="15.75">
      <c r="B33" s="284"/>
      <c r="C33" s="80"/>
      <c r="D33" s="489" t="s">
        <v>7</v>
      </c>
      <c r="E33" s="76">
        <v>132</v>
      </c>
      <c r="F33" s="82">
        <v>185.6</v>
      </c>
      <c r="G33" s="77"/>
      <c r="H33" s="299">
        <f>F33*$J$17*$E$17/100</f>
        <v>87085.30176</v>
      </c>
      <c r="I33" s="299">
        <f>3324+218</f>
        <v>3542</v>
      </c>
      <c r="J33" s="712" t="str">
        <f>"(DTE "&amp;IF(DATO!$F$4&lt;10,"0"&amp;DATO!$F$4,DATO!$F$4)&amp;"/"&amp;RIGHT(DATO!$G$6,2)&amp;")"</f>
        <v>(DTE 06/08)</v>
      </c>
      <c r="K33" s="291"/>
      <c r="L33" s="490">
        <f>SUM(H33:K33)</f>
        <v>90627.30176</v>
      </c>
      <c r="M33" s="77"/>
      <c r="N33" s="78"/>
      <c r="O33" s="79"/>
      <c r="P33" s="294"/>
    </row>
    <row r="34" spans="2:16" ht="15.75">
      <c r="B34" s="284"/>
      <c r="C34" s="80"/>
      <c r="D34" s="470" t="s">
        <v>8</v>
      </c>
      <c r="E34" s="471">
        <v>132</v>
      </c>
      <c r="F34" s="472">
        <v>7</v>
      </c>
      <c r="G34" s="473"/>
      <c r="H34" s="474">
        <f>F34*$J$17*$E$17/100</f>
        <v>3284.4672000000005</v>
      </c>
      <c r="I34" s="475">
        <v>0</v>
      </c>
      <c r="J34" s="714" t="str">
        <f>"(DTE "&amp;IF(DATO!$F$4&lt;10,"0"&amp;DATO!$F$4,DATO!$F$4)&amp;"/"&amp;RIGHT(DATO!$G$6,2)&amp;")"</f>
        <v>(DTE 06/08)</v>
      </c>
      <c r="K34" s="477"/>
      <c r="L34" s="478">
        <f>SUM(H34:K34)</f>
        <v>3284.4672000000005</v>
      </c>
      <c r="M34" s="77"/>
      <c r="N34" s="78"/>
      <c r="O34" s="79"/>
      <c r="P34" s="294"/>
    </row>
    <row r="35" spans="2:16" ht="15">
      <c r="B35" s="284"/>
      <c r="C35" s="80"/>
      <c r="D35" s="76"/>
      <c r="E35" s="76"/>
      <c r="F35" s="295"/>
      <c r="G35" s="77"/>
      <c r="I35" s="83"/>
      <c r="J35" s="291"/>
      <c r="K35" s="291"/>
      <c r="L35" s="479">
        <f>SUM(L31:L34)</f>
        <v>166071.08544000002</v>
      </c>
      <c r="M35" s="77"/>
      <c r="N35" s="78"/>
      <c r="O35" s="79"/>
      <c r="P35" s="294"/>
    </row>
    <row r="36" spans="2:16" ht="15">
      <c r="B36" s="284"/>
      <c r="C36" s="80"/>
      <c r="D36" s="76"/>
      <c r="E36" s="76"/>
      <c r="F36" s="295"/>
      <c r="G36" s="77"/>
      <c r="I36" s="83"/>
      <c r="J36" s="291"/>
      <c r="K36" s="291"/>
      <c r="L36" s="296"/>
      <c r="M36" s="77"/>
      <c r="N36" s="78"/>
      <c r="O36" s="79"/>
      <c r="P36" s="294"/>
    </row>
    <row r="37" spans="2:16" ht="15.75">
      <c r="B37" s="284"/>
      <c r="C37" s="80"/>
      <c r="D37" s="454" t="s">
        <v>118</v>
      </c>
      <c r="E37" s="455" t="s">
        <v>119</v>
      </c>
      <c r="F37" s="506" t="s">
        <v>131</v>
      </c>
      <c r="G37" s="507"/>
      <c r="H37" s="717" t="s">
        <v>171</v>
      </c>
      <c r="J37" s="480" t="s">
        <v>121</v>
      </c>
      <c r="K37" s="481"/>
      <c r="L37" s="482" t="s">
        <v>65</v>
      </c>
      <c r="M37" s="455" t="s">
        <v>27</v>
      </c>
      <c r="N37" s="483" t="s">
        <v>122</v>
      </c>
      <c r="O37" s="484"/>
      <c r="P37" s="294"/>
    </row>
    <row r="38" spans="2:16" ht="15">
      <c r="B38" s="284"/>
      <c r="C38" s="80"/>
      <c r="D38" s="461" t="s">
        <v>15</v>
      </c>
      <c r="E38" s="462" t="s">
        <v>132</v>
      </c>
      <c r="F38" s="508">
        <v>30</v>
      </c>
      <c r="G38" s="509"/>
      <c r="H38" s="469">
        <f>+F38*$J$18*$E$17</f>
        <v>4903.200000000001</v>
      </c>
      <c r="J38" s="485" t="s">
        <v>133</v>
      </c>
      <c r="K38" s="467"/>
      <c r="L38" s="464" t="s">
        <v>134</v>
      </c>
      <c r="M38" s="486">
        <v>132</v>
      </c>
      <c r="N38" s="487">
        <f>M16*E17</f>
        <v>2181.6</v>
      </c>
      <c r="O38" s="488"/>
      <c r="P38" s="294"/>
    </row>
    <row r="39" spans="2:16" ht="15">
      <c r="B39" s="284"/>
      <c r="C39" s="80"/>
      <c r="D39" s="489" t="s">
        <v>18</v>
      </c>
      <c r="E39" s="76" t="s">
        <v>135</v>
      </c>
      <c r="F39" s="510">
        <v>88</v>
      </c>
      <c r="G39" s="511"/>
      <c r="H39" s="490">
        <f>+F39*$J$18*$E$17</f>
        <v>14382.72</v>
      </c>
      <c r="J39" s="491" t="s">
        <v>16</v>
      </c>
      <c r="K39" s="492"/>
      <c r="L39" s="77" t="s">
        <v>136</v>
      </c>
      <c r="M39" s="78">
        <v>33</v>
      </c>
      <c r="N39" s="493">
        <f>+M17*E17*2</f>
        <v>3274.56</v>
      </c>
      <c r="O39" s="494"/>
      <c r="P39" s="294"/>
    </row>
    <row r="40" spans="2:16" ht="15">
      <c r="B40" s="284"/>
      <c r="C40" s="80"/>
      <c r="D40" s="489" t="s">
        <v>16</v>
      </c>
      <c r="E40" s="76" t="s">
        <v>11</v>
      </c>
      <c r="F40" s="510">
        <v>7.5</v>
      </c>
      <c r="G40" s="511"/>
      <c r="H40" s="490">
        <f>+F40*$J$18*$E$17</f>
        <v>1225.8000000000002</v>
      </c>
      <c r="J40" s="491" t="s">
        <v>17</v>
      </c>
      <c r="K40" s="492"/>
      <c r="L40" s="77" t="s">
        <v>137</v>
      </c>
      <c r="M40" s="78">
        <v>33</v>
      </c>
      <c r="N40" s="493">
        <f>3*M17*E17</f>
        <v>4911.84</v>
      </c>
      <c r="O40" s="494"/>
      <c r="P40" s="294"/>
    </row>
    <row r="41" spans="2:16" ht="15">
      <c r="B41" s="284"/>
      <c r="C41" s="80"/>
      <c r="D41" s="489" t="s">
        <v>17</v>
      </c>
      <c r="E41" s="76" t="s">
        <v>11</v>
      </c>
      <c r="F41" s="510">
        <v>15</v>
      </c>
      <c r="G41" s="511"/>
      <c r="H41" s="490">
        <f>+F41*$J$18*$E$17</f>
        <v>2451.6000000000004</v>
      </c>
      <c r="J41" s="491" t="s">
        <v>19</v>
      </c>
      <c r="K41" s="492"/>
      <c r="L41" s="77" t="s">
        <v>138</v>
      </c>
      <c r="M41" s="78">
        <v>13.2</v>
      </c>
      <c r="N41" s="493">
        <f>+M18*E17*6</f>
        <v>9823.68</v>
      </c>
      <c r="O41" s="494"/>
      <c r="P41" s="294"/>
    </row>
    <row r="42" spans="2:16" ht="15">
      <c r="B42" s="284"/>
      <c r="C42" s="80"/>
      <c r="D42" s="470" t="s">
        <v>19</v>
      </c>
      <c r="E42" s="471" t="s">
        <v>139</v>
      </c>
      <c r="F42" s="512">
        <v>30</v>
      </c>
      <c r="G42" s="513"/>
      <c r="H42" s="490">
        <f>+F42*$J$18*$E$17</f>
        <v>4903.200000000001</v>
      </c>
      <c r="J42" s="491" t="s">
        <v>15</v>
      </c>
      <c r="K42" s="492"/>
      <c r="L42" s="77" t="s">
        <v>140</v>
      </c>
      <c r="M42" s="78"/>
      <c r="N42" s="493">
        <f>+M17*E17+M18*E17*2</f>
        <v>4911.84</v>
      </c>
      <c r="O42" s="494"/>
      <c r="P42" s="294"/>
    </row>
    <row r="43" spans="2:16" ht="15">
      <c r="B43" s="284"/>
      <c r="C43" s="80"/>
      <c r="D43" s="76"/>
      <c r="E43" s="76"/>
      <c r="F43" s="295"/>
      <c r="G43" s="77"/>
      <c r="H43" s="479">
        <f>SUM(H38:H42)</f>
        <v>27866.52</v>
      </c>
      <c r="J43" s="495" t="s">
        <v>18</v>
      </c>
      <c r="K43" s="476"/>
      <c r="L43" s="473" t="s">
        <v>141</v>
      </c>
      <c r="M43" s="496"/>
      <c r="N43" s="497">
        <f>(M16+M17+M18*5)*E17</f>
        <v>12005.279999999999</v>
      </c>
      <c r="O43" s="498"/>
      <c r="P43" s="294"/>
    </row>
    <row r="44" spans="2:16" ht="15">
      <c r="B44" s="284"/>
      <c r="C44" s="80"/>
      <c r="D44" s="76"/>
      <c r="E44" s="76"/>
      <c r="F44" s="295"/>
      <c r="G44" s="77"/>
      <c r="I44" s="83"/>
      <c r="J44" s="291"/>
      <c r="K44" s="291"/>
      <c r="L44" s="296"/>
      <c r="M44" s="77"/>
      <c r="N44" s="499">
        <f>SUM(N38:N43)</f>
        <v>37108.8</v>
      </c>
      <c r="O44" s="484"/>
      <c r="P44" s="294"/>
    </row>
    <row r="45" spans="2:16" ht="12.75" customHeight="1" thickBot="1">
      <c r="B45" s="284"/>
      <c r="C45" s="80"/>
      <c r="D45" s="76"/>
      <c r="E45" s="76"/>
      <c r="F45" s="82"/>
      <c r="G45" s="77"/>
      <c r="H45" s="83"/>
      <c r="I45" s="76"/>
      <c r="J45" s="76"/>
      <c r="K45" s="76"/>
      <c r="L45" s="77"/>
      <c r="M45" s="77"/>
      <c r="N45" s="78"/>
      <c r="O45" s="79"/>
      <c r="P45" s="294"/>
    </row>
    <row r="46" spans="2:16" ht="20.25" thickBot="1" thickTop="1">
      <c r="B46" s="284"/>
      <c r="C46" s="80"/>
      <c r="D46" s="76"/>
      <c r="E46" s="76"/>
      <c r="F46" s="82"/>
      <c r="G46" s="77"/>
      <c r="H46" s="500" t="s">
        <v>123</v>
      </c>
      <c r="I46" s="501">
        <f>+H43+N44+L35</f>
        <v>231046.40544000003</v>
      </c>
      <c r="J46" s="76"/>
      <c r="K46" s="500" t="s">
        <v>195</v>
      </c>
      <c r="L46" s="501">
        <v>177276.49655999997</v>
      </c>
      <c r="M46" s="77"/>
      <c r="N46" s="78"/>
      <c r="O46" s="79"/>
      <c r="P46" s="294"/>
    </row>
    <row r="47" spans="2:16" ht="15.75" thickTop="1">
      <c r="B47" s="284"/>
      <c r="C47" s="80"/>
      <c r="D47" s="76"/>
      <c r="E47" s="76"/>
      <c r="F47" s="82"/>
      <c r="G47" s="77"/>
      <c r="H47" s="83"/>
      <c r="I47" s="76"/>
      <c r="J47" s="76"/>
      <c r="K47" s="76"/>
      <c r="L47" s="77"/>
      <c r="M47" s="77"/>
      <c r="N47" s="78"/>
      <c r="O47" s="79"/>
      <c r="P47" s="294"/>
    </row>
    <row r="48" spans="2:16" ht="15.75">
      <c r="B48" s="284"/>
      <c r="C48" s="502" t="s">
        <v>124</v>
      </c>
      <c r="D48" s="76"/>
      <c r="E48" s="76"/>
      <c r="F48" s="82"/>
      <c r="G48" s="77"/>
      <c r="H48" s="83"/>
      <c r="I48" s="76"/>
      <c r="J48" s="76"/>
      <c r="K48" s="76"/>
      <c r="L48" s="77"/>
      <c r="M48" s="77"/>
      <c r="N48" s="78"/>
      <c r="O48" s="79"/>
      <c r="P48" s="294"/>
    </row>
    <row r="49" spans="2:16" ht="15.75" thickBot="1">
      <c r="B49" s="284"/>
      <c r="C49" s="80"/>
      <c r="D49" s="76"/>
      <c r="E49" s="76"/>
      <c r="F49" s="82"/>
      <c r="G49" s="77"/>
      <c r="H49" s="83"/>
      <c r="I49" s="76"/>
      <c r="J49" s="76"/>
      <c r="K49" s="76"/>
      <c r="L49" s="77"/>
      <c r="M49" s="77"/>
      <c r="N49" s="78"/>
      <c r="O49" s="79"/>
      <c r="P49" s="294"/>
    </row>
    <row r="50" spans="2:16" ht="20.25" thickBot="1" thickTop="1">
      <c r="B50" s="284"/>
      <c r="C50" s="80"/>
      <c r="D50" s="239" t="s">
        <v>125</v>
      </c>
      <c r="F50" s="297"/>
      <c r="G50" s="73"/>
      <c r="H50" s="156" t="s">
        <v>126</v>
      </c>
      <c r="I50" s="503">
        <f>E18*L46</f>
        <v>4431.912413999999</v>
      </c>
      <c r="J50" s="69"/>
      <c r="K50" s="69"/>
      <c r="O50" s="69"/>
      <c r="P50" s="294"/>
    </row>
    <row r="51" spans="2:16" ht="21.75" thickTop="1">
      <c r="B51" s="284"/>
      <c r="C51" s="80"/>
      <c r="F51" s="298"/>
      <c r="G51" s="45"/>
      <c r="I51" s="69"/>
      <c r="J51" s="69"/>
      <c r="K51" s="69"/>
      <c r="O51" s="69"/>
      <c r="P51" s="294"/>
    </row>
    <row r="52" spans="2:16" ht="15">
      <c r="B52" s="284"/>
      <c r="C52" s="68" t="s">
        <v>127</v>
      </c>
      <c r="E52" s="69"/>
      <c r="F52" s="69"/>
      <c r="G52" s="69"/>
      <c r="H52" s="69"/>
      <c r="I52" s="77"/>
      <c r="J52" s="77"/>
      <c r="K52" s="77"/>
      <c r="L52" s="77"/>
      <c r="M52" s="77"/>
      <c r="N52" s="78"/>
      <c r="O52" s="79"/>
      <c r="P52" s="294"/>
    </row>
    <row r="53" spans="2:16" ht="15">
      <c r="B53" s="284"/>
      <c r="C53" s="80"/>
      <c r="D53" s="75" t="s">
        <v>128</v>
      </c>
      <c r="E53" s="299">
        <f>10*I26*I50/I46</f>
        <v>697.6121931802433</v>
      </c>
      <c r="F53" s="504"/>
      <c r="H53" s="69"/>
      <c r="I53" s="77"/>
      <c r="J53" s="77"/>
      <c r="K53" s="77"/>
      <c r="L53" s="77"/>
      <c r="M53" s="77"/>
      <c r="N53" s="78"/>
      <c r="O53" s="79"/>
      <c r="P53" s="294"/>
    </row>
    <row r="54" spans="2:16" ht="15">
      <c r="B54" s="284"/>
      <c r="C54" s="80"/>
      <c r="D54" s="75"/>
      <c r="E54" s="299"/>
      <c r="F54" s="504"/>
      <c r="H54" s="69"/>
      <c r="I54" s="77"/>
      <c r="J54" s="77"/>
      <c r="K54" s="77"/>
      <c r="L54" s="77"/>
      <c r="M54" s="77"/>
      <c r="N54" s="78"/>
      <c r="O54" s="79"/>
      <c r="P54" s="294"/>
    </row>
    <row r="55" spans="2:16" ht="15">
      <c r="B55" s="284"/>
      <c r="C55" s="80"/>
      <c r="D55" s="819" t="s">
        <v>199</v>
      </c>
      <c r="E55" s="299"/>
      <c r="F55" s="504"/>
      <c r="H55" s="69"/>
      <c r="I55" s="77"/>
      <c r="J55" s="77"/>
      <c r="K55" s="77"/>
      <c r="L55" s="77"/>
      <c r="M55" s="77"/>
      <c r="N55" s="78"/>
      <c r="O55" s="79"/>
      <c r="P55" s="294"/>
    </row>
    <row r="56" spans="2:16" ht="15">
      <c r="B56" s="284"/>
      <c r="C56" s="80"/>
      <c r="D56" s="69"/>
      <c r="E56" s="69"/>
      <c r="J56" s="77"/>
      <c r="K56" s="77"/>
      <c r="L56" s="77"/>
      <c r="M56" s="77"/>
      <c r="N56" s="78"/>
      <c r="O56" s="79"/>
      <c r="P56" s="294"/>
    </row>
    <row r="57" spans="2:16" ht="15">
      <c r="B57" s="284"/>
      <c r="C57" s="80"/>
      <c r="D57" s="69" t="s">
        <v>142</v>
      </c>
      <c r="E57" s="69"/>
      <c r="F57" s="69"/>
      <c r="G57" s="69"/>
      <c r="H57" s="69"/>
      <c r="M57" s="77"/>
      <c r="N57" s="78"/>
      <c r="O57" s="79"/>
      <c r="P57" s="294"/>
    </row>
    <row r="58" spans="2:16" ht="15.75" thickBot="1">
      <c r="B58" s="284"/>
      <c r="C58" s="80"/>
      <c r="D58" s="69"/>
      <c r="E58" s="69"/>
      <c r="F58" s="69"/>
      <c r="G58" s="69"/>
      <c r="H58" s="69"/>
      <c r="M58" s="77"/>
      <c r="N58" s="78"/>
      <c r="O58" s="79"/>
      <c r="P58" s="294"/>
    </row>
    <row r="59" spans="2:16" ht="20.25" thickBot="1" thickTop="1">
      <c r="B59" s="284"/>
      <c r="C59" s="80"/>
      <c r="D59" s="76"/>
      <c r="E59" s="76"/>
      <c r="F59" s="82"/>
      <c r="G59" s="77"/>
      <c r="H59" s="240" t="s">
        <v>130</v>
      </c>
      <c r="I59" s="505">
        <f>IF($E$53&gt;3*I50,3*I50,$E$53)</f>
        <v>697.6121931802433</v>
      </c>
      <c r="J59" s="77"/>
      <c r="K59" s="77"/>
      <c r="L59" s="77"/>
      <c r="M59" s="77"/>
      <c r="N59" s="78"/>
      <c r="O59" s="79"/>
      <c r="P59" s="294"/>
    </row>
    <row r="60" spans="2:16" ht="16.5" thickBot="1" thickTop="1">
      <c r="B60" s="300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2"/>
    </row>
    <row r="61" spans="2:16" ht="13.5" thickTop="1">
      <c r="B61" s="1"/>
      <c r="P61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70" ht="12" customHeight="1"/>
    <row r="106" ht="12.75">
      <c r="B106" s="1"/>
    </row>
    <row r="112" ht="12.75">
      <c r="A112" s="1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0" r:id="rId4"/>
  <headerFooter alignWithMargins="0">
    <oddFooter>&amp;L&amp;"Times New Roman,Normal"&amp;8&amp;F-&amp;A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2010-06-08T12:09:07Z</cp:lastPrinted>
  <dcterms:created xsi:type="dcterms:W3CDTF">2000-10-04T20:14:32Z</dcterms:created>
  <dcterms:modified xsi:type="dcterms:W3CDTF">2010-08-06T14:26:00Z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