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0912" sheetId="1" r:id="rId1"/>
    <sheet name="LI-09 (1)" sheetId="2" r:id="rId2"/>
    <sheet name="LI-09 (2)" sheetId="3" r:id="rId3"/>
    <sheet name="LI-09 (3)" sheetId="4" r:id="rId4"/>
    <sheet name="T-09 (1)" sheetId="5" r:id="rId5"/>
    <sheet name="T-09 (2)" sheetId="6" r:id="rId6"/>
    <sheet name="T-09 (3)" sheetId="7" r:id="rId7"/>
    <sheet name="T-09 (4)" sheetId="8" r:id="rId8"/>
    <sheet name="SA-09 (1)" sheetId="9" r:id="rId9"/>
    <sheet name="SA-09 (2)" sheetId="10" r:id="rId10"/>
    <sheet name="SA-09 (3)" sheetId="11" r:id="rId11"/>
    <sheet name="SA-09 (4)" sheetId="12" r:id="rId12"/>
    <sheet name="SA-09 (5)" sheetId="13" r:id="rId13"/>
    <sheet name="RE-09 (1)" sheetId="14" r:id="rId14"/>
    <sheet name="TASA FALLA" sheetId="15" r:id="rId15"/>
    <sheet name="DATO" sheetId="16" r:id="rId16"/>
  </sheets>
  <externalReferences>
    <externalReference r:id="rId19"/>
    <externalReference r:id="rId20"/>
    <externalReference r:id="rId21"/>
  </externalReferences>
  <definedNames>
    <definedName name="_xlnm.Print_Area" localSheetId="14">'TASA FALLA'!$A$1:$V$166</definedName>
    <definedName name="DD" localSheetId="14">'TASA FALLA'!DD</definedName>
    <definedName name="DD">[0]!DD</definedName>
    <definedName name="DDD" localSheetId="14">'TASA FALLA'!DDD</definedName>
    <definedName name="DDD">[0]!DDD</definedName>
    <definedName name="DISTROCUYO" localSheetId="14">'TASA FALLA'!DISTROCUYO</definedName>
    <definedName name="DISTROCUYO">[0]!DISTROCUYO</definedName>
    <definedName name="INICIO" localSheetId="14">'TASA FALLA'!INICIO</definedName>
    <definedName name="INICIO">[0]!INICIO</definedName>
    <definedName name="INICIOTI" localSheetId="14">'TASA FALLA'!INICIOTI</definedName>
    <definedName name="INICIOTI">[0]!INICIOTI</definedName>
    <definedName name="LINEAS" localSheetId="14">'TASA FALLA'!LINEAS</definedName>
    <definedName name="LINEAS">[0]!LINEAS</definedName>
    <definedName name="NAME_L" localSheetId="14">'TASA FALLA'!NAME_L</definedName>
    <definedName name="NAME_L">[0]!NAME_L</definedName>
    <definedName name="NAME_L_TI" localSheetId="14">'TASA FALLA'!NAME_L_TI</definedName>
    <definedName name="NAME_L_TI">[0]!NAME_L_TI</definedName>
    <definedName name="QITBA">#REF!</definedName>
    <definedName name="TRANSNOA" localSheetId="14">'TASA FALLA'!TRANSNOA</definedName>
    <definedName name="TRANSNOA">[0]!TRANSNOA</definedName>
    <definedName name="XX" localSheetId="14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<sst xmlns="http://schemas.openxmlformats.org/spreadsheetml/2006/main" count="1494" uniqueCount="324">
  <si>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</si>
  <si>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</si>
  <si>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</si>
  <si>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</si>
  <si>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</si>
  <si>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</si>
  <si>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</si>
  <si>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</si>
  <si>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</si>
  <si>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</si>
  <si>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</si>
  <si>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</si>
  <si>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</si>
  <si>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</si>
  <si>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</si>
  <si>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</si>
  <si>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</si>
  <si>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</si>
  <si>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</si>
  <si>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</si>
  <si>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</si>
  <si>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</si>
  <si>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</si>
  <si>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</si>
  <si>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</si>
  <si>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</si>
  <si>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</si>
  <si>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</si>
  <si>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</si>
  <si>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</si>
  <si>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</si>
  <si>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</si>
  <si>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</si>
  <si>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</si>
  <si>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</si>
  <si>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</si>
  <si>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</si>
  <si>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</si>
  <si>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</si>
  <si>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</si>
  <si>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</si>
  <si>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</si>
  <si>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</si>
  <si>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</si>
  <si>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</si>
  <si>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</si>
  <si>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</si>
  <si>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</si>
  <si>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</si>
  <si>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</si>
  <si>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</si>
  <si>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</si>
  <si>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</si>
  <si>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</si>
  <si>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</si>
  <si>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</si>
  <si>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</si>
  <si>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</si>
  <si>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</si>
  <si>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</si>
  <si>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</si>
  <si>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</si>
  <si>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</si>
  <si>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</si>
  <si>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</si>
  <si>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</si>
  <si>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</si>
  <si>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</si>
  <si>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</si>
  <si>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</si>
  <si>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</si>
  <si>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</si>
  <si>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</si>
  <si>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</si>
  <si>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</si>
  <si>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</si>
  <si>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</si>
  <si>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 REACTIVA</t>
  </si>
  <si>
    <t>3.1.1- Equipamiento propio Res. 01_03</t>
  </si>
  <si>
    <t>MVA    $ =</t>
  </si>
  <si>
    <t>3.-</t>
  </si>
  <si>
    <t>Equipamiento propio Res. 01_03</t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</si>
  <si>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</si>
  <si>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</si>
  <si>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</si>
  <si>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</si>
  <si>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</si>
  <si>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</si>
  <si>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</si>
  <si>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</si>
  <si>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</si>
  <si>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</si>
  <si>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</si>
  <si>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</si>
  <si>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</si>
  <si>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</si>
  <si>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</si>
  <si>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</si>
  <si>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</si>
  <si>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</si>
  <si>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</si>
  <si>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</si>
  <si>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</si>
  <si>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</si>
  <si>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</si>
  <si>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</si>
  <si>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</si>
  <si>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</si>
  <si>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</si>
  <si>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</si>
  <si>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</si>
  <si>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</si>
  <si>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</si>
  <si>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</si>
  <si>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</si>
  <si>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</si>
  <si>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</si>
  <si>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</si>
  <si>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</si>
  <si>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</si>
  <si>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</si>
  <si>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</si>
  <si>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</si>
  <si>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</si>
  <si>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</si>
  <si>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</si>
  <si>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</si>
  <si>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</si>
  <si>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</si>
  <si>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</si>
  <si>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</si>
  <si>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</si>
  <si>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</si>
  <si>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</si>
  <si>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TRANSBA_CAUSAS_VST.XLS</t>
  </si>
  <si>
    <t>MODELO R</t>
  </si>
  <si>
    <t>TRANSBA_INDISPONIBILIDADES_LINEAS_TRANSBA.XLS</t>
  </si>
  <si>
    <t>TRANSBA_INDISPONIBILIDADES_TRAFOS_TRANSBA.XLS</t>
  </si>
  <si>
    <t>TRANSBA_INDISPONIBILIDADES_SALIDAS_TRANSBA.XLS</t>
  </si>
  <si>
    <t>TRANSBA_INDISPONIBILIDADES_REACTIVOS_TRANSBA.XLS</t>
  </si>
  <si>
    <t>Desde el 01 al 30 de septiembre de 2012</t>
  </si>
  <si>
    <t>LAS ARMAS - DOLORES</t>
  </si>
  <si>
    <t>C</t>
  </si>
  <si>
    <t>P</t>
  </si>
  <si>
    <t>SI</t>
  </si>
  <si>
    <t>0,000</t>
  </si>
  <si>
    <t>GRAL. MADARIAGA - LAS ARMAS</t>
  </si>
  <si>
    <t>LAS ARMAS - TANDIL</t>
  </si>
  <si>
    <t>CHASCOMUS - VERONICA</t>
  </si>
  <si>
    <t>B</t>
  </si>
  <si>
    <t>CNEL. SUAREZ - PIGUE</t>
  </si>
  <si>
    <t>PERGAMINO - ROJAS</t>
  </si>
  <si>
    <t>P. LURO - C. PATAGONES</t>
  </si>
  <si>
    <t>F</t>
  </si>
  <si>
    <t>C. DE PATAGONES - VIEDMA</t>
  </si>
  <si>
    <t>PEHUAJO - CARLOS CASARES</t>
  </si>
  <si>
    <t>MONTE - ROSAS</t>
  </si>
  <si>
    <t>PERGAMINO - RAMALLO</t>
  </si>
  <si>
    <t>CHIVILCOY - MERCEDES B.A.</t>
  </si>
  <si>
    <t>SAN CLEMENTE - DOLORES</t>
  </si>
  <si>
    <t>OLAVARRIA - HENDERSON</t>
  </si>
  <si>
    <t>URBANA BB - C. PIEDRABUENA</t>
  </si>
  <si>
    <t>MERCEDES B.A. - LUJAN</t>
  </si>
  <si>
    <t>OLAVARRIA - AZUL</t>
  </si>
  <si>
    <t>A</t>
  </si>
  <si>
    <t>ZARATE - ATUCHA I</t>
  </si>
  <si>
    <t>LINCOLN - BRAGADO</t>
  </si>
  <si>
    <t>MIRAMAR - NECOCHEA</t>
  </si>
  <si>
    <t>LUJAN - MORÓN 2</t>
  </si>
  <si>
    <t>CARLOS CASARES - 9 DE JULIO</t>
  </si>
  <si>
    <t>ARRECIFES - CAP. SARMIENTO</t>
  </si>
  <si>
    <t>TANDIL</t>
  </si>
  <si>
    <t>T1TD</t>
  </si>
  <si>
    <t>132/33/13,2</t>
  </si>
  <si>
    <t>LAS ARMAS</t>
  </si>
  <si>
    <t>Trafo</t>
  </si>
  <si>
    <t>ROJAS</t>
  </si>
  <si>
    <t>Trafo 2</t>
  </si>
  <si>
    <t>SALTO - BA</t>
  </si>
  <si>
    <t>Trafo 1</t>
  </si>
  <si>
    <t>BRAGADO</t>
  </si>
  <si>
    <t>T3BG</t>
  </si>
  <si>
    <t>132/66/13,2</t>
  </si>
  <si>
    <t>JUNIN</t>
  </si>
  <si>
    <t>MERCEDES BS.AS</t>
  </si>
  <si>
    <t>T2MD</t>
  </si>
  <si>
    <t>BARKER</t>
  </si>
  <si>
    <t xml:space="preserve">Trafo 2 </t>
  </si>
  <si>
    <t>VILLA GESELL</t>
  </si>
  <si>
    <t>Trafo 3</t>
  </si>
  <si>
    <t>132/13,2</t>
  </si>
  <si>
    <t>URBANA BBCA</t>
  </si>
  <si>
    <t>T1MD</t>
  </si>
  <si>
    <t>T4BG</t>
  </si>
  <si>
    <t>LUJAN II</t>
  </si>
  <si>
    <t>T. LAUQUEN</t>
  </si>
  <si>
    <t>66/13,2</t>
  </si>
  <si>
    <t>S. CLEMENTE</t>
  </si>
  <si>
    <t>PAPEL PRENSA</t>
  </si>
  <si>
    <t>NECOCHEA</t>
  </si>
  <si>
    <t>MAR DEL TUYU</t>
  </si>
  <si>
    <t>33/13,2</t>
  </si>
  <si>
    <t>MAR DE AJO</t>
  </si>
  <si>
    <t>SAN PEDRO</t>
  </si>
  <si>
    <t>LINCOLN</t>
  </si>
  <si>
    <t>PUNTA ALTA</t>
  </si>
  <si>
    <t>Trafo 4</t>
  </si>
  <si>
    <t>C. SARMIENTO</t>
  </si>
  <si>
    <t>66/33/13,2</t>
  </si>
  <si>
    <t>ARRECIFES</t>
  </si>
  <si>
    <t>PETROQUIMICA</t>
  </si>
  <si>
    <t>9 DE JULIO</t>
  </si>
  <si>
    <t>ZARATE</t>
  </si>
  <si>
    <t>QUEQUEN</t>
  </si>
  <si>
    <t>Alimentador 3 a Coop. NECOCHEA</t>
  </si>
  <si>
    <t>BARADERO</t>
  </si>
  <si>
    <t>Alimentador 4 EDEN ARAOZ</t>
  </si>
  <si>
    <t>Alimentador 1 a MAR DE AJO</t>
  </si>
  <si>
    <t>Alimentador a RIVADAVIA</t>
  </si>
  <si>
    <t>Alimentador 2 a MAR DE AJO</t>
  </si>
  <si>
    <t>CAMPANA</t>
  </si>
  <si>
    <t>Alimentador a TOLUENO 4-32</t>
  </si>
  <si>
    <t>Alimentador 1 a JUAREZ</t>
  </si>
  <si>
    <t>Alimentador 2 EDEN COLONIA SUIZA</t>
  </si>
  <si>
    <t>LUJAN</t>
  </si>
  <si>
    <t>Alimentador a EDEN BARADERO</t>
  </si>
  <si>
    <t>Alimentador 3 a Fca. LOMA NEGRA 1</t>
  </si>
  <si>
    <t>Alimentador 2 a J.N.FERNANDEZ</t>
  </si>
  <si>
    <t>Alimentador 4 a Fca. LOMA NEGRA 2</t>
  </si>
  <si>
    <t>MERCEDES</t>
  </si>
  <si>
    <t>Alimentador 2 a MERCEDES</t>
  </si>
  <si>
    <t>Alimentador 1 a MERCEDES</t>
  </si>
  <si>
    <t>Alimentador 1 a Coop. LUJAN</t>
  </si>
  <si>
    <t>Alimentador a S.G. AEG</t>
  </si>
  <si>
    <t>PERGAMINO</t>
  </si>
  <si>
    <t>Alimentador a ALFONSO</t>
  </si>
  <si>
    <t>Alimentador 2 a Coop. LUJAN</t>
  </si>
  <si>
    <t>CHIVILCOY</t>
  </si>
  <si>
    <t>Alimentador MOQUEHUA</t>
  </si>
  <si>
    <t>Alimentador a ROJAS</t>
  </si>
  <si>
    <t>MIRAMAR</t>
  </si>
  <si>
    <t>Alimentador a MAR DEL SUR</t>
  </si>
  <si>
    <t>Alimentador 4 a Coop. LUJAN</t>
  </si>
  <si>
    <t>Alimentador a UCRE 1</t>
  </si>
  <si>
    <t>Alimentador 5 a Coop. LUJAN</t>
  </si>
  <si>
    <t>Alimentador 8 a Coop. LUJAN</t>
  </si>
  <si>
    <t>Alimentador a SALTO 2</t>
  </si>
  <si>
    <t>Alimentador a UCRE 2</t>
  </si>
  <si>
    <t>Alimentador 2 a MIRAMAR</t>
  </si>
  <si>
    <t>Alimentador 6 a Coop. LUJAN</t>
  </si>
  <si>
    <t>SAN NICOLAS</t>
  </si>
  <si>
    <t>Alimentador a OXIGENA terna 1</t>
  </si>
  <si>
    <t>Alimentador a Coop. Zarate 3-36</t>
  </si>
  <si>
    <t>G. MADARIAGA</t>
  </si>
  <si>
    <t>Alimentador a MADARIAGA 1</t>
  </si>
  <si>
    <t>BALCARCE</t>
  </si>
  <si>
    <t>Alimentador a SAN MANUEL y QUEBRACHO</t>
  </si>
  <si>
    <t>Alimentador a SAN AGUSTIN,LOBERIA</t>
  </si>
  <si>
    <t>OLAVARRIA</t>
  </si>
  <si>
    <t>Alimentador 8 a S. BAYAS</t>
  </si>
  <si>
    <t>Alimentador 8 a  Coop. BALCARCE</t>
  </si>
  <si>
    <t>CHACABUCO</t>
  </si>
  <si>
    <t>Alimentador 3 a CHACABUCO</t>
  </si>
  <si>
    <t>Alimentador 4 a CHIVILCOY</t>
  </si>
  <si>
    <t>Alimentador 5 a AZUL</t>
  </si>
  <si>
    <t>Alimentador 2 a  Coop. BALCARCE</t>
  </si>
  <si>
    <t>Alimentador 8 a CHIVILCOY</t>
  </si>
  <si>
    <t>Alimentador a Coop. Zarate 3-35</t>
  </si>
  <si>
    <t>Alimentador a CAMPANA OESTE</t>
  </si>
  <si>
    <t>Alimentador 3 a Coop. OLAVARRIA</t>
  </si>
  <si>
    <t>Alimentador 4 a Coop. OLAVARRIA</t>
  </si>
  <si>
    <t>S. NIC. URBANA</t>
  </si>
  <si>
    <t>Alimentador 7</t>
  </si>
  <si>
    <t>Alimentador a B. HONDO - PEHUENCO</t>
  </si>
  <si>
    <t>DOLORES</t>
  </si>
  <si>
    <t>Línea a CASTELLI</t>
  </si>
  <si>
    <t>Alimentador a IRAOLA y AYACUCHO</t>
  </si>
  <si>
    <t>Alimentador 3 a MIRAMAR</t>
  </si>
  <si>
    <t>Alimentador a MADARIAGA</t>
  </si>
  <si>
    <t>Alimentador 1 a MIRAMAR</t>
  </si>
  <si>
    <t>Alimentador a Coop. Zarate 3-31</t>
  </si>
  <si>
    <t>CAP K1MD</t>
  </si>
  <si>
    <t>CAP K3MD</t>
  </si>
  <si>
    <t>K1JU</t>
  </si>
  <si>
    <t>RAMALLO - SIDERAR</t>
  </si>
  <si>
    <t>2620 (4716)</t>
  </si>
  <si>
    <t>LUJAN - MORÓN 1 (LUJAN - MALVINAS)</t>
  </si>
  <si>
    <t>SAN NICOLÁS - SIDERAR</t>
  </si>
  <si>
    <t>ZARATE - CAMPANA III    1</t>
  </si>
  <si>
    <t>2620 (4715)</t>
  </si>
  <si>
    <t>LUJAN - MORÓN 1  (LUJAN - LUJAN II)</t>
  </si>
  <si>
    <t>132/33/6,6</t>
  </si>
  <si>
    <t>132/33</t>
  </si>
  <si>
    <t>SALIDA C.T. LAS ARMAS</t>
  </si>
  <si>
    <t>Alimentador a Coop. SAN PEDRO</t>
  </si>
  <si>
    <t>P - PROGRAMADA  ;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</si>
  <si>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</si>
  <si>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P - PROGRAMADA </t>
  </si>
  <si>
    <t xml:space="preserve">P - PROGRAMADA  </t>
  </si>
  <si>
    <t>Alimentador a C.T. LAS ARMAS</t>
  </si>
  <si>
    <t>Alimentador 2 EDEN BARADERO SAENZ</t>
  </si>
  <si>
    <t>Alimentador a Coop. SAN DERNARDO</t>
  </si>
  <si>
    <t>Alimentador a C.T. LINCOLN</t>
  </si>
  <si>
    <t xml:space="preserve">Alimentador 3 a PARQUE IND. 1 </t>
  </si>
  <si>
    <t>3.1.1.-</t>
  </si>
  <si>
    <t>REACTIVA</t>
  </si>
  <si>
    <t>SISTEMA DE TRANSPORTE DE ENERGÍA ELÉCTRICA POR DISTRIBUCIÓN TRONCAL</t>
  </si>
  <si>
    <t>INDISPONIBILIDADES FORZADAS DE LÍNEAS - TASA DE FALLA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</si>
  <si>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</si>
  <si>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</si>
  <si>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</si>
  <si>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</si>
  <si>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</si>
  <si>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</si>
  <si>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</si>
  <si>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ANEXO IV al Memorándum  D.T.E.E.  N°           /2014</t>
  </si>
  <si>
    <t>TOTAL DE PENALIZACIONES A APLICAR</t>
  </si>
  <si>
    <t>Valores remuneratorios según "Convenio de Renovación del Acuerdo Instrumental del Acta Acuerdo UNIREN - TRANSBA" (Dec. PEN Nº 1460/05)</t>
  </si>
  <si>
    <t>RF</t>
  </si>
  <si>
    <t>NO</t>
  </si>
  <si>
    <t>P - PROGRAMADA  ; F - FORZADA  ; RF - RESTANTE FORZADA</t>
  </si>
  <si>
    <t>87b</t>
  </si>
  <si>
    <t>88b</t>
  </si>
  <si>
    <t>Tasa de falla correspondiente al mes de septiembre de 2012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</si>
</sst>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00_)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0.0\ \k\V"/>
    <numFmt numFmtId="184" formatCode="0.00\ &quot;km&quot;"/>
    <numFmt numFmtId="185" formatCode="0.00\ &quot;MVA&quot;"/>
    <numFmt numFmtId="186" formatCode="0.0"/>
    <numFmt numFmtId="187" formatCode="dd/mm/yy"/>
    <numFmt numFmtId="188" formatCode="mmm\-yyyy"/>
    <numFmt numFmtId="189" formatCode="dd\-mm\-yy"/>
    <numFmt numFmtId="190" formatCode="mmmm\ d\,\ yyyy"/>
    <numFmt numFmtId="191" formatCode="#,##0.00000"/>
  </numFmts>
  <fonts count="76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sz val="9"/>
      <name val="Times New Roman"/>
      <family val="1"/>
    </font>
    <font>
      <sz val="9"/>
      <name val="Wingdings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sz val="14"/>
      <name val="MS Sans Serif"/>
      <family val="0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6" fillId="0" borderId="0" xfId="26" applyFont="1">
      <alignment/>
      <protection/>
    </xf>
    <xf numFmtId="0" fontId="6" fillId="0" borderId="0" xfId="26" applyFont="1" applyFill="1" applyBorder="1">
      <alignment/>
      <protection/>
    </xf>
    <xf numFmtId="0" fontId="8" fillId="0" borderId="0" xfId="26" applyFont="1">
      <alignment/>
      <protection/>
    </xf>
    <xf numFmtId="0" fontId="8" fillId="0" borderId="0" xfId="26" applyFont="1" applyAlignment="1">
      <alignment horizontal="centerContinuous"/>
      <protection/>
    </xf>
    <xf numFmtId="0" fontId="1" fillId="0" borderId="0" xfId="26">
      <alignment/>
      <protection/>
    </xf>
    <xf numFmtId="0" fontId="6" fillId="0" borderId="0" xfId="26" applyFont="1" applyAlignment="1">
      <alignment horizontal="centerContinuous"/>
      <protection/>
    </xf>
    <xf numFmtId="0" fontId="6" fillId="0" borderId="0" xfId="26" applyFont="1" applyBorder="1">
      <alignment/>
      <protection/>
    </xf>
    <xf numFmtId="0" fontId="4" fillId="0" borderId="0" xfId="26" applyFont="1" applyFill="1" applyBorder="1" applyAlignment="1" applyProtection="1">
      <alignment horizontal="centerContinuous"/>
      <protection/>
    </xf>
    <xf numFmtId="0" fontId="10" fillId="0" borderId="0" xfId="26" applyFont="1">
      <alignment/>
      <protection/>
    </xf>
    <xf numFmtId="0" fontId="11" fillId="0" borderId="0" xfId="26" applyFont="1">
      <alignment/>
      <protection/>
    </xf>
    <xf numFmtId="0" fontId="13" fillId="0" borderId="1" xfId="26" applyFont="1" applyBorder="1" applyAlignment="1">
      <alignment horizontal="centerContinuous"/>
      <protection/>
    </xf>
    <xf numFmtId="0" fontId="13" fillId="0" borderId="0" xfId="26" applyFont="1" applyBorder="1" applyAlignment="1">
      <alignment horizontal="centerContinuous"/>
      <protection/>
    </xf>
    <xf numFmtId="0" fontId="6" fillId="0" borderId="1" xfId="26" applyFont="1" applyBorder="1">
      <alignment/>
      <protection/>
    </xf>
    <xf numFmtId="0" fontId="6" fillId="0" borderId="2" xfId="26" applyFont="1" applyBorder="1">
      <alignment/>
      <protection/>
    </xf>
    <xf numFmtId="0" fontId="6" fillId="0" borderId="0" xfId="26" applyFont="1" applyBorder="1" applyAlignment="1">
      <alignment horizontal="center"/>
      <protection/>
    </xf>
    <xf numFmtId="0" fontId="9" fillId="0" borderId="0" xfId="26" applyFont="1" applyAlignment="1" applyProtection="1">
      <alignment horizontal="centerContinuous"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4" fillId="0" borderId="0" xfId="26" applyFont="1" applyBorder="1" applyAlignment="1" applyProtection="1">
      <alignment horizontal="centerContinuous"/>
      <protection/>
    </xf>
    <xf numFmtId="0" fontId="6" fillId="0" borderId="3" xfId="26" applyFont="1" applyBorder="1">
      <alignment/>
      <protection/>
    </xf>
    <xf numFmtId="0" fontId="6" fillId="0" borderId="4" xfId="26" applyFont="1" applyBorder="1">
      <alignment/>
      <protection/>
    </xf>
    <xf numFmtId="0" fontId="6" fillId="0" borderId="5" xfId="26" applyFont="1" applyBorder="1">
      <alignment/>
      <protection/>
    </xf>
    <xf numFmtId="0" fontId="15" fillId="0" borderId="0" xfId="26" applyFont="1">
      <alignment/>
      <protection/>
    </xf>
    <xf numFmtId="0" fontId="15" fillId="0" borderId="1" xfId="26" applyFont="1" applyBorder="1">
      <alignment/>
      <protection/>
    </xf>
    <xf numFmtId="0" fontId="16" fillId="0" borderId="0" xfId="26" applyFont="1" applyBorder="1">
      <alignment/>
      <protection/>
    </xf>
    <xf numFmtId="0" fontId="15" fillId="0" borderId="0" xfId="26" applyFont="1" applyBorder="1">
      <alignment/>
      <protection/>
    </xf>
    <xf numFmtId="0" fontId="15" fillId="0" borderId="2" xfId="26" applyFont="1" applyBorder="1">
      <alignment/>
      <protection/>
    </xf>
    <xf numFmtId="0" fontId="3" fillId="0" borderId="0" xfId="26" applyFont="1" applyBorder="1">
      <alignment/>
      <protection/>
    </xf>
    <xf numFmtId="0" fontId="13" fillId="0" borderId="0" xfId="26" applyFont="1" applyFill="1" applyBorder="1" applyAlignment="1" applyProtection="1">
      <alignment horizontal="centerContinuous"/>
      <protection locked="0"/>
    </xf>
    <xf numFmtId="0" fontId="13" fillId="0" borderId="0" xfId="26" applyFont="1" applyAlignment="1">
      <alignment horizontal="centerContinuous"/>
      <protection/>
    </xf>
    <xf numFmtId="0" fontId="13" fillId="0" borderId="0" xfId="26" applyFont="1" applyBorder="1" applyAlignment="1" applyProtection="1">
      <alignment horizontal="centerContinuous"/>
      <protection/>
    </xf>
    <xf numFmtId="0" fontId="13" fillId="0" borderId="2" xfId="26" applyFont="1" applyBorder="1" applyAlignment="1">
      <alignment horizontal="centerContinuous"/>
      <protection/>
    </xf>
    <xf numFmtId="0" fontId="12" fillId="0" borderId="0" xfId="26" applyFont="1" applyBorder="1">
      <alignment/>
      <protection/>
    </xf>
    <xf numFmtId="0" fontId="3" fillId="0" borderId="0" xfId="26" applyFont="1" applyBorder="1" applyProtection="1">
      <alignment/>
      <protection/>
    </xf>
    <xf numFmtId="0" fontId="6" fillId="0" borderId="0" xfId="26" applyFont="1" applyBorder="1" applyProtection="1">
      <alignment/>
      <protection/>
    </xf>
    <xf numFmtId="0" fontId="1" fillId="0" borderId="6" xfId="26" applyFont="1" applyBorder="1" applyAlignment="1" applyProtection="1">
      <alignment horizontal="center"/>
      <protection/>
    </xf>
    <xf numFmtId="175" fontId="1" fillId="0" borderId="6" xfId="26" applyNumberFormat="1" applyFont="1" applyBorder="1" applyAlignment="1">
      <alignment horizontal="centerContinuous"/>
      <protection/>
    </xf>
    <xf numFmtId="0" fontId="3" fillId="0" borderId="7" xfId="26" applyFont="1" applyBorder="1" applyAlignment="1" applyProtection="1">
      <alignment horizontal="centerContinuous"/>
      <protection/>
    </xf>
    <xf numFmtId="0" fontId="3" fillId="0" borderId="0" xfId="26" applyFont="1" applyBorder="1" applyAlignment="1" applyProtection="1">
      <alignment/>
      <protection/>
    </xf>
    <xf numFmtId="0" fontId="1" fillId="0" borderId="0" xfId="26" applyFont="1" applyBorder="1" applyAlignment="1">
      <alignment horizontal="right"/>
      <protection/>
    </xf>
    <xf numFmtId="0" fontId="1" fillId="0" borderId="0" xfId="26" applyFont="1" applyBorder="1" applyAlignment="1" applyProtection="1">
      <alignment horizontal="center"/>
      <protection locked="0"/>
    </xf>
    <xf numFmtId="0" fontId="1" fillId="0" borderId="0" xfId="26" applyFont="1" applyAlignment="1" applyProtection="1">
      <alignment/>
      <protection/>
    </xf>
    <xf numFmtId="171" fontId="6" fillId="0" borderId="7" xfId="26" applyNumberFormat="1" applyFont="1" applyBorder="1" applyAlignment="1">
      <alignment horizontal="centerContinuous"/>
      <protection/>
    </xf>
    <xf numFmtId="171" fontId="6" fillId="0" borderId="0" xfId="26" applyNumberFormat="1" applyFont="1" applyBorder="1" applyAlignment="1">
      <alignment/>
      <protection/>
    </xf>
    <xf numFmtId="0" fontId="1" fillId="0" borderId="0" xfId="26" applyFont="1" applyAlignment="1">
      <alignment horizontal="right"/>
      <protection/>
    </xf>
    <xf numFmtId="0" fontId="6" fillId="0" borderId="0" xfId="26" applyFont="1" applyAlignment="1">
      <alignment horizontal="center" vertical="center"/>
      <protection/>
    </xf>
    <xf numFmtId="0" fontId="6" fillId="0" borderId="1" xfId="26" applyFont="1" applyBorder="1" applyAlignment="1">
      <alignment horizontal="center" vertical="center"/>
      <protection/>
    </xf>
    <xf numFmtId="0" fontId="17" fillId="0" borderId="8" xfId="26" applyFont="1" applyBorder="1" applyAlignment="1" applyProtection="1">
      <alignment horizontal="center" vertical="center"/>
      <protection/>
    </xf>
    <xf numFmtId="0" fontId="17" fillId="0" borderId="8" xfId="26" applyFont="1" applyBorder="1" applyAlignment="1" applyProtection="1">
      <alignment horizontal="center" vertical="center" wrapText="1"/>
      <protection/>
    </xf>
    <xf numFmtId="0" fontId="18" fillId="2" borderId="8" xfId="26" applyFont="1" applyFill="1" applyBorder="1" applyAlignment="1" applyProtection="1">
      <alignment horizontal="center" vertical="center"/>
      <protection/>
    </xf>
    <xf numFmtId="0" fontId="20" fillId="3" borderId="8" xfId="26" applyFont="1" applyFill="1" applyBorder="1" applyAlignment="1" applyProtection="1">
      <alignment horizontal="center" vertical="center" wrapText="1"/>
      <protection/>
    </xf>
    <xf numFmtId="0" fontId="21" fillId="4" borderId="8" xfId="26" applyFont="1" applyFill="1" applyBorder="1" applyAlignment="1">
      <alignment horizontal="center" vertical="center" wrapText="1"/>
      <protection/>
    </xf>
    <xf numFmtId="0" fontId="22" fillId="5" borderId="8" xfId="26" applyFont="1" applyFill="1" applyBorder="1" applyAlignment="1">
      <alignment horizontal="center" vertical="center" wrapText="1"/>
      <protection/>
    </xf>
    <xf numFmtId="0" fontId="23" fillId="2" borderId="6" xfId="26" applyFont="1" applyFill="1" applyBorder="1" applyAlignment="1" applyProtection="1">
      <alignment horizontal="centerContinuous" vertical="center" wrapText="1"/>
      <protection/>
    </xf>
    <xf numFmtId="0" fontId="24" fillId="2" borderId="9" xfId="26" applyFont="1" applyFill="1" applyBorder="1" applyAlignment="1">
      <alignment horizontal="centerContinuous"/>
      <protection/>
    </xf>
    <xf numFmtId="0" fontId="23" fillId="2" borderId="7" xfId="26" applyFont="1" applyFill="1" applyBorder="1" applyAlignment="1">
      <alignment horizontal="centerContinuous" vertical="center"/>
      <protection/>
    </xf>
    <xf numFmtId="0" fontId="21" fillId="6" borderId="6" xfId="26" applyFont="1" applyFill="1" applyBorder="1" applyAlignment="1" applyProtection="1">
      <alignment horizontal="centerContinuous" vertical="center" wrapText="1"/>
      <protection/>
    </xf>
    <xf numFmtId="0" fontId="21" fillId="6" borderId="9" xfId="26" applyFont="1" applyFill="1" applyBorder="1" applyAlignment="1">
      <alignment horizontal="centerContinuous" vertical="center"/>
      <protection/>
    </xf>
    <xf numFmtId="0" fontId="21" fillId="6" borderId="7" xfId="26" applyFont="1" applyFill="1" applyBorder="1" applyAlignment="1">
      <alignment horizontal="centerContinuous" vertical="center"/>
      <protection/>
    </xf>
    <xf numFmtId="0" fontId="25" fillId="7" borderId="8" xfId="26" applyFont="1" applyFill="1" applyBorder="1" applyAlignment="1">
      <alignment horizontal="center" vertical="center" wrapText="1"/>
      <protection/>
    </xf>
    <xf numFmtId="0" fontId="26" fillId="8" borderId="8" xfId="26" applyFont="1" applyFill="1" applyBorder="1" applyAlignment="1">
      <alignment horizontal="center" vertical="center" wrapText="1"/>
      <protection/>
    </xf>
    <xf numFmtId="0" fontId="17" fillId="0" borderId="8" xfId="26" applyFont="1" applyBorder="1" applyAlignment="1">
      <alignment horizontal="center" vertical="center" wrapText="1"/>
      <protection/>
    </xf>
    <xf numFmtId="0" fontId="6" fillId="0" borderId="2" xfId="26" applyFont="1" applyBorder="1" applyAlignment="1">
      <alignment horizontal="center" vertical="center"/>
      <protection/>
    </xf>
    <xf numFmtId="0" fontId="6" fillId="0" borderId="10" xfId="26" applyFont="1" applyBorder="1" applyProtection="1">
      <alignment/>
      <protection locked="0"/>
    </xf>
    <xf numFmtId="0" fontId="6" fillId="0" borderId="10" xfId="26" applyFont="1" applyBorder="1" applyAlignment="1" applyProtection="1">
      <alignment horizontal="center"/>
      <protection locked="0"/>
    </xf>
    <xf numFmtId="0" fontId="27" fillId="2" borderId="10" xfId="26" applyFont="1" applyFill="1" applyBorder="1" applyProtection="1">
      <alignment/>
      <protection locked="0"/>
    </xf>
    <xf numFmtId="0" fontId="6" fillId="0" borderId="10" xfId="26" applyFont="1" applyBorder="1" applyAlignment="1">
      <alignment horizontal="center"/>
      <protection/>
    </xf>
    <xf numFmtId="0" fontId="28" fillId="3" borderId="10" xfId="26" applyFont="1" applyFill="1" applyBorder="1" applyProtection="1">
      <alignment/>
      <protection locked="0"/>
    </xf>
    <xf numFmtId="0" fontId="29" fillId="4" borderId="10" xfId="26" applyFont="1" applyFill="1" applyBorder="1" applyProtection="1">
      <alignment/>
      <protection locked="0"/>
    </xf>
    <xf numFmtId="0" fontId="30" fillId="5" borderId="10" xfId="26" applyFont="1" applyFill="1" applyBorder="1" applyProtection="1">
      <alignment/>
      <protection locked="0"/>
    </xf>
    <xf numFmtId="0" fontId="31" fillId="2" borderId="10" xfId="26" applyFont="1" applyFill="1" applyBorder="1" applyAlignment="1" applyProtection="1">
      <alignment horizontal="center"/>
      <protection locked="0"/>
    </xf>
    <xf numFmtId="0" fontId="31" fillId="2" borderId="10" xfId="26" applyFont="1" applyFill="1" applyBorder="1" applyProtection="1">
      <alignment/>
      <protection locked="0"/>
    </xf>
    <xf numFmtId="0" fontId="29" fillId="6" borderId="10" xfId="26" applyFont="1" applyFill="1" applyBorder="1" applyProtection="1">
      <alignment/>
      <protection locked="0"/>
    </xf>
    <xf numFmtId="0" fontId="32" fillId="7" borderId="10" xfId="26" applyFont="1" applyFill="1" applyBorder="1" applyProtection="1">
      <alignment/>
      <protection locked="0"/>
    </xf>
    <xf numFmtId="0" fontId="33" fillId="8" borderId="10" xfId="26" applyFont="1" applyFill="1" applyBorder="1" applyProtection="1">
      <alignment/>
      <protection locked="0"/>
    </xf>
    <xf numFmtId="176" fontId="34" fillId="0" borderId="10" xfId="26" applyNumberFormat="1" applyFont="1" applyBorder="1" applyAlignment="1">
      <alignment horizontal="right"/>
      <protection/>
    </xf>
    <xf numFmtId="0" fontId="6" fillId="0" borderId="11" xfId="26" applyFont="1" applyBorder="1" applyProtection="1">
      <alignment/>
      <protection locked="0"/>
    </xf>
    <xf numFmtId="0" fontId="6" fillId="0" borderId="12" xfId="26" applyFont="1" applyBorder="1" applyAlignment="1" applyProtection="1">
      <alignment horizontal="center"/>
      <protection locked="0"/>
    </xf>
    <xf numFmtId="0" fontId="27" fillId="2" borderId="11" xfId="26" applyFont="1" applyFill="1" applyBorder="1" applyProtection="1">
      <alignment/>
      <protection locked="0"/>
    </xf>
    <xf numFmtId="0" fontId="6" fillId="0" borderId="11" xfId="26" applyFont="1" applyBorder="1" applyAlignment="1" applyProtection="1">
      <alignment horizontal="center"/>
      <protection locked="0"/>
    </xf>
    <xf numFmtId="0" fontId="6" fillId="0" borderId="11" xfId="26" applyFont="1" applyBorder="1" applyAlignment="1">
      <alignment horizontal="center"/>
      <protection/>
    </xf>
    <xf numFmtId="0" fontId="28" fillId="3" borderId="11" xfId="26" applyFont="1" applyFill="1" applyBorder="1" applyProtection="1">
      <alignment/>
      <protection locked="0"/>
    </xf>
    <xf numFmtId="0" fontId="29" fillId="4" borderId="11" xfId="26" applyFont="1" applyFill="1" applyBorder="1" applyProtection="1">
      <alignment/>
      <protection locked="0"/>
    </xf>
    <xf numFmtId="0" fontId="30" fillId="5" borderId="11" xfId="26" applyFont="1" applyFill="1" applyBorder="1" applyProtection="1">
      <alignment/>
      <protection locked="0"/>
    </xf>
    <xf numFmtId="0" fontId="31" fillId="2" borderId="11" xfId="26" applyFont="1" applyFill="1" applyBorder="1" applyAlignment="1" applyProtection="1">
      <alignment horizontal="center"/>
      <protection locked="0"/>
    </xf>
    <xf numFmtId="0" fontId="31" fillId="2" borderId="11" xfId="26" applyFont="1" applyFill="1" applyBorder="1" applyProtection="1">
      <alignment/>
      <protection locked="0"/>
    </xf>
    <xf numFmtId="0" fontId="29" fillId="6" borderId="11" xfId="26" applyFont="1" applyFill="1" applyBorder="1" applyProtection="1">
      <alignment/>
      <protection locked="0"/>
    </xf>
    <xf numFmtId="0" fontId="32" fillId="7" borderId="11" xfId="26" applyFont="1" applyFill="1" applyBorder="1" applyProtection="1">
      <alignment/>
      <protection locked="0"/>
    </xf>
    <xf numFmtId="0" fontId="33" fillId="8" borderId="11" xfId="26" applyFont="1" applyFill="1" applyBorder="1" applyProtection="1">
      <alignment/>
      <protection locked="0"/>
    </xf>
    <xf numFmtId="0" fontId="34" fillId="0" borderId="11" xfId="26" applyFont="1" applyBorder="1" applyAlignment="1">
      <alignment horizontal="center"/>
      <protection/>
    </xf>
    <xf numFmtId="2" fontId="6" fillId="0" borderId="12" xfId="26" applyNumberFormat="1" applyFont="1" applyBorder="1" applyAlignment="1" applyProtection="1">
      <alignment horizontal="center"/>
      <protection locked="0"/>
    </xf>
    <xf numFmtId="2" fontId="6" fillId="0" borderId="11" xfId="26" applyNumberFormat="1" applyFont="1" applyBorder="1" applyAlignment="1" applyProtection="1">
      <alignment horizontal="center"/>
      <protection locked="0"/>
    </xf>
    <xf numFmtId="172" fontId="27" fillId="2" borderId="11" xfId="26" applyNumberFormat="1" applyFont="1" applyFill="1" applyBorder="1" applyAlignment="1" applyProtection="1">
      <alignment horizontal="center"/>
      <protection locked="0"/>
    </xf>
    <xf numFmtId="22" fontId="6" fillId="0" borderId="11" xfId="26" applyNumberFormat="1" applyFont="1" applyBorder="1" applyAlignment="1" applyProtection="1">
      <alignment horizontal="center"/>
      <protection locked="0"/>
    </xf>
    <xf numFmtId="2" fontId="6" fillId="0" borderId="11" xfId="26" applyNumberFormat="1" applyFont="1" applyBorder="1" applyAlignment="1" applyProtection="1">
      <alignment horizontal="center"/>
      <protection/>
    </xf>
    <xf numFmtId="1" fontId="6" fillId="0" borderId="11" xfId="26" applyNumberFormat="1" applyFont="1" applyBorder="1" applyAlignment="1" applyProtection="1">
      <alignment horizontal="center"/>
      <protection/>
    </xf>
    <xf numFmtId="172" fontId="6" fillId="0" borderId="11" xfId="26" applyNumberFormat="1" applyFont="1" applyBorder="1" applyAlignment="1" applyProtection="1">
      <alignment horizontal="center"/>
      <protection locked="0"/>
    </xf>
    <xf numFmtId="172" fontId="28" fillId="3" borderId="11" xfId="26" applyNumberFormat="1" applyFont="1" applyFill="1" applyBorder="1" applyAlignment="1" applyProtection="1" quotePrefix="1">
      <alignment horizontal="center"/>
      <protection locked="0"/>
    </xf>
    <xf numFmtId="2" fontId="29" fillId="4" borderId="11" xfId="26" applyNumberFormat="1" applyFont="1" applyFill="1" applyBorder="1" applyAlignment="1" applyProtection="1">
      <alignment horizontal="center"/>
      <protection locked="0"/>
    </xf>
    <xf numFmtId="2" fontId="30" fillId="5" borderId="11" xfId="26" applyNumberFormat="1" applyFont="1" applyFill="1" applyBorder="1" applyAlignment="1" applyProtection="1">
      <alignment horizontal="center"/>
      <protection locked="0"/>
    </xf>
    <xf numFmtId="172" fontId="31" fillId="2" borderId="11" xfId="26" applyNumberFormat="1" applyFont="1" applyFill="1" applyBorder="1" applyAlignment="1" applyProtection="1" quotePrefix="1">
      <alignment horizontal="center"/>
      <protection locked="0"/>
    </xf>
    <xf numFmtId="4" fontId="31" fillId="2" borderId="11" xfId="26" applyNumberFormat="1" applyFont="1" applyFill="1" applyBorder="1" applyAlignment="1" applyProtection="1">
      <alignment horizontal="center"/>
      <protection locked="0"/>
    </xf>
    <xf numFmtId="172" fontId="29" fillId="6" borderId="11" xfId="26" applyNumberFormat="1" applyFont="1" applyFill="1" applyBorder="1" applyAlignment="1" applyProtection="1" quotePrefix="1">
      <alignment horizontal="center"/>
      <protection locked="0"/>
    </xf>
    <xf numFmtId="4" fontId="29" fillId="6" borderId="11" xfId="26" applyNumberFormat="1" applyFont="1" applyFill="1" applyBorder="1" applyAlignment="1" applyProtection="1">
      <alignment horizontal="center"/>
      <protection locked="0"/>
    </xf>
    <xf numFmtId="4" fontId="32" fillId="7" borderId="11" xfId="26" applyNumberFormat="1" applyFont="1" applyFill="1" applyBorder="1" applyAlignment="1" applyProtection="1">
      <alignment horizontal="center"/>
      <protection locked="0"/>
    </xf>
    <xf numFmtId="4" fontId="33" fillId="8" borderId="11" xfId="26" applyNumberFormat="1" applyFont="1" applyFill="1" applyBorder="1" applyAlignment="1" applyProtection="1">
      <alignment horizontal="center"/>
      <protection locked="0"/>
    </xf>
    <xf numFmtId="4" fontId="34" fillId="0" borderId="11" xfId="26" applyNumberFormat="1" applyFont="1" applyBorder="1" applyAlignment="1">
      <alignment horizontal="right"/>
      <protection/>
    </xf>
    <xf numFmtId="2" fontId="6" fillId="0" borderId="2" xfId="26" applyNumberFormat="1" applyFont="1" applyBorder="1">
      <alignment/>
      <protection/>
    </xf>
    <xf numFmtId="0" fontId="6" fillId="0" borderId="1" xfId="26" applyFont="1" applyBorder="1" applyAlignment="1">
      <alignment horizontal="center"/>
      <protection/>
    </xf>
    <xf numFmtId="0" fontId="6" fillId="0" borderId="13" xfId="26" applyFont="1" applyBorder="1" applyAlignment="1" applyProtection="1">
      <alignment horizontal="center"/>
      <protection locked="0"/>
    </xf>
    <xf numFmtId="172" fontId="6" fillId="0" borderId="13" xfId="26" applyNumberFormat="1" applyFont="1" applyBorder="1" applyAlignment="1" applyProtection="1">
      <alignment horizontal="center"/>
      <protection/>
    </xf>
    <xf numFmtId="172" fontId="27" fillId="2" borderId="13" xfId="26" applyNumberFormat="1" applyFont="1" applyFill="1" applyBorder="1" applyAlignment="1" applyProtection="1">
      <alignment horizontal="center"/>
      <protection/>
    </xf>
    <xf numFmtId="7" fontId="34" fillId="0" borderId="14" xfId="26" applyNumberFormat="1" applyFont="1" applyBorder="1" applyAlignment="1">
      <alignment horizontal="center"/>
      <protection/>
    </xf>
    <xf numFmtId="0" fontId="36" fillId="0" borderId="0" xfId="26" applyFont="1" applyBorder="1" applyAlignment="1" applyProtection="1">
      <alignment horizontal="left"/>
      <protection/>
    </xf>
    <xf numFmtId="0" fontId="6" fillId="0" borderId="0" xfId="26" applyFont="1" applyBorder="1" applyAlignment="1" applyProtection="1">
      <alignment horizontal="center"/>
      <protection/>
    </xf>
    <xf numFmtId="2" fontId="6" fillId="0" borderId="0" xfId="26" applyNumberFormat="1" applyFont="1" applyBorder="1" applyAlignment="1" applyProtection="1">
      <alignment horizontal="center"/>
      <protection/>
    </xf>
    <xf numFmtId="172" fontId="6" fillId="0" borderId="0" xfId="26" applyNumberFormat="1" applyFont="1" applyBorder="1" applyAlignment="1" applyProtection="1">
      <alignment horizontal="center"/>
      <protection/>
    </xf>
    <xf numFmtId="172" fontId="6" fillId="0" borderId="0" xfId="26" applyNumberFormat="1" applyFont="1" applyBorder="1" applyAlignment="1" applyProtection="1" quotePrefix="1">
      <alignment horizontal="center"/>
      <protection/>
    </xf>
    <xf numFmtId="2" fontId="29" fillId="4" borderId="8" xfId="26" applyNumberFormat="1" applyFont="1" applyFill="1" applyBorder="1" applyAlignment="1">
      <alignment horizontal="center"/>
      <protection/>
    </xf>
    <xf numFmtId="2" fontId="30" fillId="5" borderId="8" xfId="26" applyNumberFormat="1" applyFont="1" applyFill="1" applyBorder="1" applyAlignment="1">
      <alignment horizontal="center"/>
      <protection/>
    </xf>
    <xf numFmtId="172" fontId="31" fillId="2" borderId="8" xfId="26" applyNumberFormat="1" applyFont="1" applyFill="1" applyBorder="1" applyAlignment="1" applyProtection="1" quotePrefix="1">
      <alignment horizontal="center"/>
      <protection/>
    </xf>
    <xf numFmtId="172" fontId="29" fillId="6" borderId="8" xfId="26" applyNumberFormat="1" applyFont="1" applyFill="1" applyBorder="1" applyAlignment="1" applyProtection="1" quotePrefix="1">
      <alignment horizontal="center"/>
      <protection/>
    </xf>
    <xf numFmtId="172" fontId="32" fillId="7" borderId="8" xfId="26" applyNumberFormat="1" applyFont="1" applyFill="1" applyBorder="1" applyAlignment="1" applyProtection="1" quotePrefix="1">
      <alignment horizontal="center"/>
      <protection/>
    </xf>
    <xf numFmtId="172" fontId="33" fillId="8" borderId="8" xfId="26" applyNumberFormat="1" applyFont="1" applyFill="1" applyBorder="1" applyAlignment="1" applyProtection="1" quotePrefix="1">
      <alignment horizontal="center"/>
      <protection/>
    </xf>
    <xf numFmtId="4" fontId="7" fillId="0" borderId="0" xfId="26" applyNumberFormat="1" applyFont="1" applyBorder="1" applyAlignment="1">
      <alignment horizontal="center"/>
      <protection/>
    </xf>
    <xf numFmtId="2" fontId="6" fillId="0" borderId="2" xfId="26" applyNumberFormat="1" applyFont="1" applyBorder="1" applyAlignment="1">
      <alignment horizontal="center"/>
      <protection/>
    </xf>
    <xf numFmtId="0" fontId="35" fillId="0" borderId="0" xfId="26" applyFont="1">
      <alignment/>
      <protection/>
    </xf>
    <xf numFmtId="0" fontId="35" fillId="0" borderId="1" xfId="26" applyFont="1" applyBorder="1">
      <alignment/>
      <protection/>
    </xf>
    <xf numFmtId="0" fontId="35" fillId="0" borderId="0" xfId="26" applyFont="1" applyBorder="1" applyAlignment="1">
      <alignment horizontal="center"/>
      <protection/>
    </xf>
    <xf numFmtId="0" fontId="36" fillId="0" borderId="0" xfId="26" applyFont="1" applyBorder="1" applyAlignment="1" applyProtection="1">
      <alignment horizontal="left" vertical="top"/>
      <protection/>
    </xf>
    <xf numFmtId="0" fontId="35" fillId="0" borderId="0" xfId="26" applyFont="1" applyBorder="1" applyAlignment="1" applyProtection="1">
      <alignment horizontal="center"/>
      <protection/>
    </xf>
    <xf numFmtId="2" fontId="35" fillId="0" borderId="0" xfId="26" applyNumberFormat="1" applyFont="1" applyBorder="1" applyAlignment="1" applyProtection="1">
      <alignment horizontal="center"/>
      <protection/>
    </xf>
    <xf numFmtId="172" fontId="35" fillId="0" borderId="0" xfId="26" applyNumberFormat="1" applyFont="1" applyBorder="1" applyAlignment="1" applyProtection="1">
      <alignment horizontal="center"/>
      <protection/>
    </xf>
    <xf numFmtId="172" fontId="35" fillId="0" borderId="0" xfId="26" applyNumberFormat="1" applyFont="1" applyBorder="1" applyAlignment="1" applyProtection="1" quotePrefix="1">
      <alignment horizontal="center"/>
      <protection/>
    </xf>
    <xf numFmtId="2" fontId="37" fillId="0" borderId="0" xfId="26" applyNumberFormat="1" applyFont="1" applyBorder="1" applyAlignment="1">
      <alignment horizontal="center"/>
      <protection/>
    </xf>
    <xf numFmtId="172" fontId="38" fillId="0" borderId="0" xfId="26" applyNumberFormat="1" applyFont="1" applyBorder="1" applyAlignment="1" applyProtection="1" quotePrefix="1">
      <alignment horizontal="center"/>
      <protection/>
    </xf>
    <xf numFmtId="4" fontId="38" fillId="0" borderId="0" xfId="26" applyNumberFormat="1" applyFont="1" applyBorder="1" applyAlignment="1">
      <alignment horizontal="center"/>
      <protection/>
    </xf>
    <xf numFmtId="8" fontId="39" fillId="0" borderId="0" xfId="26" applyNumberFormat="1" applyFont="1" applyBorder="1" applyAlignment="1" applyProtection="1">
      <alignment horizontal="right"/>
      <protection locked="0"/>
    </xf>
    <xf numFmtId="2" fontId="35" fillId="0" borderId="2" xfId="26" applyNumberFormat="1" applyFont="1" applyBorder="1" applyAlignment="1">
      <alignment horizontal="center"/>
      <protection/>
    </xf>
    <xf numFmtId="0" fontId="6" fillId="0" borderId="15" xfId="26" applyFont="1" applyBorder="1">
      <alignment/>
      <protection/>
    </xf>
    <xf numFmtId="0" fontId="6" fillId="0" borderId="16" xfId="26" applyFont="1" applyBorder="1">
      <alignment/>
      <protection/>
    </xf>
    <xf numFmtId="0" fontId="6" fillId="0" borderId="17" xfId="26" applyFont="1" applyBorder="1">
      <alignment/>
      <protection/>
    </xf>
    <xf numFmtId="0" fontId="1" fillId="0" borderId="0" xfId="26" applyBorder="1">
      <alignment/>
      <protection/>
    </xf>
    <xf numFmtId="0" fontId="8" fillId="0" borderId="0" xfId="26" applyFont="1" applyFill="1">
      <alignment/>
      <protection/>
    </xf>
    <xf numFmtId="0" fontId="8" fillId="0" borderId="0" xfId="26" applyFont="1" applyFill="1" applyAlignment="1">
      <alignment horizontal="centerContinuous"/>
      <protection/>
    </xf>
    <xf numFmtId="0" fontId="6" fillId="0" borderId="0" xfId="26" applyFont="1" applyFill="1" applyAlignment="1">
      <alignment horizontal="centerContinuous"/>
      <protection/>
    </xf>
    <xf numFmtId="0" fontId="10" fillId="0" borderId="0" xfId="26" applyFont="1" applyFill="1" applyAlignment="1">
      <alignment horizontal="centerContinuous"/>
      <protection/>
    </xf>
    <xf numFmtId="0" fontId="10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6" fillId="0" borderId="3" xfId="26" applyFont="1" applyFill="1" applyBorder="1">
      <alignment/>
      <protection/>
    </xf>
    <xf numFmtId="0" fontId="6" fillId="0" borderId="4" xfId="26" applyFont="1" applyFill="1" applyBorder="1">
      <alignment/>
      <protection/>
    </xf>
    <xf numFmtId="0" fontId="6" fillId="0" borderId="5" xfId="26" applyFont="1" applyFill="1" applyBorder="1">
      <alignment/>
      <protection/>
    </xf>
    <xf numFmtId="0" fontId="15" fillId="0" borderId="1" xfId="26" applyFont="1" applyFill="1" applyBorder="1">
      <alignment/>
      <protection/>
    </xf>
    <xf numFmtId="0" fontId="15" fillId="0" borderId="0" xfId="26" applyFont="1" applyFill="1" applyBorder="1">
      <alignment/>
      <protection/>
    </xf>
    <xf numFmtId="0" fontId="16" fillId="0" borderId="0" xfId="26" applyFont="1" applyFill="1" applyBorder="1">
      <alignment/>
      <protection/>
    </xf>
    <xf numFmtId="0" fontId="15" fillId="0" borderId="0" xfId="26" applyFont="1" applyFill="1">
      <alignment/>
      <protection/>
    </xf>
    <xf numFmtId="0" fontId="15" fillId="0" borderId="2" xfId="26" applyFont="1" applyFill="1" applyBorder="1">
      <alignment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16" fillId="0" borderId="0" xfId="26" applyFont="1" applyFill="1">
      <alignment/>
      <protection/>
    </xf>
    <xf numFmtId="0" fontId="15" fillId="0" borderId="0" xfId="26" applyFont="1" applyFill="1" applyBorder="1" applyProtection="1">
      <alignment/>
      <protection/>
    </xf>
    <xf numFmtId="0" fontId="6" fillId="0" borderId="0" xfId="26" applyFont="1" applyFill="1" applyBorder="1" applyAlignment="1" applyProtection="1">
      <alignment horizontal="left"/>
      <protection/>
    </xf>
    <xf numFmtId="168" fontId="6" fillId="0" borderId="0" xfId="26" applyNumberFormat="1" applyFont="1" applyFill="1" applyBorder="1" applyProtection="1">
      <alignment/>
      <protection/>
    </xf>
    <xf numFmtId="0" fontId="6" fillId="0" borderId="0" xfId="26" applyFont="1" applyFill="1" applyBorder="1" applyProtection="1">
      <alignment/>
      <protection/>
    </xf>
    <xf numFmtId="0" fontId="13" fillId="0" borderId="1" xfId="26" applyFont="1" applyFill="1" applyBorder="1" applyAlignment="1">
      <alignment horizontal="centerContinuous"/>
      <protection/>
    </xf>
    <xf numFmtId="0" fontId="13" fillId="0" borderId="0" xfId="26" applyFont="1" applyFill="1" applyBorder="1" applyAlignment="1">
      <alignment horizontal="centerContinuous"/>
      <protection/>
    </xf>
    <xf numFmtId="0" fontId="13" fillId="0" borderId="2" xfId="26" applyFont="1" applyFill="1" applyBorder="1" applyAlignment="1">
      <alignment horizontal="centerContinuous"/>
      <protection/>
    </xf>
    <xf numFmtId="0" fontId="6" fillId="0" borderId="0" xfId="26" applyFont="1" applyFill="1" applyBorder="1" applyAlignment="1">
      <alignment horizontal="center"/>
      <protection/>
    </xf>
    <xf numFmtId="0" fontId="14" fillId="0" borderId="0" xfId="26" applyFont="1" applyFill="1" applyBorder="1" applyAlignment="1">
      <alignment horizontal="left"/>
      <protection/>
    </xf>
    <xf numFmtId="0" fontId="1" fillId="0" borderId="6" xfId="26" applyFont="1" applyFill="1" applyBorder="1" applyAlignment="1" applyProtection="1">
      <alignment horizontal="left"/>
      <protection/>
    </xf>
    <xf numFmtId="0" fontId="1" fillId="0" borderId="18" xfId="26" applyFont="1" applyFill="1" applyBorder="1" applyAlignment="1" applyProtection="1">
      <alignment horizontal="center"/>
      <protection/>
    </xf>
    <xf numFmtId="0" fontId="1" fillId="0" borderId="18" xfId="26" applyFont="1" applyFill="1" applyBorder="1">
      <alignment/>
      <protection/>
    </xf>
    <xf numFmtId="0" fontId="1" fillId="0" borderId="6" xfId="26" applyFont="1" applyFill="1" applyBorder="1" applyAlignment="1" applyProtection="1" quotePrefix="1">
      <alignment horizontal="left"/>
      <protection/>
    </xf>
    <xf numFmtId="0" fontId="1" fillId="0" borderId="9" xfId="26" applyFont="1" applyFill="1" applyBorder="1" applyAlignment="1" applyProtection="1">
      <alignment horizontal="center"/>
      <protection/>
    </xf>
    <xf numFmtId="168" fontId="1" fillId="0" borderId="8" xfId="26" applyNumberFormat="1" applyFont="1" applyFill="1" applyBorder="1" applyAlignment="1" applyProtection="1">
      <alignment horizontal="center"/>
      <protection/>
    </xf>
    <xf numFmtId="0" fontId="6" fillId="0" borderId="0" xfId="26" applyFont="1" applyAlignment="1" applyProtection="1">
      <alignment/>
      <protection/>
    </xf>
    <xf numFmtId="22" fontId="6" fillId="0" borderId="0" xfId="26" applyNumberFormat="1" applyFont="1" applyFill="1" applyBorder="1">
      <alignment/>
      <protection/>
    </xf>
    <xf numFmtId="0" fontId="6" fillId="0" borderId="0" xfId="26" applyFont="1" applyAlignment="1">
      <alignment vertical="center"/>
      <protection/>
    </xf>
    <xf numFmtId="0" fontId="6" fillId="0" borderId="1" xfId="26" applyFont="1" applyFill="1" applyBorder="1" applyAlignment="1">
      <alignment vertical="center"/>
      <protection/>
    </xf>
    <xf numFmtId="0" fontId="17" fillId="0" borderId="8" xfId="26" applyFont="1" applyFill="1" applyBorder="1" applyAlignment="1" applyProtection="1">
      <alignment horizontal="center" vertical="center" wrapText="1"/>
      <protection/>
    </xf>
    <xf numFmtId="0" fontId="17" fillId="0" borderId="8" xfId="26" applyFont="1" applyFill="1" applyBorder="1" applyAlignment="1" applyProtection="1">
      <alignment horizontal="center" vertical="center"/>
      <protection/>
    </xf>
    <xf numFmtId="0" fontId="17" fillId="0" borderId="8" xfId="26" applyFont="1" applyFill="1" applyBorder="1" applyAlignment="1" applyProtection="1" quotePrefix="1">
      <alignment horizontal="center" vertical="center" wrapText="1"/>
      <protection/>
    </xf>
    <xf numFmtId="0" fontId="17" fillId="0" borderId="8" xfId="26" applyFont="1" applyFill="1" applyBorder="1" applyAlignment="1">
      <alignment horizontal="center" vertical="center" wrapText="1"/>
      <protection/>
    </xf>
    <xf numFmtId="0" fontId="18" fillId="2" borderId="8" xfId="26" applyFont="1" applyFill="1" applyBorder="1" applyAlignment="1" applyProtection="1">
      <alignment horizontal="center" vertical="center"/>
      <protection/>
    </xf>
    <xf numFmtId="0" fontId="26" fillId="8" borderId="8" xfId="26" applyFont="1" applyFill="1" applyBorder="1" applyAlignment="1" applyProtection="1">
      <alignment horizontal="center" vertical="center"/>
      <protection/>
    </xf>
    <xf numFmtId="0" fontId="21" fillId="6" borderId="8" xfId="26" applyFont="1" applyFill="1" applyBorder="1" applyAlignment="1">
      <alignment horizontal="center" vertical="center" wrapText="1"/>
      <protection/>
    </xf>
    <xf numFmtId="0" fontId="20" fillId="9" borderId="8" xfId="26" applyFont="1" applyFill="1" applyBorder="1" applyAlignment="1">
      <alignment horizontal="center" vertical="center" wrapText="1"/>
      <protection/>
    </xf>
    <xf numFmtId="0" fontId="20" fillId="3" borderId="6" xfId="26" applyFont="1" applyFill="1" applyBorder="1" applyAlignment="1" applyProtection="1">
      <alignment horizontal="centerContinuous" vertical="center" wrapText="1"/>
      <protection/>
    </xf>
    <xf numFmtId="0" fontId="20" fillId="3" borderId="7" xfId="26" applyFont="1" applyFill="1" applyBorder="1" applyAlignment="1">
      <alignment horizontal="centerContinuous" vertical="center"/>
      <protection/>
    </xf>
    <xf numFmtId="0" fontId="40" fillId="10" borderId="6" xfId="26" applyFont="1" applyFill="1" applyBorder="1" applyAlignment="1" applyProtection="1">
      <alignment horizontal="centerContinuous" vertical="center" wrapText="1"/>
      <protection/>
    </xf>
    <xf numFmtId="0" fontId="40" fillId="10" borderId="7" xfId="26" applyFont="1" applyFill="1" applyBorder="1" applyAlignment="1">
      <alignment horizontal="centerContinuous" vertical="center"/>
      <protection/>
    </xf>
    <xf numFmtId="0" fontId="25" fillId="11" borderId="8" xfId="26" applyFont="1" applyFill="1" applyBorder="1" applyAlignment="1">
      <alignment horizontal="center" vertical="center" wrapText="1"/>
      <protection/>
    </xf>
    <xf numFmtId="0" fontId="20" fillId="12" borderId="8" xfId="26" applyFont="1" applyFill="1" applyBorder="1" applyAlignment="1">
      <alignment horizontal="center" vertical="center" wrapText="1"/>
      <protection/>
    </xf>
    <xf numFmtId="0" fontId="6" fillId="0" borderId="2" xfId="26" applyFont="1" applyFill="1" applyBorder="1" applyAlignment="1">
      <alignment vertical="center"/>
      <protection/>
    </xf>
    <xf numFmtId="0" fontId="6" fillId="0" borderId="19" xfId="26" applyFont="1" applyFill="1" applyBorder="1" applyAlignment="1" applyProtection="1">
      <alignment horizontal="center"/>
      <protection locked="0"/>
    </xf>
    <xf numFmtId="0" fontId="6" fillId="0" borderId="10" xfId="26" applyFont="1" applyFill="1" applyBorder="1" applyAlignment="1" applyProtection="1">
      <alignment horizontal="center"/>
      <protection locked="0"/>
    </xf>
    <xf numFmtId="0" fontId="6" fillId="0" borderId="10" xfId="26" applyFont="1" applyFill="1" applyBorder="1" applyProtection="1">
      <alignment/>
      <protection locked="0"/>
    </xf>
    <xf numFmtId="0" fontId="41" fillId="2" borderId="10" xfId="26" applyFont="1" applyFill="1" applyBorder="1" applyProtection="1">
      <alignment/>
      <protection locked="0"/>
    </xf>
    <xf numFmtId="0" fontId="6" fillId="0" borderId="10" xfId="26" applyFont="1" applyFill="1" applyBorder="1" applyAlignment="1">
      <alignment horizontal="center"/>
      <protection/>
    </xf>
    <xf numFmtId="0" fontId="5" fillId="9" borderId="10" xfId="26" applyFont="1" applyFill="1" applyBorder="1" applyProtection="1">
      <alignment/>
      <protection locked="0"/>
    </xf>
    <xf numFmtId="0" fontId="5" fillId="3" borderId="20" xfId="26" applyFont="1" applyFill="1" applyBorder="1" applyAlignment="1" applyProtection="1">
      <alignment horizontal="center"/>
      <protection locked="0"/>
    </xf>
    <xf numFmtId="0" fontId="5" fillId="3" borderId="21" xfId="26" applyFont="1" applyFill="1" applyBorder="1" applyProtection="1">
      <alignment/>
      <protection locked="0"/>
    </xf>
    <xf numFmtId="0" fontId="42" fillId="10" borderId="20" xfId="26" applyFont="1" applyFill="1" applyBorder="1" applyAlignment="1" applyProtection="1">
      <alignment horizontal="center"/>
      <protection locked="0"/>
    </xf>
    <xf numFmtId="0" fontId="42" fillId="10" borderId="21" xfId="26" applyFont="1" applyFill="1" applyBorder="1" applyProtection="1">
      <alignment/>
      <protection locked="0"/>
    </xf>
    <xf numFmtId="0" fontId="32" fillId="11" borderId="10" xfId="26" applyFont="1" applyFill="1" applyBorder="1" applyProtection="1">
      <alignment/>
      <protection locked="0"/>
    </xf>
    <xf numFmtId="0" fontId="5" fillId="12" borderId="10" xfId="26" applyFont="1" applyFill="1" applyBorder="1" applyProtection="1">
      <alignment/>
      <protection locked="0"/>
    </xf>
    <xf numFmtId="176" fontId="34" fillId="0" borderId="10" xfId="26" applyNumberFormat="1" applyFont="1" applyFill="1" applyBorder="1" applyAlignment="1">
      <alignment horizontal="right"/>
      <protection/>
    </xf>
    <xf numFmtId="0" fontId="6" fillId="0" borderId="22" xfId="26" applyFont="1" applyFill="1" applyBorder="1" applyAlignment="1" applyProtection="1">
      <alignment horizontal="center"/>
      <protection locked="0"/>
    </xf>
    <xf numFmtId="0" fontId="6" fillId="0" borderId="11" xfId="26" applyFont="1" applyFill="1" applyBorder="1" applyAlignment="1" applyProtection="1">
      <alignment horizontal="center"/>
      <protection locked="0"/>
    </xf>
    <xf numFmtId="0" fontId="6" fillId="0" borderId="11" xfId="26" applyFont="1" applyFill="1" applyBorder="1" applyProtection="1">
      <alignment/>
      <protection locked="0"/>
    </xf>
    <xf numFmtId="0" fontId="41" fillId="2" borderId="11" xfId="26" applyFont="1" applyFill="1" applyBorder="1" applyProtection="1">
      <alignment/>
      <protection locked="0"/>
    </xf>
    <xf numFmtId="0" fontId="6" fillId="0" borderId="11" xfId="26" applyFont="1" applyFill="1" applyBorder="1" applyAlignment="1">
      <alignment horizontal="center"/>
      <protection/>
    </xf>
    <xf numFmtId="0" fontId="5" fillId="9" borderId="11" xfId="26" applyFont="1" applyFill="1" applyBorder="1" applyProtection="1">
      <alignment/>
      <protection locked="0"/>
    </xf>
    <xf numFmtId="0" fontId="5" fillId="3" borderId="23" xfId="26" applyFont="1" applyFill="1" applyBorder="1" applyAlignment="1" applyProtection="1">
      <alignment horizontal="center"/>
      <protection locked="0"/>
    </xf>
    <xf numFmtId="0" fontId="5" fillId="3" borderId="24" xfId="26" applyFont="1" applyFill="1" applyBorder="1" applyProtection="1">
      <alignment/>
      <protection locked="0"/>
    </xf>
    <xf numFmtId="0" fontId="42" fillId="10" borderId="23" xfId="26" applyFont="1" applyFill="1" applyBorder="1" applyAlignment="1" applyProtection="1">
      <alignment horizontal="center"/>
      <protection locked="0"/>
    </xf>
    <xf numFmtId="0" fontId="42" fillId="10" borderId="24" xfId="26" applyFont="1" applyFill="1" applyBorder="1" applyProtection="1">
      <alignment/>
      <protection locked="0"/>
    </xf>
    <xf numFmtId="0" fontId="32" fillId="11" borderId="11" xfId="26" applyFont="1" applyFill="1" applyBorder="1" applyProtection="1">
      <alignment/>
      <protection locked="0"/>
    </xf>
    <xf numFmtId="0" fontId="5" fillId="12" borderId="11" xfId="26" applyFont="1" applyFill="1" applyBorder="1" applyProtection="1">
      <alignment/>
      <protection locked="0"/>
    </xf>
    <xf numFmtId="0" fontId="34" fillId="0" borderId="24" xfId="26" applyFont="1" applyFill="1" applyBorder="1" applyAlignment="1">
      <alignment horizontal="right"/>
      <protection/>
    </xf>
    <xf numFmtId="169" fontId="6" fillId="0" borderId="12" xfId="26" applyNumberFormat="1" applyFont="1" applyBorder="1" applyAlignment="1" applyProtection="1" quotePrefix="1">
      <alignment horizontal="center"/>
      <protection locked="0"/>
    </xf>
    <xf numFmtId="2" fontId="6" fillId="0" borderId="12" xfId="26" applyNumberFormat="1" applyFont="1" applyBorder="1" applyAlignment="1" applyProtection="1" quotePrefix="1">
      <alignment horizontal="center"/>
      <protection locked="0"/>
    </xf>
    <xf numFmtId="172" fontId="41" fillId="2" borderId="11" xfId="26" applyNumberFormat="1" applyFont="1" applyFill="1" applyBorder="1" applyAlignment="1" applyProtection="1">
      <alignment horizontal="center"/>
      <protection locked="0"/>
    </xf>
    <xf numFmtId="2" fontId="6" fillId="0" borderId="11" xfId="26" applyNumberFormat="1" applyFont="1" applyFill="1" applyBorder="1" applyAlignment="1" applyProtection="1">
      <alignment horizontal="center"/>
      <protection/>
    </xf>
    <xf numFmtId="3" fontId="6" fillId="0" borderId="11" xfId="26" applyNumberFormat="1" applyFont="1" applyFill="1" applyBorder="1" applyAlignment="1" applyProtection="1">
      <alignment horizontal="center"/>
      <protection/>
    </xf>
    <xf numFmtId="172" fontId="6" fillId="0" borderId="11" xfId="26" applyNumberFormat="1" applyFont="1" applyFill="1" applyBorder="1" applyAlignment="1" applyProtection="1">
      <alignment horizontal="center"/>
      <protection locked="0"/>
    </xf>
    <xf numFmtId="172" fontId="6" fillId="0" borderId="11" xfId="26" applyNumberFormat="1" applyFont="1" applyFill="1" applyBorder="1" applyAlignment="1" applyProtection="1" quotePrefix="1">
      <alignment horizontal="center"/>
      <protection locked="0"/>
    </xf>
    <xf numFmtId="2" fontId="29" fillId="6" borderId="11" xfId="26" applyNumberFormat="1" applyFont="1" applyFill="1" applyBorder="1" applyAlignment="1" applyProtection="1">
      <alignment horizontal="center"/>
      <protection locked="0"/>
    </xf>
    <xf numFmtId="2" fontId="5" fillId="9" borderId="11" xfId="26" applyNumberFormat="1" applyFont="1" applyFill="1" applyBorder="1" applyAlignment="1" applyProtection="1">
      <alignment horizontal="center"/>
      <protection locked="0"/>
    </xf>
    <xf numFmtId="172" fontId="5" fillId="3" borderId="23" xfId="26" applyNumberFormat="1" applyFont="1" applyFill="1" applyBorder="1" applyAlignment="1" applyProtection="1" quotePrefix="1">
      <alignment horizontal="center"/>
      <protection locked="0"/>
    </xf>
    <xf numFmtId="172" fontId="5" fillId="3" borderId="25" xfId="26" applyNumberFormat="1" applyFont="1" applyFill="1" applyBorder="1" applyAlignment="1" applyProtection="1" quotePrefix="1">
      <alignment horizontal="center"/>
      <protection locked="0"/>
    </xf>
    <xf numFmtId="172" fontId="42" fillId="10" borderId="23" xfId="26" applyNumberFormat="1" applyFont="1" applyFill="1" applyBorder="1" applyAlignment="1" applyProtection="1" quotePrefix="1">
      <alignment horizontal="center"/>
      <protection locked="0"/>
    </xf>
    <xf numFmtId="172" fontId="42" fillId="10" borderId="25" xfId="26" applyNumberFormat="1" applyFont="1" applyFill="1" applyBorder="1" applyAlignment="1" applyProtection="1" quotePrefix="1">
      <alignment horizontal="center"/>
      <protection locked="0"/>
    </xf>
    <xf numFmtId="172" fontId="32" fillId="11" borderId="11" xfId="26" applyNumberFormat="1" applyFont="1" applyFill="1" applyBorder="1" applyAlignment="1" applyProtection="1" quotePrefix="1">
      <alignment horizontal="center"/>
      <protection locked="0"/>
    </xf>
    <xf numFmtId="172" fontId="5" fillId="12" borderId="12" xfId="26" applyNumberFormat="1" applyFont="1" applyFill="1" applyBorder="1" applyAlignment="1" applyProtection="1" quotePrefix="1">
      <alignment horizontal="center"/>
      <protection locked="0"/>
    </xf>
    <xf numFmtId="172" fontId="34" fillId="0" borderId="24" xfId="26" applyNumberFormat="1" applyFont="1" applyFill="1" applyBorder="1" applyAlignment="1">
      <alignment horizontal="right"/>
      <protection/>
    </xf>
    <xf numFmtId="2" fontId="6" fillId="0" borderId="2" xfId="26" applyNumberFormat="1" applyFont="1" applyFill="1" applyBorder="1">
      <alignment/>
      <protection/>
    </xf>
    <xf numFmtId="0" fontId="6" fillId="0" borderId="13" xfId="26" applyFont="1" applyFill="1" applyBorder="1">
      <alignment/>
      <protection/>
    </xf>
    <xf numFmtId="0" fontId="41" fillId="2" borderId="13" xfId="26" applyFont="1" applyFill="1" applyBorder="1">
      <alignment/>
      <protection/>
    </xf>
    <xf numFmtId="0" fontId="34" fillId="0" borderId="26" xfId="26" applyFont="1" applyFill="1" applyBorder="1" applyAlignment="1">
      <alignment horizontal="right"/>
      <protection/>
    </xf>
    <xf numFmtId="7" fontId="29" fillId="6" borderId="8" xfId="26" applyNumberFormat="1" applyFont="1" applyFill="1" applyBorder="1" applyAlignment="1">
      <alignment horizontal="center"/>
      <protection/>
    </xf>
    <xf numFmtId="7" fontId="5" fillId="9" borderId="8" xfId="26" applyNumberFormat="1" applyFont="1" applyFill="1" applyBorder="1" applyAlignment="1">
      <alignment horizontal="center"/>
      <protection/>
    </xf>
    <xf numFmtId="7" fontId="5" fillId="3" borderId="8" xfId="26" applyNumberFormat="1" applyFont="1" applyFill="1" applyBorder="1" applyAlignment="1">
      <alignment horizontal="center"/>
      <protection/>
    </xf>
    <xf numFmtId="7" fontId="5" fillId="3" borderId="27" xfId="26" applyNumberFormat="1" applyFont="1" applyFill="1" applyBorder="1" applyAlignment="1">
      <alignment horizontal="center"/>
      <protection/>
    </xf>
    <xf numFmtId="7" fontId="42" fillId="10" borderId="8" xfId="26" applyNumberFormat="1" applyFont="1" applyFill="1" applyBorder="1" applyAlignment="1">
      <alignment horizontal="center"/>
      <protection/>
    </xf>
    <xf numFmtId="7" fontId="32" fillId="11" borderId="8" xfId="26" applyNumberFormat="1" applyFont="1" applyFill="1" applyBorder="1" applyAlignment="1">
      <alignment horizontal="center"/>
      <protection/>
    </xf>
    <xf numFmtId="7" fontId="5" fillId="12" borderId="8" xfId="26" applyNumberFormat="1" applyFont="1" applyFill="1" applyBorder="1" applyAlignment="1">
      <alignment horizontal="center"/>
      <protection/>
    </xf>
    <xf numFmtId="0" fontId="6" fillId="0" borderId="28" xfId="26" applyFont="1" applyFill="1" applyBorder="1">
      <alignment/>
      <protection/>
    </xf>
    <xf numFmtId="0" fontId="35" fillId="0" borderId="1" xfId="26" applyFont="1" applyFill="1" applyBorder="1">
      <alignment/>
      <protection/>
    </xf>
    <xf numFmtId="0" fontId="35" fillId="0" borderId="0" xfId="26" applyFont="1" applyFill="1" applyBorder="1">
      <alignment/>
      <protection/>
    </xf>
    <xf numFmtId="7" fontId="35" fillId="0" borderId="0" xfId="26" applyNumberFormat="1" applyFont="1" applyFill="1" applyBorder="1" applyAlignment="1">
      <alignment horizontal="center"/>
      <protection/>
    </xf>
    <xf numFmtId="7" fontId="35" fillId="0" borderId="0" xfId="26" applyNumberFormat="1" applyFont="1" applyFill="1" applyBorder="1" applyAlignment="1" applyProtection="1">
      <alignment horizontal="right"/>
      <protection locked="0"/>
    </xf>
    <xf numFmtId="0" fontId="35" fillId="0" borderId="2" xfId="26" applyFont="1" applyFill="1" applyBorder="1">
      <alignment/>
      <protection/>
    </xf>
    <xf numFmtId="0" fontId="6" fillId="0" borderId="15" xfId="26" applyFont="1" applyFill="1" applyBorder="1">
      <alignment/>
      <protection/>
    </xf>
    <xf numFmtId="0" fontId="6" fillId="0" borderId="16" xfId="26" applyFont="1" applyFill="1" applyBorder="1">
      <alignment/>
      <protection/>
    </xf>
    <xf numFmtId="0" fontId="6" fillId="0" borderId="17" xfId="26" applyFont="1" applyFill="1" applyBorder="1">
      <alignment/>
      <protection/>
    </xf>
    <xf numFmtId="0" fontId="1" fillId="0" borderId="0" xfId="26" applyFill="1" applyBorder="1">
      <alignment/>
      <protection/>
    </xf>
    <xf numFmtId="0" fontId="0" fillId="0" borderId="0" xfId="26" applyFont="1" applyFill="1" applyBorder="1">
      <alignment/>
      <protection/>
    </xf>
    <xf numFmtId="0" fontId="8" fillId="0" borderId="0" xfId="26" applyFont="1" applyAlignment="1">
      <alignment horizontal="centerContinuous" vertical="center"/>
      <protection/>
    </xf>
    <xf numFmtId="0" fontId="6" fillId="0" borderId="0" xfId="26" applyFont="1" applyAlignment="1">
      <alignment horizontal="centerContinuous" vertical="center"/>
      <protection/>
    </xf>
    <xf numFmtId="0" fontId="10" fillId="0" borderId="0" xfId="26" applyFont="1" applyAlignment="1">
      <alignment horizontal="centerContinuous"/>
      <protection/>
    </xf>
    <xf numFmtId="0" fontId="43" fillId="0" borderId="0" xfId="26" applyFont="1" applyBorder="1">
      <alignment/>
      <protection/>
    </xf>
    <xf numFmtId="0" fontId="13" fillId="0" borderId="0" xfId="26" applyFont="1" applyFill="1" applyBorder="1" applyAlignment="1" applyProtection="1" quotePrefix="1">
      <alignment horizontal="centerContinuous"/>
      <protection locked="0"/>
    </xf>
    <xf numFmtId="0" fontId="1" fillId="0" borderId="6" xfId="26" applyFont="1" applyBorder="1" applyAlignment="1" applyProtection="1">
      <alignment horizontal="left"/>
      <protection/>
    </xf>
    <xf numFmtId="173" fontId="1" fillId="0" borderId="27" xfId="26" applyNumberFormat="1" applyFont="1" applyBorder="1" applyAlignment="1" applyProtection="1">
      <alignment horizontal="center"/>
      <protection/>
    </xf>
    <xf numFmtId="0" fontId="1" fillId="0" borderId="8" xfId="26" applyFont="1" applyBorder="1" applyAlignment="1">
      <alignment horizontal="center"/>
      <protection/>
    </xf>
    <xf numFmtId="22" fontId="6" fillId="0" borderId="0" xfId="26" applyNumberFormat="1" applyFont="1" applyBorder="1">
      <alignment/>
      <protection/>
    </xf>
    <xf numFmtId="0" fontId="1" fillId="0" borderId="6" xfId="26" applyFont="1" applyBorder="1">
      <alignment/>
      <protection/>
    </xf>
    <xf numFmtId="173" fontId="44" fillId="0" borderId="27" xfId="26" applyNumberFormat="1" applyFont="1" applyBorder="1" applyAlignment="1">
      <alignment horizontal="center"/>
      <protection/>
    </xf>
    <xf numFmtId="0" fontId="1" fillId="0" borderId="13" xfId="26" applyFont="1" applyBorder="1" applyAlignment="1">
      <alignment horizontal="center"/>
      <protection/>
    </xf>
    <xf numFmtId="0" fontId="6" fillId="0" borderId="0" xfId="26" applyFont="1" applyBorder="1" applyAlignment="1">
      <alignment horizontal="left"/>
      <protection/>
    </xf>
    <xf numFmtId="173" fontId="6" fillId="0" borderId="0" xfId="26" applyNumberFormat="1" applyFont="1" applyBorder="1">
      <alignment/>
      <protection/>
    </xf>
    <xf numFmtId="0" fontId="6" fillId="0" borderId="0" xfId="26" applyFont="1" applyBorder="1" applyAlignment="1" quotePrefix="1">
      <alignment horizontal="center"/>
      <protection/>
    </xf>
    <xf numFmtId="0" fontId="1" fillId="0" borderId="6" xfId="26" applyFont="1" applyBorder="1" applyAlignment="1">
      <alignment horizontal="left"/>
      <protection/>
    </xf>
    <xf numFmtId="1" fontId="1" fillId="0" borderId="13" xfId="26" applyNumberFormat="1" applyFont="1" applyBorder="1" applyAlignment="1">
      <alignment horizontal="center"/>
      <protection/>
    </xf>
    <xf numFmtId="0" fontId="17" fillId="0" borderId="0" xfId="26" applyFont="1">
      <alignment/>
      <protection/>
    </xf>
    <xf numFmtId="0" fontId="17" fillId="0" borderId="1" xfId="26" applyFont="1" applyBorder="1">
      <alignment/>
      <protection/>
    </xf>
    <xf numFmtId="0" fontId="20" fillId="12" borderId="8" xfId="26" applyFont="1" applyFill="1" applyBorder="1" applyAlignment="1" applyProtection="1">
      <alignment horizontal="center" vertical="center"/>
      <protection/>
    </xf>
    <xf numFmtId="0" fontId="45" fillId="11" borderId="8" xfId="26" applyFont="1" applyFill="1" applyBorder="1" applyAlignment="1">
      <alignment horizontal="center" vertical="center" wrapText="1"/>
      <protection/>
    </xf>
    <xf numFmtId="0" fontId="20" fillId="10" borderId="6" xfId="26" applyFont="1" applyFill="1" applyBorder="1" applyAlignment="1" applyProtection="1">
      <alignment horizontal="centerContinuous" vertical="center" wrapText="1"/>
      <protection/>
    </xf>
    <xf numFmtId="0" fontId="20" fillId="10" borderId="7" xfId="26" applyFont="1" applyFill="1" applyBorder="1" applyAlignment="1">
      <alignment horizontal="centerContinuous" vertical="center"/>
      <protection/>
    </xf>
    <xf numFmtId="0" fontId="21" fillId="13" borderId="8" xfId="26" applyFont="1" applyFill="1" applyBorder="1" applyAlignment="1">
      <alignment horizontal="center" vertical="center" wrapText="1"/>
      <protection/>
    </xf>
    <xf numFmtId="0" fontId="17" fillId="0" borderId="2" xfId="26" applyFont="1" applyFill="1" applyBorder="1">
      <alignment/>
      <protection/>
    </xf>
    <xf numFmtId="168" fontId="6" fillId="0" borderId="10" xfId="26" applyNumberFormat="1" applyFont="1" applyFill="1" applyBorder="1" applyAlignment="1" applyProtection="1">
      <alignment horizontal="center"/>
      <protection locked="0"/>
    </xf>
    <xf numFmtId="0" fontId="27" fillId="2" borderId="10" xfId="26" applyFont="1" applyFill="1" applyBorder="1" applyAlignment="1" applyProtection="1">
      <alignment horizontal="center"/>
      <protection locked="0"/>
    </xf>
    <xf numFmtId="0" fontId="28" fillId="12" borderId="10" xfId="26" applyFont="1" applyFill="1" applyBorder="1" applyAlignment="1" applyProtection="1">
      <alignment horizontal="center"/>
      <protection locked="0"/>
    </xf>
    <xf numFmtId="0" fontId="46" fillId="11" borderId="10" xfId="26" applyFont="1" applyFill="1" applyBorder="1" applyAlignment="1" applyProtection="1">
      <alignment horizontal="center"/>
      <protection locked="0"/>
    </xf>
    <xf numFmtId="172" fontId="5" fillId="10" borderId="20" xfId="26" applyNumberFormat="1" applyFont="1" applyFill="1" applyBorder="1" applyAlignment="1" applyProtection="1" quotePrefix="1">
      <alignment horizontal="center"/>
      <protection locked="0"/>
    </xf>
    <xf numFmtId="172" fontId="5" fillId="10" borderId="29" xfId="26" applyNumberFormat="1" applyFont="1" applyFill="1" applyBorder="1" applyAlignment="1" applyProtection="1" quotePrefix="1">
      <alignment horizontal="center"/>
      <protection locked="0"/>
    </xf>
    <xf numFmtId="172" fontId="29" fillId="13" borderId="10" xfId="26" applyNumberFormat="1" applyFont="1" applyFill="1" applyBorder="1" applyAlignment="1" applyProtection="1" quotePrefix="1">
      <alignment horizontal="center"/>
      <protection locked="0"/>
    </xf>
    <xf numFmtId="0" fontId="6" fillId="0" borderId="19" xfId="26" applyFont="1" applyFill="1" applyBorder="1" applyAlignment="1" applyProtection="1">
      <alignment horizontal="left"/>
      <protection locked="0"/>
    </xf>
    <xf numFmtId="0" fontId="47" fillId="0" borderId="22" xfId="26" applyFont="1" applyFill="1" applyBorder="1" applyAlignment="1" applyProtection="1">
      <alignment horizontal="center"/>
      <protection locked="0"/>
    </xf>
    <xf numFmtId="174" fontId="7" fillId="0" borderId="11" xfId="26" applyNumberFormat="1" applyFont="1" applyFill="1" applyBorder="1" applyAlignment="1" applyProtection="1">
      <alignment horizontal="center"/>
      <protection locked="0"/>
    </xf>
    <xf numFmtId="173" fontId="27" fillId="2" borderId="11" xfId="26" applyNumberFormat="1" applyFont="1" applyFill="1" applyBorder="1" applyAlignment="1" applyProtection="1">
      <alignment horizontal="center"/>
      <protection locked="0"/>
    </xf>
    <xf numFmtId="168" fontId="6" fillId="0" borderId="11" xfId="26" applyNumberFormat="1" applyFont="1" applyFill="1" applyBorder="1" applyAlignment="1" applyProtection="1" quotePrefix="1">
      <alignment horizontal="center"/>
      <protection/>
    </xf>
    <xf numFmtId="168" fontId="28" fillId="12" borderId="11" xfId="26" applyNumberFormat="1" applyFont="1" applyFill="1" applyBorder="1" applyAlignment="1" applyProtection="1">
      <alignment horizontal="center"/>
      <protection locked="0"/>
    </xf>
    <xf numFmtId="2" fontId="46" fillId="11" borderId="11" xfId="26" applyNumberFormat="1" applyFont="1" applyFill="1" applyBorder="1" applyAlignment="1" applyProtection="1">
      <alignment horizontal="center"/>
      <protection locked="0"/>
    </xf>
    <xf numFmtId="172" fontId="5" fillId="10" borderId="23" xfId="26" applyNumberFormat="1" applyFont="1" applyFill="1" applyBorder="1" applyAlignment="1" applyProtection="1" quotePrefix="1">
      <alignment horizontal="center"/>
      <protection locked="0"/>
    </xf>
    <xf numFmtId="172" fontId="5" fillId="10" borderId="25" xfId="26" applyNumberFormat="1" applyFont="1" applyFill="1" applyBorder="1" applyAlignment="1" applyProtection="1" quotePrefix="1">
      <alignment horizontal="center"/>
      <protection locked="0"/>
    </xf>
    <xf numFmtId="172" fontId="29" fillId="13" borderId="11" xfId="26" applyNumberFormat="1" applyFont="1" applyFill="1" applyBorder="1" applyAlignment="1" applyProtection="1" quotePrefix="1">
      <alignment horizontal="center"/>
      <protection locked="0"/>
    </xf>
    <xf numFmtId="172" fontId="6" fillId="0" borderId="22" xfId="26" applyNumberFormat="1" applyFont="1" applyFill="1" applyBorder="1" applyAlignment="1" applyProtection="1">
      <alignment horizontal="center"/>
      <protection locked="0"/>
    </xf>
    <xf numFmtId="172" fontId="34" fillId="0" borderId="11" xfId="26" applyNumberFormat="1" applyFont="1" applyFill="1" applyBorder="1" applyAlignment="1">
      <alignment horizontal="center"/>
      <protection/>
    </xf>
    <xf numFmtId="174" fontId="7" fillId="0" borderId="11" xfId="26" applyNumberFormat="1" applyFont="1" applyFill="1" applyBorder="1" applyAlignment="1" applyProtection="1" quotePrefix="1">
      <alignment horizontal="center"/>
      <protection locked="0"/>
    </xf>
    <xf numFmtId="172" fontId="34" fillId="0" borderId="11" xfId="26" applyNumberFormat="1" applyFont="1" applyFill="1" applyBorder="1" applyAlignment="1">
      <alignment horizontal="right"/>
      <protection/>
    </xf>
    <xf numFmtId="0" fontId="27" fillId="2" borderId="13" xfId="26" applyFont="1" applyFill="1" applyBorder="1">
      <alignment/>
      <protection/>
    </xf>
    <xf numFmtId="0" fontId="34" fillId="0" borderId="26" xfId="26" applyFont="1" applyFill="1" applyBorder="1">
      <alignment/>
      <protection/>
    </xf>
    <xf numFmtId="2" fontId="46" fillId="11" borderId="8" xfId="26" applyNumberFormat="1" applyFont="1" applyFill="1" applyBorder="1" applyAlignment="1">
      <alignment horizontal="center"/>
      <protection/>
    </xf>
    <xf numFmtId="2" fontId="5" fillId="10" borderId="8" xfId="26" applyNumberFormat="1" applyFont="1" applyFill="1" applyBorder="1" applyAlignment="1">
      <alignment horizontal="center"/>
      <protection/>
    </xf>
    <xf numFmtId="2" fontId="29" fillId="13" borderId="8" xfId="26" applyNumberFormat="1" applyFont="1" applyFill="1" applyBorder="1" applyAlignment="1">
      <alignment horizontal="center"/>
      <protection/>
    </xf>
    <xf numFmtId="7" fontId="6" fillId="0" borderId="0" xfId="26" applyNumberFormat="1" applyFont="1" applyFill="1" applyBorder="1" applyAlignment="1">
      <alignment horizontal="center"/>
      <protection/>
    </xf>
    <xf numFmtId="7" fontId="39" fillId="0" borderId="0" xfId="26" applyNumberFormat="1" applyFont="1" applyFill="1" applyBorder="1" applyAlignment="1" applyProtection="1">
      <alignment horizontal="center"/>
      <protection locked="0"/>
    </xf>
    <xf numFmtId="0" fontId="1" fillId="0" borderId="0" xfId="26" applyFont="1">
      <alignment/>
      <protection/>
    </xf>
    <xf numFmtId="0" fontId="48" fillId="0" borderId="0" xfId="26" applyFont="1" applyAlignment="1">
      <alignment horizontal="right" vertical="top"/>
      <protection/>
    </xf>
    <xf numFmtId="0" fontId="48" fillId="0" borderId="0" xfId="26" applyFont="1" applyFill="1" applyAlignment="1">
      <alignment horizontal="right" vertical="top"/>
      <protection/>
    </xf>
    <xf numFmtId="175" fontId="1" fillId="0" borderId="8" xfId="26" applyNumberFormat="1" applyFont="1" applyFill="1" applyBorder="1" applyAlignment="1">
      <alignment horizontal="center"/>
      <protection/>
    </xf>
    <xf numFmtId="173" fontId="1" fillId="0" borderId="27" xfId="26" applyNumberFormat="1" applyFont="1" applyFill="1" applyBorder="1" applyAlignment="1" applyProtection="1">
      <alignment horizontal="center"/>
      <protection/>
    </xf>
    <xf numFmtId="0" fontId="6" fillId="0" borderId="13" xfId="26" applyFont="1" applyFill="1" applyBorder="1" applyProtection="1">
      <alignment/>
      <protection locked="0"/>
    </xf>
    <xf numFmtId="0" fontId="33" fillId="8" borderId="13" xfId="26" applyFont="1" applyFill="1" applyBorder="1" applyProtection="1">
      <alignment/>
      <protection locked="0"/>
    </xf>
    <xf numFmtId="0" fontId="29" fillId="6" borderId="13" xfId="26" applyFont="1" applyFill="1" applyBorder="1" applyProtection="1">
      <alignment/>
      <protection locked="0"/>
    </xf>
    <xf numFmtId="0" fontId="5" fillId="9" borderId="13" xfId="26" applyFont="1" applyFill="1" applyBorder="1" applyProtection="1">
      <alignment/>
      <protection locked="0"/>
    </xf>
    <xf numFmtId="0" fontId="5" fillId="3" borderId="30" xfId="26" applyFont="1" applyFill="1" applyBorder="1" applyProtection="1">
      <alignment/>
      <protection locked="0"/>
    </xf>
    <xf numFmtId="0" fontId="5" fillId="3" borderId="31" xfId="26" applyFont="1" applyFill="1" applyBorder="1" applyProtection="1">
      <alignment/>
      <protection locked="0"/>
    </xf>
    <xf numFmtId="0" fontId="42" fillId="10" borderId="30" xfId="26" applyFont="1" applyFill="1" applyBorder="1" applyProtection="1">
      <alignment/>
      <protection locked="0"/>
    </xf>
    <xf numFmtId="0" fontId="42" fillId="10" borderId="31" xfId="26" applyFont="1" applyFill="1" applyBorder="1" applyProtection="1">
      <alignment/>
      <protection locked="0"/>
    </xf>
    <xf numFmtId="0" fontId="32" fillId="11" borderId="13" xfId="26" applyFont="1" applyFill="1" applyBorder="1" applyProtection="1">
      <alignment/>
      <protection locked="0"/>
    </xf>
    <xf numFmtId="0" fontId="5" fillId="12" borderId="13" xfId="26" applyFont="1" applyFill="1" applyBorder="1" applyProtection="1">
      <alignment/>
      <protection locked="0"/>
    </xf>
    <xf numFmtId="0" fontId="28" fillId="12" borderId="13" xfId="26" applyFont="1" applyFill="1" applyBorder="1" applyProtection="1">
      <alignment/>
      <protection locked="0"/>
    </xf>
    <xf numFmtId="0" fontId="46" fillId="11" borderId="13" xfId="26" applyFont="1" applyFill="1" applyBorder="1" applyProtection="1">
      <alignment/>
      <protection locked="0"/>
    </xf>
    <xf numFmtId="0" fontId="5" fillId="10" borderId="30" xfId="26" applyFont="1" applyFill="1" applyBorder="1" applyProtection="1">
      <alignment/>
      <protection locked="0"/>
    </xf>
    <xf numFmtId="0" fontId="5" fillId="10" borderId="31" xfId="26" applyFont="1" applyFill="1" applyBorder="1" applyProtection="1">
      <alignment/>
      <protection locked="0"/>
    </xf>
    <xf numFmtId="0" fontId="29" fillId="13" borderId="13" xfId="26" applyFont="1" applyFill="1" applyBorder="1" applyProtection="1">
      <alignment/>
      <protection locked="0"/>
    </xf>
    <xf numFmtId="0" fontId="6" fillId="0" borderId="32" xfId="26" applyFont="1" applyBorder="1" applyAlignment="1" applyProtection="1">
      <alignment horizontal="center"/>
      <protection locked="0"/>
    </xf>
    <xf numFmtId="2" fontId="6" fillId="0" borderId="32" xfId="26" applyNumberFormat="1" applyFont="1" applyBorder="1" applyAlignment="1" applyProtection="1">
      <alignment horizontal="center"/>
      <protection locked="0"/>
    </xf>
    <xf numFmtId="172" fontId="6" fillId="0" borderId="13" xfId="26" applyNumberFormat="1" applyFont="1" applyBorder="1" applyAlignment="1" applyProtection="1">
      <alignment horizontal="center"/>
      <protection locked="0"/>
    </xf>
    <xf numFmtId="22" fontId="6" fillId="0" borderId="13" xfId="26" applyNumberFormat="1" applyFont="1" applyBorder="1" applyAlignment="1" applyProtection="1">
      <alignment horizontal="center"/>
      <protection locked="0"/>
    </xf>
    <xf numFmtId="22" fontId="28" fillId="3" borderId="13" xfId="26" applyNumberFormat="1" applyFont="1" applyFill="1" applyBorder="1" applyAlignment="1" applyProtection="1">
      <alignment horizontal="center"/>
      <protection locked="0"/>
    </xf>
    <xf numFmtId="172" fontId="29" fillId="4" borderId="13" xfId="26" applyNumberFormat="1" applyFont="1" applyFill="1" applyBorder="1" applyAlignment="1" applyProtection="1" quotePrefix="1">
      <alignment horizontal="center"/>
      <protection locked="0"/>
    </xf>
    <xf numFmtId="172" fontId="30" fillId="5" borderId="13" xfId="26" applyNumberFormat="1" applyFont="1" applyFill="1" applyBorder="1" applyAlignment="1" applyProtection="1" quotePrefix="1">
      <alignment horizontal="center"/>
      <protection locked="0"/>
    </xf>
    <xf numFmtId="172" fontId="31" fillId="2" borderId="13" xfId="26" applyNumberFormat="1" applyFont="1" applyFill="1" applyBorder="1" applyAlignment="1" applyProtection="1" quotePrefix="1">
      <alignment horizontal="center"/>
      <protection locked="0"/>
    </xf>
    <xf numFmtId="4" fontId="31" fillId="2" borderId="13" xfId="26" applyNumberFormat="1" applyFont="1" applyFill="1" applyBorder="1" applyAlignment="1" applyProtection="1">
      <alignment horizontal="center"/>
      <protection locked="0"/>
    </xf>
    <xf numFmtId="4" fontId="29" fillId="6" borderId="13" xfId="26" applyNumberFormat="1" applyFont="1" applyFill="1" applyBorder="1" applyAlignment="1" applyProtection="1">
      <alignment horizontal="center"/>
      <protection locked="0"/>
    </xf>
    <xf numFmtId="4" fontId="32" fillId="7" borderId="13" xfId="26" applyNumberFormat="1" applyFont="1" applyFill="1" applyBorder="1" applyAlignment="1" applyProtection="1">
      <alignment horizontal="center"/>
      <protection locked="0"/>
    </xf>
    <xf numFmtId="4" fontId="33" fillId="8" borderId="13" xfId="26" applyNumberFormat="1" applyFont="1" applyFill="1" applyBorder="1" applyAlignment="1" applyProtection="1">
      <alignment horizontal="center"/>
      <protection locked="0"/>
    </xf>
    <xf numFmtId="4" fontId="6" fillId="0" borderId="13" xfId="26" applyNumberFormat="1" applyFont="1" applyBorder="1" applyAlignment="1" applyProtection="1">
      <alignment horizontal="center"/>
      <protection locked="0"/>
    </xf>
    <xf numFmtId="0" fontId="8" fillId="0" borderId="0" xfId="24" applyFont="1">
      <alignment/>
      <protection/>
    </xf>
    <xf numFmtId="0" fontId="9" fillId="0" borderId="0" xfId="24" applyFont="1" applyAlignment="1">
      <alignment horizontal="centerContinuous"/>
      <protection/>
    </xf>
    <xf numFmtId="0" fontId="48" fillId="0" borderId="0" xfId="24" applyFont="1" applyAlignment="1">
      <alignment horizontal="right" vertical="top"/>
      <protection/>
    </xf>
    <xf numFmtId="0" fontId="49" fillId="0" borderId="0" xfId="24" applyFont="1" applyAlignment="1">
      <alignment horizontal="centerContinuous"/>
      <protection/>
    </xf>
    <xf numFmtId="0" fontId="8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0" fontId="1" fillId="0" borderId="0" xfId="24">
      <alignment/>
      <protection/>
    </xf>
    <xf numFmtId="0" fontId="6" fillId="0" borderId="0" xfId="24" applyFont="1" applyAlignment="1">
      <alignment horizontal="centerContinuous"/>
      <protection/>
    </xf>
    <xf numFmtId="0" fontId="4" fillId="0" borderId="0" xfId="24" applyFont="1" applyFill="1" applyBorder="1" applyAlignment="1" applyProtection="1">
      <alignment horizontal="centerContinuous"/>
      <protection/>
    </xf>
    <xf numFmtId="0" fontId="10" fillId="0" borderId="0" xfId="24" applyNumberFormat="1" applyFont="1" applyAlignment="1">
      <alignment horizontal="left"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50" fillId="0" borderId="0" xfId="24" applyFont="1" applyFill="1" applyBorder="1" applyAlignment="1" applyProtection="1">
      <alignment horizontal="left"/>
      <protection/>
    </xf>
    <xf numFmtId="0" fontId="8" fillId="0" borderId="0" xfId="24" applyFont="1" applyBorder="1">
      <alignment/>
      <protection/>
    </xf>
    <xf numFmtId="0" fontId="15" fillId="0" borderId="0" xfId="24" applyFont="1">
      <alignment/>
      <protection/>
    </xf>
    <xf numFmtId="0" fontId="51" fillId="0" borderId="0" xfId="24" applyFont="1" applyBorder="1" applyAlignment="1">
      <alignment horizontal="centerContinuous"/>
      <protection/>
    </xf>
    <xf numFmtId="0" fontId="52" fillId="0" borderId="0" xfId="24" applyFont="1" applyAlignment="1">
      <alignment horizontal="centerContinuous"/>
      <protection/>
    </xf>
    <xf numFmtId="0" fontId="15" fillId="0" borderId="0" xfId="24" applyFont="1" applyAlignment="1">
      <alignment horizontal="centerContinuous"/>
      <protection/>
    </xf>
    <xf numFmtId="0" fontId="15" fillId="0" borderId="0" xfId="24" applyFont="1" applyBorder="1" applyAlignment="1">
      <alignment horizontal="centerContinuous"/>
      <protection/>
    </xf>
    <xf numFmtId="0" fontId="15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0" fontId="12" fillId="0" borderId="0" xfId="24" applyFont="1">
      <alignment/>
      <protection/>
    </xf>
    <xf numFmtId="0" fontId="16" fillId="0" borderId="0" xfId="24" applyFont="1" applyAlignment="1">
      <alignment horizontal="centerContinuous"/>
      <protection/>
    </xf>
    <xf numFmtId="0" fontId="53" fillId="0" borderId="0" xfId="24" applyFont="1">
      <alignment/>
      <protection/>
    </xf>
    <xf numFmtId="0" fontId="54" fillId="0" borderId="0" xfId="24" applyFont="1" applyBorder="1">
      <alignment/>
      <protection/>
    </xf>
    <xf numFmtId="0" fontId="53" fillId="0" borderId="0" xfId="24" applyFont="1" applyBorder="1">
      <alignment/>
      <protection/>
    </xf>
    <xf numFmtId="0" fontId="55" fillId="0" borderId="3" xfId="24" applyFont="1" applyBorder="1">
      <alignment/>
      <protection/>
    </xf>
    <xf numFmtId="0" fontId="55" fillId="0" borderId="4" xfId="22" applyFont="1" applyBorder="1">
      <alignment/>
      <protection/>
    </xf>
    <xf numFmtId="0" fontId="53" fillId="0" borderId="4" xfId="24" applyFont="1" applyBorder="1">
      <alignment/>
      <protection/>
    </xf>
    <xf numFmtId="0" fontId="53" fillId="0" borderId="5" xfId="24" applyFont="1" applyBorder="1">
      <alignment/>
      <protection/>
    </xf>
    <xf numFmtId="0" fontId="11" fillId="0" borderId="0" xfId="24" applyFont="1">
      <alignment/>
      <protection/>
    </xf>
    <xf numFmtId="0" fontId="13" fillId="0" borderId="1" xfId="24" applyFont="1" applyBorder="1" applyAlignment="1">
      <alignment horizontal="centerContinuous"/>
      <protection/>
    </xf>
    <xf numFmtId="0" fontId="1" fillId="0" borderId="0" xfId="24" applyNumberFormat="1" applyAlignment="1">
      <alignment horizontal="centerContinuous"/>
      <protection/>
    </xf>
    <xf numFmtId="0" fontId="11" fillId="0" borderId="0" xfId="24" applyNumberFormat="1" applyFont="1" applyAlignment="1">
      <alignment horizontal="centerContinuous"/>
      <protection/>
    </xf>
    <xf numFmtId="0" fontId="13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2" xfId="24" applyFont="1" applyBorder="1" applyAlignment="1">
      <alignment horizontal="centerContinuous"/>
      <protection/>
    </xf>
    <xf numFmtId="0" fontId="11" fillId="0" borderId="0" xfId="24" applyFont="1" applyBorder="1">
      <alignment/>
      <protection/>
    </xf>
    <xf numFmtId="0" fontId="11" fillId="0" borderId="1" xfId="24" applyFont="1" applyBorder="1">
      <alignment/>
      <protection/>
    </xf>
    <xf numFmtId="0" fontId="56" fillId="0" borderId="0" xfId="24" applyNumberFormat="1" applyFont="1" applyBorder="1" applyAlignment="1">
      <alignment horizontal="right"/>
      <protection/>
    </xf>
    <xf numFmtId="0" fontId="13" fillId="0" borderId="0" xfId="24" applyFont="1" applyBorder="1">
      <alignment/>
      <protection/>
    </xf>
    <xf numFmtId="0" fontId="11" fillId="0" borderId="2" xfId="24" applyFont="1" applyBorder="1">
      <alignment/>
      <protection/>
    </xf>
    <xf numFmtId="0" fontId="56" fillId="0" borderId="0" xfId="24" applyNumberFormat="1" applyFont="1" applyBorder="1" applyAlignment="1">
      <alignment horizontal="centerContinuous"/>
      <protection/>
    </xf>
    <xf numFmtId="0" fontId="1" fillId="0" borderId="0" xfId="24" applyAlignment="1">
      <alignment horizontal="centerContinuous"/>
      <protection/>
    </xf>
    <xf numFmtId="0" fontId="56" fillId="0" borderId="0" xfId="24" applyNumberFormat="1" applyFont="1" applyBorder="1" applyAlignment="1">
      <alignment horizontal="right"/>
      <protection/>
    </xf>
    <xf numFmtId="0" fontId="56" fillId="0" borderId="0" xfId="24" applyNumberFormat="1" applyFont="1" applyBorder="1" applyAlignment="1">
      <alignment/>
      <protection/>
    </xf>
    <xf numFmtId="0" fontId="6" fillId="0" borderId="1" xfId="24" applyFont="1" applyBorder="1">
      <alignment/>
      <protection/>
    </xf>
    <xf numFmtId="0" fontId="3" fillId="0" borderId="0" xfId="24" applyNumberFormat="1" applyFont="1" applyBorder="1" applyAlignment="1">
      <alignment horizontal="right"/>
      <protection/>
    </xf>
    <xf numFmtId="0" fontId="3" fillId="0" borderId="0" xfId="24" applyNumberFormat="1" applyFont="1" applyBorder="1" applyAlignment="1">
      <alignment/>
      <protection/>
    </xf>
    <xf numFmtId="0" fontId="14" fillId="0" borderId="0" xfId="24" applyFont="1" applyBorder="1">
      <alignment/>
      <protection/>
    </xf>
    <xf numFmtId="0" fontId="6" fillId="0" borderId="2" xfId="24" applyFont="1" applyBorder="1">
      <alignment/>
      <protection/>
    </xf>
    <xf numFmtId="0" fontId="56" fillId="0" borderId="0" xfId="24" applyFont="1" applyBorder="1">
      <alignment/>
      <protection/>
    </xf>
    <xf numFmtId="0" fontId="56" fillId="0" borderId="6" xfId="24" applyFont="1" applyBorder="1" applyAlignment="1">
      <alignment horizontal="center"/>
      <protection/>
    </xf>
    <xf numFmtId="7" fontId="56" fillId="0" borderId="7" xfId="24" applyNumberFormat="1" applyFont="1" applyBorder="1" applyAlignment="1">
      <alignment horizontal="center"/>
      <protection/>
    </xf>
    <xf numFmtId="0" fontId="56" fillId="0" borderId="0" xfId="24" applyFont="1" applyBorder="1" applyAlignment="1">
      <alignment horizontal="center"/>
      <protection/>
    </xf>
    <xf numFmtId="7" fontId="56" fillId="0" borderId="0" xfId="24" applyNumberFormat="1" applyFont="1" applyBorder="1" applyAlignment="1">
      <alignment horizontal="center"/>
      <protection/>
    </xf>
    <xf numFmtId="0" fontId="57" fillId="0" borderId="0" xfId="24" applyNumberFormat="1" applyFont="1" applyBorder="1" applyAlignment="1">
      <alignment horizontal="left"/>
      <protection/>
    </xf>
    <xf numFmtId="0" fontId="53" fillId="0" borderId="15" xfId="24" applyFont="1" applyBorder="1">
      <alignment/>
      <protection/>
    </xf>
    <xf numFmtId="0" fontId="53" fillId="0" borderId="16" xfId="24" applyFont="1" applyBorder="1">
      <alignment/>
      <protection/>
    </xf>
    <xf numFmtId="0" fontId="53" fillId="0" borderId="17" xfId="24" applyFont="1" applyBorder="1">
      <alignment/>
      <protection/>
    </xf>
    <xf numFmtId="49" fontId="6" fillId="0" borderId="10" xfId="26" applyNumberFormat="1" applyFont="1" applyFill="1" applyBorder="1" applyAlignment="1" applyProtection="1">
      <alignment horizontal="center"/>
      <protection locked="0"/>
    </xf>
    <xf numFmtId="49" fontId="6" fillId="0" borderId="10" xfId="26" applyNumberFormat="1" applyFont="1" applyFill="1" applyBorder="1" applyProtection="1">
      <alignment/>
      <protection locked="0"/>
    </xf>
    <xf numFmtId="49" fontId="6" fillId="0" borderId="13" xfId="26" applyNumberFormat="1" applyFont="1" applyFill="1" applyBorder="1" applyProtection="1">
      <alignment/>
      <protection locked="0"/>
    </xf>
    <xf numFmtId="49" fontId="6" fillId="0" borderId="21" xfId="26" applyNumberFormat="1" applyFont="1" applyFill="1" applyBorder="1" applyAlignment="1" applyProtection="1">
      <alignment horizontal="center"/>
      <protection locked="0"/>
    </xf>
    <xf numFmtId="7" fontId="56" fillId="0" borderId="0" xfId="24" applyNumberFormat="1" applyFont="1" applyBorder="1">
      <alignment/>
      <protection/>
    </xf>
    <xf numFmtId="0" fontId="1" fillId="0" borderId="0" xfId="0" applyFont="1" applyFill="1" applyAlignment="1">
      <alignment/>
    </xf>
    <xf numFmtId="0" fontId="16" fillId="0" borderId="0" xfId="23" applyFont="1" applyBorder="1">
      <alignment/>
      <protection/>
    </xf>
    <xf numFmtId="178" fontId="6" fillId="0" borderId="10" xfId="26" applyNumberFormat="1" applyFont="1" applyFill="1" applyBorder="1" applyProtection="1">
      <alignment/>
      <protection locked="0"/>
    </xf>
    <xf numFmtId="178" fontId="6" fillId="0" borderId="12" xfId="26" applyNumberFormat="1" applyFont="1" applyBorder="1" applyAlignment="1" applyProtection="1" quotePrefix="1">
      <alignment horizontal="center"/>
      <protection locked="0"/>
    </xf>
    <xf numFmtId="7" fontId="2" fillId="0" borderId="33" xfId="26" applyNumberFormat="1" applyFont="1" applyFill="1" applyBorder="1" applyAlignment="1" applyProtection="1">
      <alignment horizontal="right"/>
      <protection locked="0"/>
    </xf>
    <xf numFmtId="0" fontId="6" fillId="0" borderId="34" xfId="26" applyFont="1" applyFill="1" applyBorder="1" applyAlignment="1" applyProtection="1">
      <alignment horizontal="center"/>
      <protection locked="0"/>
    </xf>
    <xf numFmtId="172" fontId="41" fillId="2" borderId="12" xfId="26" applyNumberFormat="1" applyFont="1" applyFill="1" applyBorder="1" applyAlignment="1" applyProtection="1">
      <alignment horizontal="center"/>
      <protection locked="0"/>
    </xf>
    <xf numFmtId="8" fontId="2" fillId="0" borderId="8" xfId="26" applyNumberFormat="1" applyFont="1" applyBorder="1" applyAlignment="1" applyProtection="1">
      <alignment horizontal="right"/>
      <protection/>
    </xf>
    <xf numFmtId="7" fontId="2" fillId="0" borderId="8" xfId="26" applyNumberFormat="1" applyFont="1" applyFill="1" applyBorder="1" applyAlignment="1" applyProtection="1">
      <alignment horizontal="right"/>
      <protection/>
    </xf>
    <xf numFmtId="7" fontId="2" fillId="0" borderId="8" xfId="26" applyNumberFormat="1" applyFont="1" applyFill="1" applyBorder="1" applyAlignment="1" applyProtection="1">
      <alignment horizontal="right"/>
      <protection/>
    </xf>
    <xf numFmtId="0" fontId="6" fillId="0" borderId="19" xfId="26" applyFont="1" applyFill="1" applyBorder="1" applyProtection="1">
      <alignment/>
      <protection locked="0"/>
    </xf>
    <xf numFmtId="0" fontId="17" fillId="0" borderId="8" xfId="0" applyFont="1" applyBorder="1" applyAlignment="1">
      <alignment horizontal="center" vertical="center"/>
    </xf>
    <xf numFmtId="0" fontId="1" fillId="2" borderId="3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35" xfId="0" applyFont="1" applyBorder="1" applyAlignment="1">
      <alignment/>
    </xf>
    <xf numFmtId="0" fontId="1" fillId="0" borderId="35" xfId="0" applyFont="1" applyBorder="1" applyAlignment="1" quotePrefix="1">
      <alignment/>
    </xf>
    <xf numFmtId="0" fontId="60" fillId="2" borderId="35" xfId="0" applyFont="1" applyFill="1" applyBorder="1" applyAlignment="1">
      <alignment horizontal="center"/>
    </xf>
    <xf numFmtId="0" fontId="1" fillId="14" borderId="0" xfId="0" applyFont="1" applyFill="1" applyAlignment="1">
      <alignment/>
    </xf>
    <xf numFmtId="0" fontId="1" fillId="14" borderId="0" xfId="0" applyNumberFormat="1" applyFont="1" applyFill="1" applyAlignment="1">
      <alignment/>
    </xf>
    <xf numFmtId="0" fontId="60" fillId="0" borderId="35" xfId="0" applyFont="1" applyFill="1" applyBorder="1" applyAlignment="1">
      <alignment horizontal="center"/>
    </xf>
    <xf numFmtId="0" fontId="1" fillId="14" borderId="0" xfId="21" applyFont="1" applyFill="1" applyAlignment="1">
      <alignment/>
      <protection/>
    </xf>
    <xf numFmtId="0" fontId="24" fillId="0" borderId="35" xfId="0" applyFont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36" xfId="0" applyFont="1" applyBorder="1" applyAlignment="1">
      <alignment/>
    </xf>
    <xf numFmtId="0" fontId="61" fillId="0" borderId="35" xfId="0" applyFont="1" applyFill="1" applyBorder="1" applyAlignment="1">
      <alignment/>
    </xf>
    <xf numFmtId="0" fontId="61" fillId="0" borderId="36" xfId="0" applyFont="1" applyFill="1" applyBorder="1" applyAlignment="1">
      <alignment/>
    </xf>
    <xf numFmtId="0" fontId="28" fillId="0" borderId="0" xfId="26" applyFont="1" applyBorder="1">
      <alignment/>
      <protection/>
    </xf>
    <xf numFmtId="0" fontId="28" fillId="0" borderId="0" xfId="26" applyFont="1" applyFill="1" applyBorder="1">
      <alignment/>
      <protection/>
    </xf>
    <xf numFmtId="172" fontId="6" fillId="0" borderId="11" xfId="0" applyNumberFormat="1" applyFont="1" applyFill="1" applyBorder="1" applyAlignment="1" applyProtection="1">
      <alignment horizontal="center"/>
      <protection/>
    </xf>
    <xf numFmtId="172" fontId="6" fillId="0" borderId="11" xfId="0" applyNumberFormat="1" applyFont="1" applyFill="1" applyBorder="1" applyAlignment="1" applyProtection="1" quotePrefix="1">
      <alignment horizontal="center"/>
      <protection/>
    </xf>
    <xf numFmtId="172" fontId="6" fillId="0" borderId="11" xfId="0" applyNumberFormat="1" applyFont="1" applyBorder="1" applyAlignment="1" applyProtection="1" quotePrefix="1">
      <alignment horizontal="center"/>
      <protection/>
    </xf>
    <xf numFmtId="4" fontId="6" fillId="0" borderId="24" xfId="0" applyNumberFormat="1" applyFont="1" applyBorder="1" applyAlignment="1" applyProtection="1">
      <alignment horizontal="center"/>
      <protection/>
    </xf>
    <xf numFmtId="172" fontId="6" fillId="0" borderId="12" xfId="0" applyNumberFormat="1" applyFont="1" applyFill="1" applyBorder="1" applyAlignment="1" applyProtection="1" quotePrefix="1">
      <alignment horizontal="center"/>
      <protection/>
    </xf>
    <xf numFmtId="172" fontId="6" fillId="0" borderId="12" xfId="0" applyNumberFormat="1" applyFont="1" applyFill="1" applyBorder="1" applyAlignment="1" applyProtection="1">
      <alignment horizontal="center"/>
      <protection/>
    </xf>
    <xf numFmtId="172" fontId="6" fillId="0" borderId="11" xfId="0" applyNumberFormat="1" applyFont="1" applyBorder="1" applyAlignment="1" applyProtection="1">
      <alignment horizontal="center"/>
      <protection/>
    </xf>
    <xf numFmtId="177" fontId="6" fillId="0" borderId="24" xfId="0" applyNumberFormat="1" applyFont="1" applyBorder="1" applyAlignment="1" applyProtection="1" quotePrefix="1">
      <alignment horizontal="center"/>
      <protection/>
    </xf>
    <xf numFmtId="22" fontId="6" fillId="0" borderId="11" xfId="26" applyNumberFormat="1" applyFont="1" applyFill="1" applyBorder="1" applyAlignment="1" applyProtection="1">
      <alignment horizontal="center"/>
      <protection locked="0"/>
    </xf>
    <xf numFmtId="22" fontId="6" fillId="0" borderId="11" xfId="26" applyNumberFormat="1" applyFont="1" applyFill="1" applyBorder="1" applyProtection="1">
      <alignment/>
      <protection locked="0"/>
    </xf>
    <xf numFmtId="22" fontId="6" fillId="0" borderId="12" xfId="26" applyNumberFormat="1" applyFont="1" applyFill="1" applyBorder="1" applyAlignment="1" applyProtection="1">
      <alignment horizontal="center"/>
      <protection locked="0"/>
    </xf>
    <xf numFmtId="22" fontId="6" fillId="0" borderId="25" xfId="26" applyNumberFormat="1" applyFont="1" applyFill="1" applyBorder="1" applyAlignment="1" applyProtection="1">
      <alignment horizontal="center"/>
      <protection locked="0"/>
    </xf>
    <xf numFmtId="0" fontId="6" fillId="0" borderId="12" xfId="26" applyNumberFormat="1" applyFont="1" applyBorder="1" applyAlignment="1" applyProtection="1">
      <alignment horizontal="center"/>
      <protection locked="0"/>
    </xf>
    <xf numFmtId="0" fontId="62" fillId="0" borderId="0" xfId="26" applyFont="1" applyBorder="1" applyAlignment="1">
      <alignment horizontal="left"/>
      <protection/>
    </xf>
    <xf numFmtId="0" fontId="62" fillId="0" borderId="18" xfId="26" applyFont="1" applyBorder="1" applyAlignment="1">
      <alignment horizontal="center"/>
      <protection/>
    </xf>
    <xf numFmtId="0" fontId="1" fillId="0" borderId="0" xfId="25">
      <alignment/>
      <protection/>
    </xf>
    <xf numFmtId="0" fontId="48" fillId="0" borderId="0" xfId="25" applyFont="1" applyAlignment="1">
      <alignment horizontal="right" vertical="top"/>
      <protection/>
    </xf>
    <xf numFmtId="0" fontId="8" fillId="0" borderId="0" xfId="25" applyFont="1">
      <alignment/>
      <protection/>
    </xf>
    <xf numFmtId="0" fontId="64" fillId="0" borderId="0" xfId="25" applyFont="1" applyAlignment="1">
      <alignment horizontal="centerContinuous"/>
      <protection/>
    </xf>
    <xf numFmtId="0" fontId="4" fillId="0" borderId="0" xfId="25" applyFont="1" applyFill="1" applyBorder="1" applyAlignment="1" applyProtection="1">
      <alignment horizontal="centerContinuous"/>
      <protection/>
    </xf>
    <xf numFmtId="0" fontId="10" fillId="0" borderId="0" xfId="25" applyFont="1" applyAlignment="1">
      <alignment horizontal="centerContinuous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6" fillId="0" borderId="0" xfId="25" applyFont="1">
      <alignment/>
      <protection/>
    </xf>
    <xf numFmtId="0" fontId="16" fillId="0" borderId="0" xfId="25" applyFont="1" applyAlignment="1">
      <alignment horizontal="centerContinuous"/>
      <protection/>
    </xf>
    <xf numFmtId="0" fontId="16" fillId="0" borderId="0" xfId="25" applyFont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Continuous"/>
      <protection/>
    </xf>
    <xf numFmtId="0" fontId="1" fillId="0" borderId="0" xfId="25" applyAlignment="1">
      <alignment horizontal="centerContinuous"/>
      <protection/>
    </xf>
    <xf numFmtId="0" fontId="1" fillId="0" borderId="0" xfId="25" applyAlignment="1">
      <alignment/>
      <protection/>
    </xf>
    <xf numFmtId="0" fontId="53" fillId="0" borderId="0" xfId="25" applyFont="1">
      <alignment/>
      <protection/>
    </xf>
    <xf numFmtId="0" fontId="53" fillId="0" borderId="0" xfId="25" applyFont="1" applyAlignment="1">
      <alignment horizontal="centerContinuous"/>
      <protection/>
    </xf>
    <xf numFmtId="0" fontId="1" fillId="0" borderId="3" xfId="25" applyBorder="1" applyAlignment="1">
      <alignment horizontal="centerContinuous"/>
      <protection/>
    </xf>
    <xf numFmtId="0" fontId="1" fillId="0" borderId="4" xfId="25" applyBorder="1" applyAlignment="1">
      <alignment horizontal="centerContinuous"/>
      <protection/>
    </xf>
    <xf numFmtId="0" fontId="1" fillId="0" borderId="5" xfId="25" applyBorder="1" applyAlignment="1">
      <alignment/>
      <protection/>
    </xf>
    <xf numFmtId="0" fontId="1" fillId="0" borderId="1" xfId="25" applyBorder="1">
      <alignment/>
      <protection/>
    </xf>
    <xf numFmtId="0" fontId="1" fillId="0" borderId="0" xfId="25" applyBorder="1">
      <alignment/>
      <protection/>
    </xf>
    <xf numFmtId="0" fontId="1" fillId="0" borderId="2" xfId="25" applyBorder="1" applyAlignment="1">
      <alignment/>
      <protection/>
    </xf>
    <xf numFmtId="0" fontId="17" fillId="0" borderId="0" xfId="25" applyFont="1" applyAlignment="1">
      <alignment horizontal="center" vertical="center"/>
      <protection/>
    </xf>
    <xf numFmtId="167" fontId="17" fillId="0" borderId="1" xfId="17" applyFont="1" applyBorder="1" applyAlignment="1" quotePrefix="1">
      <alignment horizontal="center" vertical="center"/>
    </xf>
    <xf numFmtId="0" fontId="17" fillId="0" borderId="8" xfId="25" applyFont="1" applyBorder="1" applyAlignment="1">
      <alignment horizontal="center" vertical="center"/>
      <protection/>
    </xf>
    <xf numFmtId="0" fontId="17" fillId="0" borderId="8" xfId="0" applyFont="1" applyBorder="1" applyAlignment="1">
      <alignment horizontal="center" vertical="center" wrapText="1"/>
    </xf>
    <xf numFmtId="17" fontId="17" fillId="0" borderId="8" xfId="0" applyNumberFormat="1" applyFont="1" applyBorder="1" applyAlignment="1">
      <alignment horizontal="center" vertical="center"/>
    </xf>
    <xf numFmtId="17" fontId="17" fillId="0" borderId="8" xfId="25" applyNumberFormat="1" applyFont="1" applyBorder="1" applyAlignment="1">
      <alignment horizontal="center" vertical="center"/>
      <protection/>
    </xf>
    <xf numFmtId="0" fontId="17" fillId="0" borderId="2" xfId="25" applyFont="1" applyBorder="1" applyAlignment="1">
      <alignment horizontal="center" vertical="center"/>
      <protection/>
    </xf>
    <xf numFmtId="0" fontId="66" fillId="0" borderId="0" xfId="25" applyFont="1" applyAlignment="1">
      <alignment vertical="center"/>
      <protection/>
    </xf>
    <xf numFmtId="0" fontId="66" fillId="0" borderId="1" xfId="25" applyFont="1" applyBorder="1" applyAlignment="1">
      <alignment vertical="center"/>
      <protection/>
    </xf>
    <xf numFmtId="0" fontId="66" fillId="0" borderId="22" xfId="25" applyFont="1" applyBorder="1" applyAlignment="1">
      <alignment vertical="center"/>
      <protection/>
    </xf>
    <xf numFmtId="0" fontId="66" fillId="0" borderId="11" xfId="25" applyFont="1" applyBorder="1" applyAlignment="1">
      <alignment vertical="center"/>
      <protection/>
    </xf>
    <xf numFmtId="0" fontId="66" fillId="2" borderId="22" xfId="25" applyFont="1" applyFill="1" applyBorder="1" applyAlignment="1">
      <alignment vertical="center"/>
      <protection/>
    </xf>
    <xf numFmtId="0" fontId="66" fillId="0" borderId="37" xfId="25" applyFont="1" applyFill="1" applyBorder="1" applyAlignment="1">
      <alignment vertical="center"/>
      <protection/>
    </xf>
    <xf numFmtId="0" fontId="66" fillId="0" borderId="2" xfId="25" applyFont="1" applyBorder="1" applyAlignment="1">
      <alignment vertical="center"/>
      <protection/>
    </xf>
    <xf numFmtId="0" fontId="66" fillId="1" borderId="23" xfId="25" applyFont="1" applyFill="1" applyBorder="1" applyAlignment="1">
      <alignment horizontal="center" vertical="center"/>
      <protection/>
    </xf>
    <xf numFmtId="0" fontId="66" fillId="2" borderId="23" xfId="25" applyFont="1" applyFill="1" applyBorder="1" applyAlignment="1">
      <alignment horizontal="center" vertical="center"/>
      <protection/>
    </xf>
    <xf numFmtId="0" fontId="66" fillId="0" borderId="26" xfId="25" applyFont="1" applyFill="1" applyBorder="1" applyAlignment="1">
      <alignment horizontal="center" vertical="center"/>
      <protection/>
    </xf>
    <xf numFmtId="0" fontId="66" fillId="0" borderId="38" xfId="25" applyFont="1" applyBorder="1" applyAlignment="1">
      <alignment horizontal="center" vertical="center"/>
      <protection/>
    </xf>
    <xf numFmtId="0" fontId="66" fillId="15" borderId="38" xfId="25" applyFont="1" applyFill="1" applyBorder="1" applyAlignment="1">
      <alignment horizontal="center" vertical="center"/>
      <protection/>
    </xf>
    <xf numFmtId="0" fontId="66" fillId="15" borderId="12" xfId="25" applyFont="1" applyFill="1" applyBorder="1" applyAlignment="1">
      <alignment horizontal="center" vertical="center"/>
      <protection/>
    </xf>
    <xf numFmtId="0" fontId="66" fillId="0" borderId="12" xfId="25" applyFont="1" applyBorder="1" applyAlignment="1">
      <alignment horizontal="center" vertical="center"/>
      <protection/>
    </xf>
    <xf numFmtId="0" fontId="66" fillId="0" borderId="12" xfId="0" applyFont="1" applyFill="1" applyBorder="1" applyAlignment="1">
      <alignment horizontal="center" vertical="center"/>
    </xf>
    <xf numFmtId="0" fontId="66" fillId="2" borderId="39" xfId="25" applyFont="1" applyFill="1" applyBorder="1" applyAlignment="1">
      <alignment horizontal="center" vertical="center"/>
      <protection/>
    </xf>
    <xf numFmtId="0" fontId="66" fillId="0" borderId="40" xfId="25" applyFont="1" applyBorder="1" applyAlignment="1">
      <alignment horizontal="center" vertical="center"/>
      <protection/>
    </xf>
    <xf numFmtId="0" fontId="66" fillId="0" borderId="32" xfId="25" applyFont="1" applyBorder="1" applyAlignment="1">
      <alignment horizontal="center" vertical="center"/>
      <protection/>
    </xf>
    <xf numFmtId="0" fontId="66" fillId="0" borderId="41" xfId="25" applyFont="1" applyBorder="1" applyAlignment="1">
      <alignment horizontal="center" vertical="center"/>
      <protection/>
    </xf>
    <xf numFmtId="0" fontId="66" fillId="2" borderId="41" xfId="25" applyFont="1" applyFill="1" applyBorder="1" applyAlignment="1">
      <alignment horizontal="center" vertical="center"/>
      <protection/>
    </xf>
    <xf numFmtId="0" fontId="66" fillId="0" borderId="0" xfId="25" applyFont="1" applyBorder="1" applyAlignment="1">
      <alignment horizontal="center" vertical="center"/>
      <protection/>
    </xf>
    <xf numFmtId="0" fontId="67" fillId="0" borderId="18" xfId="25" applyFont="1" applyBorder="1" applyAlignment="1" applyProtection="1">
      <alignment horizontal="right" vertical="center"/>
      <protection/>
    </xf>
    <xf numFmtId="186" fontId="68" fillId="0" borderId="8" xfId="25" applyNumberFormat="1" applyFont="1" applyBorder="1" applyAlignment="1">
      <alignment horizontal="center" vertical="center"/>
      <protection/>
    </xf>
    <xf numFmtId="0" fontId="69" fillId="0" borderId="0" xfId="25" applyFont="1" applyBorder="1" applyAlignment="1">
      <alignment horizontal="center" vertical="center"/>
      <protection/>
    </xf>
    <xf numFmtId="0" fontId="66" fillId="0" borderId="9" xfId="25" applyFont="1" applyFill="1" applyBorder="1" applyAlignment="1">
      <alignment horizontal="center" vertical="center"/>
      <protection/>
    </xf>
    <xf numFmtId="0" fontId="66" fillId="0" borderId="0" xfId="25" applyFont="1" applyBorder="1" applyAlignment="1">
      <alignment vertical="center"/>
      <protection/>
    </xf>
    <xf numFmtId="0" fontId="67" fillId="0" borderId="0" xfId="25" applyFont="1" applyAlignment="1">
      <alignment horizontal="right" vertical="center"/>
      <protection/>
    </xf>
    <xf numFmtId="0" fontId="66" fillId="0" borderId="8" xfId="25" applyFont="1" applyBorder="1" applyAlignment="1">
      <alignment horizontal="center" vertical="center"/>
      <protection/>
    </xf>
    <xf numFmtId="0" fontId="66" fillId="0" borderId="13" xfId="25" applyFont="1" applyFill="1" applyBorder="1" applyAlignment="1">
      <alignment horizontal="center" vertical="center"/>
      <protection/>
    </xf>
    <xf numFmtId="0" fontId="68" fillId="0" borderId="0" xfId="25" applyFont="1" applyBorder="1" applyAlignment="1">
      <alignment horizontal="center" vertical="center"/>
      <protection/>
    </xf>
    <xf numFmtId="17" fontId="67" fillId="0" borderId="0" xfId="25" applyNumberFormat="1" applyFont="1" applyBorder="1" applyAlignment="1">
      <alignment horizontal="right" vertical="center"/>
      <protection/>
    </xf>
    <xf numFmtId="2" fontId="67" fillId="16" borderId="8" xfId="25" applyNumberFormat="1" applyFont="1" applyFill="1" applyBorder="1" applyAlignment="1">
      <alignment horizontal="center" vertical="center"/>
      <protection/>
    </xf>
    <xf numFmtId="0" fontId="6" fillId="0" borderId="0" xfId="25" applyFont="1" applyBorder="1">
      <alignment/>
      <protection/>
    </xf>
    <xf numFmtId="0" fontId="3" fillId="0" borderId="0" xfId="25" applyFont="1" applyBorder="1" applyAlignment="1" applyProtection="1">
      <alignment horizontal="center"/>
      <protection/>
    </xf>
    <xf numFmtId="172" fontId="3" fillId="0" borderId="0" xfId="25" applyNumberFormat="1" applyFont="1" applyBorder="1" applyAlignment="1" applyProtection="1">
      <alignment horizontal="right"/>
      <protection/>
    </xf>
    <xf numFmtId="0" fontId="1" fillId="0" borderId="0" xfId="25" applyBorder="1" applyAlignment="1">
      <alignment horizontal="center"/>
      <protection/>
    </xf>
    <xf numFmtId="2" fontId="1" fillId="0" borderId="0" xfId="25" applyNumberFormat="1" applyBorder="1" applyAlignment="1">
      <alignment horizontal="center"/>
      <protection/>
    </xf>
    <xf numFmtId="2" fontId="1" fillId="0" borderId="2" xfId="25" applyNumberFormat="1" applyBorder="1" applyAlignment="1">
      <alignment horizontal="center"/>
      <protection/>
    </xf>
    <xf numFmtId="0" fontId="70" fillId="0" borderId="1" xfId="25" applyFont="1" applyBorder="1">
      <alignment/>
      <protection/>
    </xf>
    <xf numFmtId="0" fontId="71" fillId="0" borderId="0" xfId="25" applyFont="1" applyBorder="1" applyAlignment="1">
      <alignment horizontal="center" vertical="center"/>
      <protection/>
    </xf>
    <xf numFmtId="0" fontId="72" fillId="0" borderId="0" xfId="25" applyFont="1">
      <alignment/>
      <protection/>
    </xf>
    <xf numFmtId="0" fontId="1" fillId="0" borderId="6" xfId="25" applyFont="1" applyBorder="1">
      <alignment/>
      <protection/>
    </xf>
    <xf numFmtId="0" fontId="1" fillId="0" borderId="9" xfId="25" applyBorder="1">
      <alignment/>
      <protection/>
    </xf>
    <xf numFmtId="2" fontId="73" fillId="0" borderId="9" xfId="25" applyNumberFormat="1" applyFont="1" applyBorder="1" applyAlignment="1">
      <alignment horizontal="center"/>
      <protection/>
    </xf>
    <xf numFmtId="0" fontId="74" fillId="0" borderId="9" xfId="25" applyFont="1" applyBorder="1">
      <alignment/>
      <protection/>
    </xf>
    <xf numFmtId="0" fontId="1" fillId="0" borderId="7" xfId="25" applyBorder="1">
      <alignment/>
      <protection/>
    </xf>
    <xf numFmtId="0" fontId="1" fillId="0" borderId="2" xfId="25" applyBorder="1">
      <alignment/>
      <protection/>
    </xf>
    <xf numFmtId="0" fontId="70" fillId="0" borderId="15" xfId="25" applyFont="1" applyBorder="1">
      <alignment/>
      <protection/>
    </xf>
    <xf numFmtId="0" fontId="3" fillId="0" borderId="16" xfId="25" applyFont="1" applyBorder="1" applyAlignment="1" applyProtection="1">
      <alignment horizontal="left"/>
      <protection/>
    </xf>
    <xf numFmtId="0" fontId="6" fillId="0" borderId="16" xfId="25" applyFont="1" applyBorder="1">
      <alignment/>
      <protection/>
    </xf>
    <xf numFmtId="0" fontId="3" fillId="0" borderId="16" xfId="25" applyFont="1" applyBorder="1" applyAlignment="1">
      <alignment horizontal="center"/>
      <protection/>
    </xf>
    <xf numFmtId="1" fontId="75" fillId="0" borderId="16" xfId="25" applyNumberFormat="1" applyFont="1" applyBorder="1" applyAlignment="1" applyProtection="1">
      <alignment horizontal="center"/>
      <protection/>
    </xf>
    <xf numFmtId="0" fontId="1" fillId="0" borderId="16" xfId="25" applyBorder="1">
      <alignment/>
      <protection/>
    </xf>
    <xf numFmtId="0" fontId="1" fillId="0" borderId="17" xfId="25" applyBorder="1">
      <alignment/>
      <protection/>
    </xf>
    <xf numFmtId="0" fontId="1" fillId="0" borderId="0" xfId="25" applyAlignment="1">
      <alignment horizontal="center"/>
      <protection/>
    </xf>
    <xf numFmtId="175" fontId="1" fillId="0" borderId="0" xfId="25" applyNumberFormat="1" applyBorder="1" applyAlignment="1">
      <alignment horizontal="center"/>
      <protection/>
    </xf>
    <xf numFmtId="0" fontId="1" fillId="0" borderId="0" xfId="25" applyAlignment="1">
      <alignment horizontal="right"/>
      <protection/>
    </xf>
    <xf numFmtId="0" fontId="65" fillId="0" borderId="1" xfId="25" applyFont="1" applyBorder="1" applyAlignment="1">
      <alignment horizontal="center"/>
      <protection/>
    </xf>
    <xf numFmtId="0" fontId="65" fillId="0" borderId="0" xfId="25" applyFont="1" applyBorder="1" applyAlignment="1">
      <alignment horizontal="center"/>
      <protection/>
    </xf>
    <xf numFmtId="0" fontId="65" fillId="0" borderId="2" xfId="25" applyFont="1" applyBorder="1" applyAlignment="1">
      <alignment horizontal="center"/>
      <protection/>
    </xf>
    <xf numFmtId="0" fontId="16" fillId="0" borderId="0" xfId="25" applyFont="1" applyAlignment="1">
      <alignment horizontal="center"/>
      <protection/>
    </xf>
    <xf numFmtId="0" fontId="51" fillId="0" borderId="0" xfId="25" applyFont="1" applyAlignment="1">
      <alignment horizontal="center"/>
      <protection/>
    </xf>
    <xf numFmtId="0" fontId="54" fillId="0" borderId="0" xfId="25" applyFont="1" applyAlignment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EDN-EDS-ELP-SGE" xfId="22"/>
    <cellStyle name="Normal_F0407NER" xfId="23"/>
    <cellStyle name="Normal_PAFTT Anexo 28" xfId="24"/>
    <cellStyle name="Normal_T0002TBA" xfId="25"/>
    <cellStyle name="Normal_TRANSBA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1057275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1076325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1066800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1028700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28575</xdr:rowOff>
    </xdr:from>
    <xdr:to>
      <xdr:col>0</xdr:col>
      <xdr:colOff>1000125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7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180975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990600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9525</xdr:rowOff>
    </xdr:from>
    <xdr:to>
      <xdr:col>0</xdr:col>
      <xdr:colOff>1076325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9525</xdr:rowOff>
    </xdr:from>
    <xdr:to>
      <xdr:col>0</xdr:col>
      <xdr:colOff>1047750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9525</xdr:rowOff>
    </xdr:from>
    <xdr:to>
      <xdr:col>0</xdr:col>
      <xdr:colOff>990600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66675</xdr:rowOff>
    </xdr:from>
    <xdr:to>
      <xdr:col>0</xdr:col>
      <xdr:colOff>1047750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6667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9525</xdr:rowOff>
    </xdr:from>
    <xdr:to>
      <xdr:col>0</xdr:col>
      <xdr:colOff>1000125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9525</xdr:rowOff>
    </xdr:from>
    <xdr:to>
      <xdr:col>0</xdr:col>
      <xdr:colOff>1047750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1066800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Y\transporte\Transporte\ARCHIVOS.XLS\P-transba\TBASET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\transporte\Transporte\ARCHIVOS.XLS\P-transba\TBASET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  <sheetName val="TBASETB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  <sheetName val="TBASETB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FU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FS18" t="str">
            <v>XXXX</v>
          </cell>
          <cell r="FT18" t="str">
            <v>XXXX</v>
          </cell>
          <cell r="FU18" t="str">
            <v>XXXX</v>
          </cell>
          <cell r="FV18" t="str">
            <v>XXXX</v>
          </cell>
          <cell r="FW18" t="str">
            <v>XXXX</v>
          </cell>
          <cell r="FX18" t="str">
            <v>XXXX</v>
          </cell>
          <cell r="FY18" t="str">
            <v>XXXX</v>
          </cell>
          <cell r="FZ18" t="str">
            <v>XXXX</v>
          </cell>
          <cell r="GA18" t="str">
            <v>XXXX</v>
          </cell>
          <cell r="GB18" t="str">
            <v>XXXX</v>
          </cell>
          <cell r="GC18" t="str">
            <v>XXXX</v>
          </cell>
          <cell r="GD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GD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102.09</v>
          </cell>
          <cell r="H22" t="str">
            <v>C</v>
          </cell>
          <cell r="FW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FV23">
            <v>1</v>
          </cell>
          <cell r="GB23">
            <v>1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  <cell r="FT24">
            <v>2</v>
          </cell>
          <cell r="FU24">
            <v>1</v>
          </cell>
          <cell r="GC24">
            <v>2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FT25">
            <v>1</v>
          </cell>
          <cell r="FZ25">
            <v>1</v>
          </cell>
          <cell r="GB25">
            <v>1</v>
          </cell>
          <cell r="GD25">
            <v>1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  <cell r="FZ27">
            <v>1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FZ28">
            <v>1</v>
          </cell>
          <cell r="GC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FS29" t="str">
            <v>XXXX</v>
          </cell>
          <cell r="FT29" t="str">
            <v>XXXX</v>
          </cell>
          <cell r="FU29" t="str">
            <v>XXXX</v>
          </cell>
          <cell r="FV29" t="str">
            <v>XXXX</v>
          </cell>
          <cell r="FW29" t="str">
            <v>XXXX</v>
          </cell>
          <cell r="FX29" t="str">
            <v>XXXX</v>
          </cell>
          <cell r="FY29" t="str">
            <v>XXXX</v>
          </cell>
          <cell r="FZ29" t="str">
            <v>XXXX</v>
          </cell>
          <cell r="GA29" t="str">
            <v>XXXX</v>
          </cell>
          <cell r="GB29" t="str">
            <v>XXXX</v>
          </cell>
          <cell r="GC29" t="str">
            <v>XXXX</v>
          </cell>
          <cell r="GD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FW32">
            <v>1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FV33">
            <v>1</v>
          </cell>
          <cell r="FW33">
            <v>1</v>
          </cell>
          <cell r="GB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FU34">
            <v>1</v>
          </cell>
          <cell r="GD34">
            <v>1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FS36">
            <v>1</v>
          </cell>
          <cell r="GD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90.23</v>
          </cell>
          <cell r="H37" t="str">
            <v>C</v>
          </cell>
          <cell r="FS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FS38" t="str">
            <v>XXXX</v>
          </cell>
          <cell r="FT38" t="str">
            <v>XXXX</v>
          </cell>
          <cell r="FU38" t="str">
            <v>XXXX</v>
          </cell>
          <cell r="FV38" t="str">
            <v>XXXX</v>
          </cell>
          <cell r="FW38" t="str">
            <v>XXXX</v>
          </cell>
          <cell r="FX38" t="str">
            <v>XXXX</v>
          </cell>
          <cell r="FY38" t="str">
            <v>XXXX</v>
          </cell>
          <cell r="FZ38" t="str">
            <v>XXXX</v>
          </cell>
          <cell r="GA38" t="str">
            <v>XXXX</v>
          </cell>
          <cell r="GB38" t="str">
            <v>XXXX</v>
          </cell>
          <cell r="GC38" t="str">
            <v>XXXX</v>
          </cell>
          <cell r="GD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138.86</v>
          </cell>
          <cell r="H39" t="str">
            <v>A</v>
          </cell>
          <cell r="FS39">
            <v>1</v>
          </cell>
          <cell r="FU39">
            <v>1</v>
          </cell>
          <cell r="FW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40.22</v>
          </cell>
          <cell r="H40" t="str">
            <v>C</v>
          </cell>
          <cell r="FS40">
            <v>2</v>
          </cell>
          <cell r="FZ40">
            <v>1</v>
          </cell>
          <cell r="GA40">
            <v>1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FV43">
            <v>1</v>
          </cell>
          <cell r="GC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FY44">
            <v>1</v>
          </cell>
          <cell r="GB44">
            <v>1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FS47" t="str">
            <v>XXXX</v>
          </cell>
          <cell r="FT47" t="str">
            <v>XXXX</v>
          </cell>
          <cell r="FU47" t="str">
            <v>XXXX</v>
          </cell>
          <cell r="FV47" t="str">
            <v>XXXX</v>
          </cell>
          <cell r="FW47" t="str">
            <v>XXXX</v>
          </cell>
          <cell r="FX47" t="str">
            <v>XXXX</v>
          </cell>
          <cell r="FY47" t="str">
            <v>XXXX</v>
          </cell>
          <cell r="FZ47" t="str">
            <v>XXXX</v>
          </cell>
          <cell r="GA47" t="str">
            <v>XXXX</v>
          </cell>
          <cell r="GB47" t="str">
            <v>XXXX</v>
          </cell>
          <cell r="GC47" t="str">
            <v>XXXX</v>
          </cell>
          <cell r="GD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FY48">
            <v>1</v>
          </cell>
          <cell r="GD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51.51</v>
          </cell>
          <cell r="H50" t="str">
            <v>C</v>
          </cell>
          <cell r="FW50">
            <v>1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38.29</v>
          </cell>
          <cell r="H51" t="str">
            <v>A</v>
          </cell>
          <cell r="FS51" t="str">
            <v>XXXX</v>
          </cell>
          <cell r="FT51" t="str">
            <v>XXXX</v>
          </cell>
          <cell r="FU51" t="str">
            <v>XXXX</v>
          </cell>
          <cell r="FV51" t="str">
            <v>XXXX</v>
          </cell>
          <cell r="FW51" t="str">
            <v>XXXX</v>
          </cell>
          <cell r="FX51" t="str">
            <v>XXXX</v>
          </cell>
          <cell r="FY51" t="str">
            <v>XXXX</v>
          </cell>
          <cell r="FZ51" t="str">
            <v>XXXX</v>
          </cell>
          <cell r="GA51" t="str">
            <v>XXXX</v>
          </cell>
          <cell r="GB51" t="str">
            <v>XXXX</v>
          </cell>
          <cell r="GC51" t="str">
            <v>XXXX</v>
          </cell>
          <cell r="GD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44.56</v>
          </cell>
          <cell r="H52" t="str">
            <v>A</v>
          </cell>
          <cell r="FU52">
            <v>1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FT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39.29</v>
          </cell>
          <cell r="H54" t="str">
            <v>C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103.29</v>
          </cell>
          <cell r="H57" t="str">
            <v>A</v>
          </cell>
          <cell r="GD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FS58">
            <v>2</v>
          </cell>
          <cell r="FT58">
            <v>1</v>
          </cell>
          <cell r="GC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FS59" t="str">
            <v>XXXX</v>
          </cell>
          <cell r="FT59" t="str">
            <v>XXXX</v>
          </cell>
          <cell r="FU59" t="str">
            <v>XXXX</v>
          </cell>
          <cell r="FV59" t="str">
            <v>XXXX</v>
          </cell>
          <cell r="FW59" t="str">
            <v>XXXX</v>
          </cell>
          <cell r="FX59" t="str">
            <v>XXXX</v>
          </cell>
          <cell r="FY59" t="str">
            <v>XXXX</v>
          </cell>
          <cell r="FZ59" t="str">
            <v>XXXX</v>
          </cell>
          <cell r="GA59" t="str">
            <v>XXXX</v>
          </cell>
          <cell r="GB59" t="str">
            <v>XXXX</v>
          </cell>
          <cell r="GC59" t="str">
            <v>XXXX</v>
          </cell>
          <cell r="GD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FS61" t="str">
            <v>XXXX</v>
          </cell>
          <cell r="FT61" t="str">
            <v>XXXX</v>
          </cell>
          <cell r="FU61" t="str">
            <v>XXXX</v>
          </cell>
          <cell r="FV61" t="str">
            <v>XXXX</v>
          </cell>
          <cell r="FW61" t="str">
            <v>XXXX</v>
          </cell>
          <cell r="FX61" t="str">
            <v>XXXX</v>
          </cell>
          <cell r="FY61" t="str">
            <v>XXXX</v>
          </cell>
          <cell r="FZ61" t="str">
            <v>XXXX</v>
          </cell>
          <cell r="GA61" t="str">
            <v>XXXX</v>
          </cell>
          <cell r="GB61" t="str">
            <v>XXXX</v>
          </cell>
          <cell r="GC61" t="str">
            <v>XXXX</v>
          </cell>
          <cell r="GD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GA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FS64" t="str">
            <v>XXXX</v>
          </cell>
          <cell r="FT64" t="str">
            <v>XXXX</v>
          </cell>
          <cell r="FU64" t="str">
            <v>XXXX</v>
          </cell>
          <cell r="FV64" t="str">
            <v>XXXX</v>
          </cell>
          <cell r="FW64" t="str">
            <v>XXXX</v>
          </cell>
          <cell r="FX64" t="str">
            <v>XXXX</v>
          </cell>
          <cell r="FY64" t="str">
            <v>XXXX</v>
          </cell>
          <cell r="FZ64" t="str">
            <v>XXXX</v>
          </cell>
          <cell r="GA64" t="str">
            <v>XXXX</v>
          </cell>
          <cell r="GB64" t="str">
            <v>XXXX</v>
          </cell>
          <cell r="GC64" t="str">
            <v>XXXX</v>
          </cell>
          <cell r="GD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139.9</v>
          </cell>
          <cell r="H65" t="str">
            <v>C</v>
          </cell>
          <cell r="FU65">
            <v>1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  <cell r="FS66" t="str">
            <v>XXXX</v>
          </cell>
          <cell r="FT66" t="str">
            <v>XXXX</v>
          </cell>
          <cell r="FU66" t="str">
            <v>XXXX</v>
          </cell>
          <cell r="FV66" t="str">
            <v>XXXX</v>
          </cell>
          <cell r="FW66" t="str">
            <v>XXXX</v>
          </cell>
          <cell r="FX66" t="str">
            <v>XXXX</v>
          </cell>
          <cell r="FY66" t="str">
            <v>XXXX</v>
          </cell>
          <cell r="FZ66" t="str">
            <v>XXXX</v>
          </cell>
          <cell r="GA66" t="str">
            <v>XXXX</v>
          </cell>
          <cell r="GB66" t="str">
            <v>XXXX</v>
          </cell>
          <cell r="GC66" t="str">
            <v>XXXX</v>
          </cell>
          <cell r="GD66" t="str">
            <v>XXXX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35.59</v>
          </cell>
          <cell r="H68" t="str">
            <v>C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FZ69">
            <v>1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GC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20.28</v>
          </cell>
          <cell r="H77" t="str">
            <v>C</v>
          </cell>
          <cell r="FS77" t="str">
            <v>XXXX</v>
          </cell>
          <cell r="FT77" t="str">
            <v>XXXX</v>
          </cell>
          <cell r="FU77" t="str">
            <v>XXXX</v>
          </cell>
          <cell r="FV77" t="str">
            <v>XXXX</v>
          </cell>
          <cell r="FW77" t="str">
            <v>XXXX</v>
          </cell>
          <cell r="FX77" t="str">
            <v>XXXX</v>
          </cell>
          <cell r="FY77" t="str">
            <v>XXXX</v>
          </cell>
          <cell r="FZ77" t="str">
            <v>XXXX</v>
          </cell>
          <cell r="GA77" t="str">
            <v>XXXX</v>
          </cell>
          <cell r="GB77" t="str">
            <v>XXXX</v>
          </cell>
          <cell r="GC77" t="str">
            <v>XXXX</v>
          </cell>
          <cell r="GD77" t="str">
            <v>XXXX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  <cell r="FZ79">
            <v>1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12.86</v>
          </cell>
          <cell r="H80" t="str">
            <v>C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FV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FS82">
            <v>1</v>
          </cell>
          <cell r="FT82">
            <v>1</v>
          </cell>
          <cell r="FU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  <cell r="FY83">
            <v>1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FS84" t="str">
            <v>XXXX</v>
          </cell>
          <cell r="FT84" t="str">
            <v>XXXX</v>
          </cell>
          <cell r="FU84" t="str">
            <v>XXXX</v>
          </cell>
          <cell r="FV84" t="str">
            <v>XXXX</v>
          </cell>
          <cell r="FW84" t="str">
            <v>XXXX</v>
          </cell>
          <cell r="FX84" t="str">
            <v>XXXX</v>
          </cell>
          <cell r="FY84" t="str">
            <v>XXXX</v>
          </cell>
          <cell r="FZ84" t="str">
            <v>XXXX</v>
          </cell>
          <cell r="GA84" t="str">
            <v>XXXX</v>
          </cell>
          <cell r="GB84" t="str">
            <v>XXXX</v>
          </cell>
          <cell r="GC84" t="str">
            <v>XXXX</v>
          </cell>
          <cell r="GD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  <cell r="FY85">
            <v>1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29.57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FX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FS89" t="str">
            <v>XXXX</v>
          </cell>
          <cell r="FT89" t="str">
            <v>XXXX</v>
          </cell>
          <cell r="FU89" t="str">
            <v>XXXX</v>
          </cell>
          <cell r="FV89" t="str">
            <v>XXXX</v>
          </cell>
          <cell r="FW89" t="str">
            <v>XXXX</v>
          </cell>
          <cell r="FX89" t="str">
            <v>XXXX</v>
          </cell>
          <cell r="FY89" t="str">
            <v>XXXX</v>
          </cell>
          <cell r="FZ89" t="str">
            <v>XXXX</v>
          </cell>
          <cell r="GA89" t="str">
            <v>XXXX</v>
          </cell>
          <cell r="GB89" t="str">
            <v>XXXX</v>
          </cell>
          <cell r="GC89" t="str">
            <v>XXXX</v>
          </cell>
          <cell r="GD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FS90" t="str">
            <v>XXXX</v>
          </cell>
          <cell r="FT90" t="str">
            <v>XXXX</v>
          </cell>
          <cell r="FU90" t="str">
            <v>XXXX</v>
          </cell>
          <cell r="FV90" t="str">
            <v>XXXX</v>
          </cell>
          <cell r="FW90" t="str">
            <v>XXXX</v>
          </cell>
          <cell r="FX90" t="str">
            <v>XXXX</v>
          </cell>
          <cell r="FY90" t="str">
            <v>XXXX</v>
          </cell>
          <cell r="FZ90" t="str">
            <v>XXXX</v>
          </cell>
          <cell r="GA90" t="str">
            <v>XXXX</v>
          </cell>
          <cell r="GB90" t="str">
            <v>XXXX</v>
          </cell>
          <cell r="GC90" t="str">
            <v>XXXX</v>
          </cell>
          <cell r="GD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FS92" t="str">
            <v>XXXX</v>
          </cell>
          <cell r="FT92" t="str">
            <v>XXXX</v>
          </cell>
          <cell r="FU92" t="str">
            <v>XXXX</v>
          </cell>
          <cell r="FV92" t="str">
            <v>XXXX</v>
          </cell>
          <cell r="FW92" t="str">
            <v>XXXX</v>
          </cell>
          <cell r="FX92" t="str">
            <v>XXXX</v>
          </cell>
          <cell r="FY92" t="str">
            <v>XXXX</v>
          </cell>
          <cell r="FZ92" t="str">
            <v>XXXX</v>
          </cell>
          <cell r="GA92" t="str">
            <v>XXXX</v>
          </cell>
          <cell r="GB92" t="str">
            <v>XXXX</v>
          </cell>
          <cell r="GC92" t="str">
            <v>XXXX</v>
          </cell>
          <cell r="GD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23.52</v>
          </cell>
          <cell r="H94" t="str">
            <v>C</v>
          </cell>
          <cell r="FS94" t="str">
            <v>XXXX</v>
          </cell>
          <cell r="FT94" t="str">
            <v>XXXX</v>
          </cell>
          <cell r="FU94" t="str">
            <v>XXXX</v>
          </cell>
          <cell r="FV94" t="str">
            <v>XXXX</v>
          </cell>
          <cell r="FW94" t="str">
            <v>XXXX</v>
          </cell>
          <cell r="FX94" t="str">
            <v>XXXX</v>
          </cell>
          <cell r="FY94" t="str">
            <v>XXXX</v>
          </cell>
          <cell r="FZ94" t="str">
            <v>XXXX</v>
          </cell>
          <cell r="GA94" t="str">
            <v>XXXX</v>
          </cell>
          <cell r="GB94" t="str">
            <v>XXXX</v>
          </cell>
          <cell r="GC94" t="str">
            <v>XXXX</v>
          </cell>
          <cell r="GD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FT96">
            <v>1</v>
          </cell>
          <cell r="FY96">
            <v>1</v>
          </cell>
          <cell r="FZ96">
            <v>1</v>
          </cell>
          <cell r="GD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  <cell r="FY97">
            <v>1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FZ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  <cell r="FU102">
            <v>1</v>
          </cell>
          <cell r="GD102">
            <v>1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FS107" t="str">
            <v>XXXX</v>
          </cell>
          <cell r="FT107" t="str">
            <v>XXXX</v>
          </cell>
          <cell r="FU107" t="str">
            <v>XXXX</v>
          </cell>
          <cell r="FV107" t="str">
            <v>XXXX</v>
          </cell>
          <cell r="FW107" t="str">
            <v>XXXX</v>
          </cell>
          <cell r="FX107" t="str">
            <v>XXXX</v>
          </cell>
          <cell r="FY107" t="str">
            <v>XXXX</v>
          </cell>
          <cell r="FZ107" t="str">
            <v>XXXX</v>
          </cell>
          <cell r="GA107" t="str">
            <v>XXXX</v>
          </cell>
          <cell r="GB107" t="str">
            <v>XXXX</v>
          </cell>
          <cell r="GC107" t="str">
            <v>XXXX</v>
          </cell>
          <cell r="GD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FS108" t="str">
            <v>XXXX</v>
          </cell>
          <cell r="FT108" t="str">
            <v>XXXX</v>
          </cell>
          <cell r="FU108" t="str">
            <v>XXXX</v>
          </cell>
          <cell r="FV108" t="str">
            <v>XXXX</v>
          </cell>
          <cell r="FW108" t="str">
            <v>XXXX</v>
          </cell>
          <cell r="FX108" t="str">
            <v>XXXX</v>
          </cell>
          <cell r="FY108" t="str">
            <v>XXXX</v>
          </cell>
          <cell r="FZ108" t="str">
            <v>XXXX</v>
          </cell>
          <cell r="GA108" t="str">
            <v>XXXX</v>
          </cell>
          <cell r="GB108" t="str">
            <v>XXXX</v>
          </cell>
          <cell r="GC108" t="str">
            <v>XXXX</v>
          </cell>
          <cell r="GD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60.94</v>
          </cell>
          <cell r="H109" t="str">
            <v>C</v>
          </cell>
          <cell r="FS109" t="str">
            <v>XXXX</v>
          </cell>
          <cell r="FT109" t="str">
            <v>XXXX</v>
          </cell>
          <cell r="FU109" t="str">
            <v>XXXX</v>
          </cell>
          <cell r="FV109" t="str">
            <v>XXXX</v>
          </cell>
          <cell r="FW109" t="str">
            <v>XXXX</v>
          </cell>
          <cell r="FX109" t="str">
            <v>XXXX</v>
          </cell>
          <cell r="FY109" t="str">
            <v>XXXX</v>
          </cell>
          <cell r="FZ109" t="str">
            <v>XXXX</v>
          </cell>
          <cell r="GA109" t="str">
            <v>XXXX</v>
          </cell>
          <cell r="GB109" t="str">
            <v>XXXX</v>
          </cell>
          <cell r="GC109" t="str">
            <v>XXXX</v>
          </cell>
          <cell r="GD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FS110" t="str">
            <v>XXXX</v>
          </cell>
          <cell r="FT110" t="str">
            <v>XXXX</v>
          </cell>
          <cell r="FU110" t="str">
            <v>XXXX</v>
          </cell>
          <cell r="FV110" t="str">
            <v>XXXX</v>
          </cell>
          <cell r="FW110" t="str">
            <v>XXXX</v>
          </cell>
          <cell r="FX110" t="str">
            <v>XXXX</v>
          </cell>
          <cell r="FY110" t="str">
            <v>XXXX</v>
          </cell>
          <cell r="FZ110" t="str">
            <v>XXXX</v>
          </cell>
          <cell r="GA110" t="str">
            <v>XXXX</v>
          </cell>
          <cell r="GB110" t="str">
            <v>XXXX</v>
          </cell>
          <cell r="GC110" t="str">
            <v>XXXX</v>
          </cell>
          <cell r="GD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FV111">
            <v>1</v>
          </cell>
          <cell r="GA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FU112">
            <v>1</v>
          </cell>
          <cell r="FV112">
            <v>1</v>
          </cell>
          <cell r="FW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FW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FX114">
            <v>1</v>
          </cell>
          <cell r="FY114">
            <v>1</v>
          </cell>
          <cell r="GC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FW115">
            <v>1</v>
          </cell>
          <cell r="FX115">
            <v>1</v>
          </cell>
          <cell r="FY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FS118" t="str">
            <v>XXXX</v>
          </cell>
          <cell r="FT118" t="str">
            <v>XXXX</v>
          </cell>
          <cell r="FU118" t="str">
            <v>XXXX</v>
          </cell>
          <cell r="FV118" t="str">
            <v>XXXX</v>
          </cell>
          <cell r="FW118" t="str">
            <v>XXXX</v>
          </cell>
          <cell r="FX118" t="str">
            <v>XXXX</v>
          </cell>
          <cell r="FY118" t="str">
            <v>XXXX</v>
          </cell>
          <cell r="FZ118" t="str">
            <v>XXXX</v>
          </cell>
          <cell r="GA118" t="str">
            <v>XXXX</v>
          </cell>
          <cell r="GB118" t="str">
            <v>XXXX</v>
          </cell>
          <cell r="GC118" t="str">
            <v>XXXX</v>
          </cell>
          <cell r="GD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GA121">
            <v>1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  <cell r="FY125">
            <v>1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FS127" t="str">
            <v>XXXX</v>
          </cell>
          <cell r="FT127" t="str">
            <v>XXXX</v>
          </cell>
          <cell r="FU127" t="str">
            <v>XXXX</v>
          </cell>
          <cell r="FV127" t="str">
            <v>XXXX</v>
          </cell>
          <cell r="FW127" t="str">
            <v>XXXX</v>
          </cell>
          <cell r="FX127" t="str">
            <v>XXXX</v>
          </cell>
          <cell r="FY127" t="str">
            <v>XXXX</v>
          </cell>
          <cell r="FZ127" t="str">
            <v>XXXX</v>
          </cell>
          <cell r="GA127" t="str">
            <v>XXXX</v>
          </cell>
          <cell r="GB127" t="str">
            <v>XXXX</v>
          </cell>
          <cell r="GC127" t="str">
            <v>XXXX</v>
          </cell>
          <cell r="GD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GB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FW132">
            <v>1</v>
          </cell>
          <cell r="GC132">
            <v>1</v>
          </cell>
          <cell r="GD132">
            <v>1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73.43</v>
          </cell>
          <cell r="H133" t="str">
            <v>C</v>
          </cell>
          <cell r="FW133">
            <v>1</v>
          </cell>
          <cell r="GA133">
            <v>1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89.14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C142">
            <v>126</v>
          </cell>
          <cell r="D142">
            <v>4830</v>
          </cell>
          <cell r="E142" t="str">
            <v>LOS CHAÑARES - PTQ. BAHIA BLANCA</v>
          </cell>
          <cell r="F142">
            <v>132</v>
          </cell>
          <cell r="G142">
            <v>15.701</v>
          </cell>
          <cell r="H142" t="str">
            <v>C</v>
          </cell>
          <cell r="GA142">
            <v>1</v>
          </cell>
          <cell r="GB142">
            <v>1</v>
          </cell>
        </row>
        <row r="143">
          <cell r="C143">
            <v>127</v>
          </cell>
          <cell r="D143">
            <v>4831</v>
          </cell>
          <cell r="E143" t="str">
            <v>NORTE II - LOS CHAÑARES</v>
          </cell>
          <cell r="F143">
            <v>132</v>
          </cell>
          <cell r="G143">
            <v>15.725</v>
          </cell>
          <cell r="H143" t="str">
            <v>C</v>
          </cell>
        </row>
        <row r="144">
          <cell r="C144">
            <v>128</v>
          </cell>
          <cell r="D144">
            <v>4701</v>
          </cell>
          <cell r="E144" t="str">
            <v>CHACABUCO - CHACABUCO IND.</v>
          </cell>
          <cell r="F144">
            <v>132</v>
          </cell>
          <cell r="G144">
            <v>15.9</v>
          </cell>
          <cell r="H144" t="str">
            <v>C</v>
          </cell>
          <cell r="GC144">
            <v>1</v>
          </cell>
        </row>
        <row r="145">
          <cell r="C145">
            <v>129</v>
          </cell>
          <cell r="D145">
            <v>4702</v>
          </cell>
          <cell r="E145" t="str">
            <v>CHACABUCO IND. - SALTO BA</v>
          </cell>
          <cell r="F145">
            <v>132</v>
          </cell>
          <cell r="G145">
            <v>48.6</v>
          </cell>
          <cell r="H145" t="str">
            <v>C</v>
          </cell>
        </row>
        <row r="146">
          <cell r="C146">
            <v>130</v>
          </cell>
          <cell r="D146">
            <v>4935</v>
          </cell>
          <cell r="E146" t="str">
            <v>LAS PALMAS - SAN PEDRO</v>
          </cell>
          <cell r="F146">
            <v>132</v>
          </cell>
          <cell r="G146">
            <v>67.3</v>
          </cell>
          <cell r="H146" t="str">
            <v>C</v>
          </cell>
          <cell r="FW146">
            <v>1</v>
          </cell>
          <cell r="GA146">
            <v>1</v>
          </cell>
          <cell r="GC146">
            <v>1</v>
          </cell>
        </row>
        <row r="147">
          <cell r="C147">
            <v>131</v>
          </cell>
          <cell r="D147">
            <v>4933</v>
          </cell>
          <cell r="E147" t="str">
            <v>ZARATE - LAS PALMAS</v>
          </cell>
          <cell r="F147">
            <v>132</v>
          </cell>
          <cell r="G147">
            <v>8.7</v>
          </cell>
          <cell r="H147" t="str">
            <v>C</v>
          </cell>
        </row>
        <row r="148">
          <cell r="C148">
            <v>132</v>
          </cell>
          <cell r="E148" t="str">
            <v>LAS PALMAS - PROTISA</v>
          </cell>
          <cell r="F148">
            <v>132</v>
          </cell>
          <cell r="G148">
            <v>4.4</v>
          </cell>
          <cell r="H148" t="str">
            <v>C</v>
          </cell>
        </row>
        <row r="149">
          <cell r="C149">
            <v>133</v>
          </cell>
          <cell r="D149">
            <v>4671</v>
          </cell>
          <cell r="E149" t="str">
            <v>PERGAMINO - COLON</v>
          </cell>
          <cell r="F149">
            <v>132</v>
          </cell>
          <cell r="G149">
            <v>52.7</v>
          </cell>
          <cell r="H149" t="str">
            <v>C</v>
          </cell>
          <cell r="GA149">
            <v>1</v>
          </cell>
        </row>
        <row r="150">
          <cell r="C150">
            <v>134</v>
          </cell>
          <cell r="D150">
            <v>1434</v>
          </cell>
          <cell r="E150" t="str">
            <v>9 DE JULIO 66 - BRAGADO</v>
          </cell>
          <cell r="F150">
            <v>66</v>
          </cell>
          <cell r="G150">
            <v>60.94</v>
          </cell>
          <cell r="H150" t="str">
            <v>C</v>
          </cell>
          <cell r="FX150">
            <v>1</v>
          </cell>
        </row>
        <row r="151">
          <cell r="C151">
            <v>135</v>
          </cell>
          <cell r="D151">
            <v>4715</v>
          </cell>
          <cell r="E151" t="str">
            <v>LUJAN GBA - LUJAN II GBA</v>
          </cell>
          <cell r="F151">
            <v>132</v>
          </cell>
          <cell r="G151">
            <v>9.02</v>
          </cell>
          <cell r="H151" t="str">
            <v>C</v>
          </cell>
        </row>
        <row r="152">
          <cell r="C152">
            <v>136</v>
          </cell>
          <cell r="D152">
            <v>4716</v>
          </cell>
          <cell r="E152" t="str">
            <v>LUJAN  II - MALV.1- CATONAS 1 - MORON 1</v>
          </cell>
          <cell r="F152">
            <v>132</v>
          </cell>
          <cell r="G152">
            <v>38.29</v>
          </cell>
          <cell r="H152" t="str">
            <v>A</v>
          </cell>
        </row>
        <row r="153">
          <cell r="C153">
            <v>137</v>
          </cell>
          <cell r="D153">
            <v>4888</v>
          </cell>
          <cell r="E153" t="str">
            <v>ZARATE -CAMPANA III</v>
          </cell>
          <cell r="F153">
            <v>132</v>
          </cell>
          <cell r="G153">
            <v>16.8</v>
          </cell>
          <cell r="H153" t="str">
            <v>C</v>
          </cell>
          <cell r="FS153">
            <v>1</v>
          </cell>
        </row>
        <row r="154">
          <cell r="C154">
            <v>138</v>
          </cell>
          <cell r="D154">
            <v>4889</v>
          </cell>
          <cell r="E154" t="str">
            <v>CAMPANBA III - MATHEU</v>
          </cell>
          <cell r="F154">
            <v>132</v>
          </cell>
          <cell r="G154">
            <v>24.7</v>
          </cell>
          <cell r="H154" t="str">
            <v>C</v>
          </cell>
        </row>
        <row r="155">
          <cell r="C155">
            <v>139</v>
          </cell>
          <cell r="D155">
            <v>4914</v>
          </cell>
          <cell r="E155" t="str">
            <v>RAMALLO - SIDERAR</v>
          </cell>
          <cell r="F155">
            <v>132</v>
          </cell>
          <cell r="G155">
            <v>6.75</v>
          </cell>
          <cell r="H155" t="str">
            <v>C</v>
          </cell>
        </row>
        <row r="156">
          <cell r="C156">
            <v>140</v>
          </cell>
          <cell r="D156">
            <v>4915</v>
          </cell>
          <cell r="E156" t="str">
            <v>SIDERAR - SAN NICOLÁS</v>
          </cell>
          <cell r="F156">
            <v>132</v>
          </cell>
          <cell r="G156">
            <v>1.31</v>
          </cell>
          <cell r="H156" t="str">
            <v>C</v>
          </cell>
        </row>
        <row r="157">
          <cell r="C157">
            <v>141</v>
          </cell>
          <cell r="E157" t="str">
            <v>RAMALLO IND - RAMALLO</v>
          </cell>
          <cell r="F157">
            <v>132</v>
          </cell>
          <cell r="G157">
            <v>17.66</v>
          </cell>
          <cell r="H157" t="str">
            <v>C</v>
          </cell>
        </row>
        <row r="158">
          <cell r="C158">
            <v>142</v>
          </cell>
          <cell r="D158">
            <v>4964</v>
          </cell>
          <cell r="E158" t="str">
            <v>PINAMAR - VALERIA DEL MAR</v>
          </cell>
          <cell r="F158">
            <v>132</v>
          </cell>
          <cell r="G158">
            <v>6</v>
          </cell>
          <cell r="H158" t="str">
            <v>C</v>
          </cell>
        </row>
        <row r="159">
          <cell r="C159">
            <v>143</v>
          </cell>
          <cell r="D159">
            <v>4965</v>
          </cell>
          <cell r="E159" t="str">
            <v>VALERIA DEL MAR - VILLA GESELL</v>
          </cell>
          <cell r="F159">
            <v>132</v>
          </cell>
          <cell r="G159">
            <v>14.28</v>
          </cell>
          <cell r="H159" t="str">
            <v>C</v>
          </cell>
        </row>
        <row r="164">
          <cell r="FS164">
            <v>1.23</v>
          </cell>
          <cell r="FT164">
            <v>1.36</v>
          </cell>
          <cell r="FU164">
            <v>1.41</v>
          </cell>
          <cell r="FV164">
            <v>1.5</v>
          </cell>
          <cell r="FW164">
            <v>1.49</v>
          </cell>
          <cell r="FX164">
            <v>1.57</v>
          </cell>
          <cell r="FY164">
            <v>1.59</v>
          </cell>
          <cell r="FZ164">
            <v>1.67</v>
          </cell>
          <cell r="GA164">
            <v>1.68</v>
          </cell>
          <cell r="GB164">
            <v>1.64</v>
          </cell>
          <cell r="GC164">
            <v>1.47</v>
          </cell>
          <cell r="GD164">
            <v>1.59</v>
          </cell>
          <cell r="GE164">
            <v>1.57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Transporte/Transporte/AA%20PROCESO%20AUT/EXCEL/DISTROCUYO/FABIAN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3"/>
  <sheetViews>
    <sheetView tabSelected="1" zoomScale="70" zoomScaleNormal="70" workbookViewId="0" topLeftCell="A1">
      <selection activeCell="C32" sqref="C32"/>
    </sheetView>
  </sheetViews>
  <sheetFormatPr defaultColWidth="11.421875" defaultRowHeight="12.75"/>
  <cols>
    <col min="1" max="1" width="25.7109375" style="350" customWidth="1"/>
    <col min="2" max="2" width="7.7109375" style="350" customWidth="1"/>
    <col min="3" max="3" width="10.8515625" style="350" customWidth="1"/>
    <col min="4" max="4" width="6.7109375" style="350" customWidth="1"/>
    <col min="5" max="5" width="17.8515625" style="350" customWidth="1"/>
    <col min="6" max="7" width="16.7109375" style="350" customWidth="1"/>
    <col min="8" max="8" width="6.28125" style="350" customWidth="1"/>
    <col min="9" max="9" width="19.8515625" style="350" customWidth="1"/>
    <col min="10" max="10" width="14.28125" style="350" customWidth="1"/>
    <col min="11" max="11" width="15.7109375" style="350" customWidth="1"/>
    <col min="12" max="16384" width="11.421875" style="350" customWidth="1"/>
  </cols>
  <sheetData>
    <row r="1" spans="2:11" s="345" customFormat="1" ht="26.25">
      <c r="B1" s="346"/>
      <c r="K1" s="347"/>
    </row>
    <row r="2" spans="2:10" s="345" customFormat="1" ht="26.25">
      <c r="B2" s="346" t="s">
        <v>315</v>
      </c>
      <c r="C2" s="348"/>
      <c r="D2" s="349"/>
      <c r="E2" s="349"/>
      <c r="F2" s="349"/>
      <c r="G2" s="349"/>
      <c r="H2" s="349"/>
      <c r="I2" s="349"/>
      <c r="J2" s="349"/>
    </row>
    <row r="3" spans="3:10" ht="12.75">
      <c r="C3" s="351"/>
      <c r="D3" s="352"/>
      <c r="E3" s="352"/>
      <c r="F3" s="352"/>
      <c r="G3" s="352"/>
      <c r="H3" s="352"/>
      <c r="I3" s="352"/>
      <c r="J3" s="352"/>
    </row>
    <row r="4" spans="1:11" s="355" customFormat="1" ht="11.25">
      <c r="A4" s="353" t="s">
        <v>3</v>
      </c>
      <c r="B4" s="354"/>
      <c r="D4" s="356"/>
      <c r="E4" s="356"/>
      <c r="F4" s="356"/>
      <c r="G4" s="356"/>
      <c r="H4" s="356"/>
      <c r="I4" s="356"/>
      <c r="J4" s="356"/>
      <c r="K4" s="356"/>
    </row>
    <row r="5" spans="1:11" s="355" customFormat="1" ht="11.25">
      <c r="A5" s="353" t="s">
        <v>4</v>
      </c>
      <c r="B5" s="354"/>
      <c r="D5" s="356"/>
      <c r="E5" s="356"/>
      <c r="F5" s="356"/>
      <c r="G5" s="356"/>
      <c r="H5" s="356"/>
      <c r="I5" s="356"/>
      <c r="J5" s="356"/>
      <c r="K5" s="356"/>
    </row>
    <row r="6" spans="2:11" s="345" customFormat="1" ht="11.25" customHeight="1">
      <c r="B6" s="357"/>
      <c r="D6" s="358"/>
      <c r="E6" s="358"/>
      <c r="F6" s="358"/>
      <c r="G6" s="358"/>
      <c r="H6" s="358"/>
      <c r="I6" s="358"/>
      <c r="J6" s="358"/>
      <c r="K6" s="358"/>
    </row>
    <row r="7" spans="2:11" s="359" customFormat="1" ht="21">
      <c r="B7" s="360" t="s">
        <v>67</v>
      </c>
      <c r="C7" s="361"/>
      <c r="D7" s="362"/>
      <c r="E7" s="362"/>
      <c r="F7" s="362"/>
      <c r="G7" s="363"/>
      <c r="H7" s="363"/>
      <c r="I7" s="363"/>
      <c r="J7" s="363"/>
      <c r="K7" s="364"/>
    </row>
    <row r="8" spans="9:11" ht="12.75">
      <c r="I8" s="365"/>
      <c r="J8" s="365"/>
      <c r="K8" s="365"/>
    </row>
    <row r="9" spans="2:11" s="359" customFormat="1" ht="21">
      <c r="B9" s="360" t="s">
        <v>0</v>
      </c>
      <c r="C9" s="361"/>
      <c r="D9" s="362"/>
      <c r="E9" s="362"/>
      <c r="F9" s="362"/>
      <c r="G9" s="362"/>
      <c r="H9" s="362"/>
      <c r="I9" s="363"/>
      <c r="J9" s="363"/>
      <c r="K9" s="364"/>
    </row>
    <row r="10" spans="4:11" ht="12.75">
      <c r="D10" s="366"/>
      <c r="E10" s="366"/>
      <c r="F10" s="366"/>
      <c r="I10" s="365"/>
      <c r="J10" s="365"/>
      <c r="K10" s="365"/>
    </row>
    <row r="11" spans="2:11" s="359" customFormat="1" ht="20.25">
      <c r="B11" s="360" t="s">
        <v>316</v>
      </c>
      <c r="C11" s="367"/>
      <c r="D11" s="367"/>
      <c r="E11" s="367"/>
      <c r="F11" s="367"/>
      <c r="G11" s="362"/>
      <c r="H11" s="362"/>
      <c r="I11" s="363"/>
      <c r="J11" s="363"/>
      <c r="K11" s="364"/>
    </row>
    <row r="12" spans="4:11" s="368" customFormat="1" ht="16.5" thickBot="1">
      <c r="D12" s="369"/>
      <c r="E12" s="369"/>
      <c r="F12" s="369"/>
      <c r="I12" s="370"/>
      <c r="J12" s="370"/>
      <c r="K12" s="370"/>
    </row>
    <row r="13" spans="2:11" s="368" customFormat="1" ht="16.5" thickTop="1">
      <c r="B13" s="371">
        <v>1</v>
      </c>
      <c r="C13" s="372" t="b">
        <v>0</v>
      </c>
      <c r="D13" s="373"/>
      <c r="E13" s="373"/>
      <c r="F13" s="373"/>
      <c r="G13" s="373"/>
      <c r="H13" s="373"/>
      <c r="I13" s="373"/>
      <c r="J13" s="374"/>
      <c r="K13" s="370"/>
    </row>
    <row r="14" spans="2:11" s="375" customFormat="1" ht="19.5">
      <c r="B14" s="376" t="s">
        <v>140</v>
      </c>
      <c r="C14" s="377"/>
      <c r="D14" s="378"/>
      <c r="E14" s="379"/>
      <c r="F14" s="379"/>
      <c r="G14" s="379"/>
      <c r="H14" s="379"/>
      <c r="I14" s="380"/>
      <c r="J14" s="381"/>
      <c r="K14" s="382"/>
    </row>
    <row r="15" spans="2:11" s="375" customFormat="1" ht="19.5" hidden="1">
      <c r="B15" s="383"/>
      <c r="C15" s="384"/>
      <c r="D15" s="384"/>
      <c r="E15" s="382"/>
      <c r="F15" s="382"/>
      <c r="G15" s="385"/>
      <c r="H15" s="385"/>
      <c r="I15" s="382"/>
      <c r="J15" s="386"/>
      <c r="K15" s="382"/>
    </row>
    <row r="16" spans="2:11" s="375" customFormat="1" ht="19.5" hidden="1">
      <c r="B16" s="376" t="s">
        <v>68</v>
      </c>
      <c r="C16" s="387"/>
      <c r="D16" s="387"/>
      <c r="E16" s="380"/>
      <c r="F16" s="379"/>
      <c r="G16" s="379"/>
      <c r="H16" s="380"/>
      <c r="I16" s="388"/>
      <c r="J16" s="381"/>
      <c r="K16" s="382"/>
    </row>
    <row r="17" spans="2:11" s="375" customFormat="1" ht="19.5">
      <c r="B17" s="383"/>
      <c r="C17" s="384"/>
      <c r="D17" s="384"/>
      <c r="E17" s="382"/>
      <c r="F17" s="385"/>
      <c r="G17" s="385"/>
      <c r="H17" s="382"/>
      <c r="I17" s="351"/>
      <c r="J17" s="386"/>
      <c r="K17" s="382"/>
    </row>
    <row r="18" spans="2:11" s="375" customFormat="1" ht="19.5">
      <c r="B18" s="383"/>
      <c r="C18" s="389" t="s">
        <v>69</v>
      </c>
      <c r="D18" s="390" t="s">
        <v>1</v>
      </c>
      <c r="E18" s="382"/>
      <c r="F18" s="382"/>
      <c r="G18" s="385"/>
      <c r="I18" s="409">
        <f>'LI-09 (3)'!AC42</f>
        <v>41809.03</v>
      </c>
      <c r="J18" s="386"/>
      <c r="K18" s="382"/>
    </row>
    <row r="19" spans="2:11" ht="18.75">
      <c r="B19" s="391"/>
      <c r="C19" s="392"/>
      <c r="D19" s="393"/>
      <c r="E19" s="365"/>
      <c r="F19" s="365"/>
      <c r="G19" s="394"/>
      <c r="H19" s="394"/>
      <c r="I19" s="409"/>
      <c r="J19" s="395"/>
      <c r="K19" s="365"/>
    </row>
    <row r="20" spans="2:11" s="375" customFormat="1" ht="19.5">
      <c r="B20" s="383"/>
      <c r="C20" s="389" t="s">
        <v>70</v>
      </c>
      <c r="D20" s="390" t="s">
        <v>71</v>
      </c>
      <c r="E20" s="382"/>
      <c r="F20" s="382"/>
      <c r="G20" s="385"/>
      <c r="H20" s="385"/>
      <c r="I20" s="409"/>
      <c r="J20" s="386"/>
      <c r="K20" s="382"/>
    </row>
    <row r="21" spans="2:11" ht="10.5" customHeight="1">
      <c r="B21" s="391"/>
      <c r="C21" s="392"/>
      <c r="D21" s="392"/>
      <c r="E21" s="365"/>
      <c r="F21" s="365"/>
      <c r="G21" s="394"/>
      <c r="H21" s="394"/>
      <c r="I21" s="409"/>
      <c r="J21" s="395"/>
      <c r="K21" s="365"/>
    </row>
    <row r="22" spans="2:11" s="375" customFormat="1" ht="19.5">
      <c r="B22" s="383"/>
      <c r="C22" s="389"/>
      <c r="D22" s="389" t="s">
        <v>72</v>
      </c>
      <c r="E22" s="396" t="s">
        <v>73</v>
      </c>
      <c r="F22" s="396"/>
      <c r="G22" s="385"/>
      <c r="I22" s="409">
        <f>'T-09 (4)'!AC43</f>
        <v>13106.02</v>
      </c>
      <c r="J22" s="386"/>
      <c r="K22" s="382"/>
    </row>
    <row r="23" spans="2:11" ht="11.25" customHeight="1">
      <c r="B23" s="391"/>
      <c r="C23" s="392"/>
      <c r="D23" s="392"/>
      <c r="E23" s="365"/>
      <c r="F23" s="365"/>
      <c r="G23" s="394"/>
      <c r="H23" s="394"/>
      <c r="I23" s="409"/>
      <c r="J23" s="395"/>
      <c r="K23" s="365"/>
    </row>
    <row r="24" spans="2:11" s="375" customFormat="1" ht="19.5">
      <c r="B24" s="383"/>
      <c r="C24" s="389"/>
      <c r="D24" s="389" t="s">
        <v>74</v>
      </c>
      <c r="E24" s="396" t="s">
        <v>75</v>
      </c>
      <c r="F24" s="396"/>
      <c r="G24" s="385"/>
      <c r="H24" s="385"/>
      <c r="I24" s="409">
        <f>'SA-09 (5)'!V43</f>
        <v>22405.75</v>
      </c>
      <c r="J24" s="386"/>
      <c r="K24" s="382"/>
    </row>
    <row r="25" spans="2:11" s="375" customFormat="1" ht="19.5">
      <c r="B25" s="383"/>
      <c r="C25" s="389"/>
      <c r="D25" s="389"/>
      <c r="E25" s="396"/>
      <c r="F25" s="396"/>
      <c r="G25" s="385"/>
      <c r="H25" s="385"/>
      <c r="I25" s="409"/>
      <c r="J25" s="386"/>
      <c r="K25" s="382"/>
    </row>
    <row r="26" spans="2:11" s="375" customFormat="1" ht="19.5">
      <c r="B26" s="383"/>
      <c r="C26" s="389" t="s">
        <v>80</v>
      </c>
      <c r="D26" s="390" t="s">
        <v>305</v>
      </c>
      <c r="E26" s="396"/>
      <c r="F26" s="396"/>
      <c r="G26" s="385"/>
      <c r="H26" s="385"/>
      <c r="I26" s="409"/>
      <c r="J26" s="386"/>
      <c r="K26" s="382"/>
    </row>
    <row r="27" spans="2:11" s="375" customFormat="1" ht="11.25" customHeight="1">
      <c r="B27" s="383"/>
      <c r="C27" s="384"/>
      <c r="D27" s="384"/>
      <c r="E27" s="396"/>
      <c r="F27" s="396"/>
      <c r="G27" s="385"/>
      <c r="H27" s="385"/>
      <c r="I27" s="409"/>
      <c r="J27" s="386"/>
      <c r="K27" s="382"/>
    </row>
    <row r="28" spans="2:11" s="375" customFormat="1" ht="19.5">
      <c r="B28" s="383"/>
      <c r="D28" s="389" t="s">
        <v>304</v>
      </c>
      <c r="E28" s="390" t="s">
        <v>81</v>
      </c>
      <c r="F28" s="382"/>
      <c r="G28" s="385"/>
      <c r="H28" s="385"/>
      <c r="I28" s="409">
        <f>'RE-09 (1)'!AD43</f>
        <v>117.62</v>
      </c>
      <c r="J28" s="386"/>
      <c r="K28" s="382"/>
    </row>
    <row r="29" spans="2:11" s="375" customFormat="1" ht="20.25" thickBot="1">
      <c r="B29" s="383"/>
      <c r="C29" s="384"/>
      <c r="D29" s="384"/>
      <c r="E29" s="382"/>
      <c r="F29" s="382"/>
      <c r="G29" s="385"/>
      <c r="H29" s="385"/>
      <c r="I29" s="382"/>
      <c r="J29" s="386"/>
      <c r="K29" s="382"/>
    </row>
    <row r="30" spans="2:11" s="375" customFormat="1" ht="20.25" thickBot="1" thickTop="1">
      <c r="B30" s="383"/>
      <c r="C30" s="389"/>
      <c r="D30" s="389"/>
      <c r="E30" s="351"/>
      <c r="F30" s="397" t="s">
        <v>76</v>
      </c>
      <c r="G30" s="398">
        <f>ROUND(SUM(I18:I28),2)</f>
        <v>77438.42</v>
      </c>
      <c r="H30" s="351"/>
      <c r="J30" s="386"/>
      <c r="K30" s="382"/>
    </row>
    <row r="31" spans="2:11" s="375" customFormat="1" ht="9" customHeight="1" thickTop="1">
      <c r="B31" s="383"/>
      <c r="C31" s="389"/>
      <c r="D31" s="389"/>
      <c r="E31" s="351"/>
      <c r="F31" s="399"/>
      <c r="G31" s="400"/>
      <c r="H31" s="351"/>
      <c r="J31" s="386"/>
      <c r="K31" s="382"/>
    </row>
    <row r="32" spans="2:11" s="375" customFormat="1" ht="18.75">
      <c r="B32" s="383"/>
      <c r="C32" s="401" t="s">
        <v>317</v>
      </c>
      <c r="D32" s="389"/>
      <c r="E32" s="351"/>
      <c r="F32" s="399"/>
      <c r="G32" s="400"/>
      <c r="H32" s="351"/>
      <c r="J32" s="386"/>
      <c r="K32" s="382"/>
    </row>
    <row r="33" spans="2:11" s="368" customFormat="1" ht="9" customHeight="1" thickBot="1">
      <c r="B33" s="402"/>
      <c r="C33" s="403"/>
      <c r="D33" s="403"/>
      <c r="E33" s="403"/>
      <c r="F33" s="403"/>
      <c r="G33" s="403"/>
      <c r="H33" s="403"/>
      <c r="I33" s="403"/>
      <c r="J33" s="404"/>
      <c r="K33" s="370"/>
    </row>
    <row r="34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4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4">
    <pageSetUpPr fitToPage="1"/>
  </sheetPr>
  <dimension ref="A1:W44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'TOT-0912'!B2</f>
        <v>ANEXO IV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'TOT-0912'!B14</f>
        <v>Desde el 01 al 30 de septiembre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18.46</v>
      </c>
      <c r="H14" s="266">
        <f>60*'TOT-0912'!B13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9.23</v>
      </c>
      <c r="H15" s="266">
        <f>50*'TOT-0912'!B13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6.921</v>
      </c>
      <c r="H16" s="270">
        <f>50*'TOT-0912'!B13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6.921</v>
      </c>
      <c r="H17" s="275">
        <f>40*'TOT-0912'!B13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36">
        <v>3</v>
      </c>
      <c r="D18" s="436">
        <v>4</v>
      </c>
      <c r="E18" s="436">
        <v>5</v>
      </c>
      <c r="F18" s="436">
        <v>6</v>
      </c>
      <c r="G18" s="436">
        <v>7</v>
      </c>
      <c r="H18" s="436">
        <v>8</v>
      </c>
      <c r="I18" s="436">
        <v>9</v>
      </c>
      <c r="J18" s="436">
        <v>10</v>
      </c>
      <c r="K18" s="436">
        <v>11</v>
      </c>
      <c r="L18" s="436">
        <v>12</v>
      </c>
      <c r="M18" s="436">
        <v>13</v>
      </c>
      <c r="N18" s="436">
        <v>14</v>
      </c>
      <c r="O18" s="436">
        <v>15</v>
      </c>
      <c r="P18" s="436">
        <v>16</v>
      </c>
      <c r="Q18" s="436">
        <v>17</v>
      </c>
      <c r="R18" s="436">
        <v>18</v>
      </c>
      <c r="S18" s="436">
        <v>19</v>
      </c>
      <c r="T18" s="436">
        <v>20</v>
      </c>
      <c r="U18" s="436">
        <v>21</v>
      </c>
      <c r="V18" s="436">
        <v>22</v>
      </c>
      <c r="W18" s="14"/>
    </row>
    <row r="19" spans="2:23" s="276" customFormat="1" ht="34.5" customHeight="1" thickBot="1" thickTop="1">
      <c r="B19" s="277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66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20"/>
      <c r="E20" s="420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>
        <f>'SA-09 (1)'!V37</f>
        <v>4673.11</v>
      </c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48"/>
      <c r="K21" s="449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>
        <v>140</v>
      </c>
      <c r="D22" s="208">
        <v>251552</v>
      </c>
      <c r="E22" s="208">
        <v>3612</v>
      </c>
      <c r="F22" s="292" t="s">
        <v>215</v>
      </c>
      <c r="G22" s="292" t="s">
        <v>225</v>
      </c>
      <c r="H22" s="303">
        <v>13.199999809265137</v>
      </c>
      <c r="I22" s="294">
        <f aca="true" t="shared" si="0" ref="I22:I38">IF(H22=220,$G$14,IF(AND(H22&lt;=132,H22&gt;=66),$G$15,IF(AND(H22&lt;66,H22&gt;=33),$G$16,$G$17)))</f>
        <v>6.921</v>
      </c>
      <c r="J22" s="448">
        <v>41159.37986111111</v>
      </c>
      <c r="K22" s="449">
        <v>41159.64027777778</v>
      </c>
      <c r="L22" s="224">
        <f aca="true" t="shared" si="1" ref="L22:L38">IF(F22="","",(K22-J22)*24)</f>
        <v>6.249999999941792</v>
      </c>
      <c r="M22" s="295">
        <f aca="true" t="shared" si="2" ref="M22:M38">IF(F22="","",ROUND((K22-J22)*24*60,0))</f>
        <v>375</v>
      </c>
      <c r="N22" s="226" t="s">
        <v>143</v>
      </c>
      <c r="O22" s="442" t="str">
        <f aca="true" t="shared" si="3" ref="O22:O38">IF(F22="","",IF(OR(N22="P",N22="RP"),"--","NO"))</f>
        <v>--</v>
      </c>
      <c r="P22" s="296">
        <f aca="true" t="shared" si="4" ref="P22:P38">IF(H22=220,$H$14,IF(AND(H22&lt;=132,H22&gt;=66),$H$15,IF(AND(H22&lt;66,H22&gt;13.2),$H$16,$H$17)))</f>
        <v>40</v>
      </c>
      <c r="Q22" s="297">
        <f aca="true" t="shared" si="5" ref="Q22:Q38">IF(N22="P",I22*P22*ROUND(M22/60,2)*0.1,"--")</f>
        <v>173.02500000000003</v>
      </c>
      <c r="R22" s="298" t="str">
        <f aca="true" t="shared" si="6" ref="R22:R38">IF(AND(N22="F",O22="NO"),I22*P22,"--")</f>
        <v>--</v>
      </c>
      <c r="S22" s="299" t="str">
        <f aca="true" t="shared" si="7" ref="S22:S38">IF(N22="F",I22*P22*ROUND(M22/60,2),"--")</f>
        <v>--</v>
      </c>
      <c r="T22" s="300" t="str">
        <f aca="true" t="shared" si="8" ref="T22:T38">IF(N22="RF",I22*P22*ROUND(M22/60,2),"--")</f>
        <v>--</v>
      </c>
      <c r="U22" s="443" t="s">
        <v>144</v>
      </c>
      <c r="V22" s="304">
        <f aca="true" t="shared" si="9" ref="V22:V38">IF(F22="","",SUM(Q22:T22)*IF(U22="SI",1,2)*IF(H22="500/220",0,1))</f>
        <v>173.02500000000003</v>
      </c>
      <c r="W22" s="237"/>
    </row>
    <row r="23" spans="2:23" s="1" customFormat="1" ht="16.5" customHeight="1">
      <c r="B23" s="13"/>
      <c r="C23" s="209">
        <v>141</v>
      </c>
      <c r="D23" s="208">
        <v>251555</v>
      </c>
      <c r="E23" s="208">
        <v>2378</v>
      </c>
      <c r="F23" s="292" t="s">
        <v>186</v>
      </c>
      <c r="G23" s="292" t="s">
        <v>226</v>
      </c>
      <c r="H23" s="293">
        <v>33</v>
      </c>
      <c r="I23" s="294">
        <f t="shared" si="0"/>
        <v>6.921</v>
      </c>
      <c r="J23" s="448">
        <v>41161.32847222222</v>
      </c>
      <c r="K23" s="449">
        <v>41161.65833333333</v>
      </c>
      <c r="L23" s="224">
        <f t="shared" si="1"/>
        <v>7.916666666627862</v>
      </c>
      <c r="M23" s="295">
        <f t="shared" si="2"/>
        <v>475</v>
      </c>
      <c r="N23" s="226" t="s">
        <v>143</v>
      </c>
      <c r="O23" s="442" t="str">
        <f t="shared" si="3"/>
        <v>--</v>
      </c>
      <c r="P23" s="296">
        <f t="shared" si="4"/>
        <v>50</v>
      </c>
      <c r="Q23" s="297">
        <f t="shared" si="5"/>
        <v>274.0716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43" t="s">
        <v>144</v>
      </c>
      <c r="V23" s="304">
        <f t="shared" si="9"/>
        <v>274.0716</v>
      </c>
      <c r="W23" s="237"/>
    </row>
    <row r="24" spans="2:23" s="1" customFormat="1" ht="16.5" customHeight="1">
      <c r="B24" s="13"/>
      <c r="C24" s="209">
        <v>142</v>
      </c>
      <c r="D24" s="208">
        <v>251558</v>
      </c>
      <c r="E24" s="208">
        <v>2377</v>
      </c>
      <c r="F24" s="292" t="s">
        <v>186</v>
      </c>
      <c r="G24" s="292" t="s">
        <v>227</v>
      </c>
      <c r="H24" s="293">
        <v>33</v>
      </c>
      <c r="I24" s="294">
        <f t="shared" si="0"/>
        <v>6.921</v>
      </c>
      <c r="J24" s="448">
        <v>41161.34444444445</v>
      </c>
      <c r="K24" s="449">
        <v>41161.44027777778</v>
      </c>
      <c r="L24" s="224">
        <f t="shared" si="1"/>
        <v>2.2999999999883585</v>
      </c>
      <c r="M24" s="295">
        <f t="shared" si="2"/>
        <v>138</v>
      </c>
      <c r="N24" s="226" t="s">
        <v>143</v>
      </c>
      <c r="O24" s="442" t="str">
        <f t="shared" si="3"/>
        <v>--</v>
      </c>
      <c r="P24" s="296">
        <f t="shared" si="4"/>
        <v>50</v>
      </c>
      <c r="Q24" s="297">
        <f t="shared" si="5"/>
        <v>79.5915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43" t="s">
        <v>144</v>
      </c>
      <c r="V24" s="304">
        <f t="shared" si="9"/>
        <v>79.5915</v>
      </c>
      <c r="W24" s="237"/>
    </row>
    <row r="25" spans="2:23" s="1" customFormat="1" ht="16.5" customHeight="1">
      <c r="B25" s="13"/>
      <c r="C25" s="209">
        <v>143</v>
      </c>
      <c r="D25" s="208">
        <v>251559</v>
      </c>
      <c r="E25" s="208">
        <v>2379</v>
      </c>
      <c r="F25" s="292" t="s">
        <v>186</v>
      </c>
      <c r="G25" s="292" t="s">
        <v>228</v>
      </c>
      <c r="H25" s="293">
        <v>33</v>
      </c>
      <c r="I25" s="294">
        <f t="shared" si="0"/>
        <v>6.921</v>
      </c>
      <c r="J25" s="448">
        <v>41161.35763888889</v>
      </c>
      <c r="K25" s="449">
        <v>41161.603472222225</v>
      </c>
      <c r="L25" s="224">
        <f t="shared" si="1"/>
        <v>5.900000000023283</v>
      </c>
      <c r="M25" s="295">
        <f t="shared" si="2"/>
        <v>354</v>
      </c>
      <c r="N25" s="226" t="s">
        <v>143</v>
      </c>
      <c r="O25" s="442" t="str">
        <f t="shared" si="3"/>
        <v>--</v>
      </c>
      <c r="P25" s="296">
        <f t="shared" si="4"/>
        <v>50</v>
      </c>
      <c r="Q25" s="297">
        <f t="shared" si="5"/>
        <v>204.16950000000003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43" t="s">
        <v>144</v>
      </c>
      <c r="V25" s="304">
        <f t="shared" si="9"/>
        <v>204.16950000000003</v>
      </c>
      <c r="W25" s="237"/>
    </row>
    <row r="26" spans="2:23" s="1" customFormat="1" ht="16.5" customHeight="1">
      <c r="B26" s="13"/>
      <c r="C26" s="209">
        <v>144</v>
      </c>
      <c r="D26" s="208">
        <v>251560</v>
      </c>
      <c r="E26" s="208">
        <v>2211</v>
      </c>
      <c r="F26" s="292" t="s">
        <v>229</v>
      </c>
      <c r="G26" s="292" t="s">
        <v>230</v>
      </c>
      <c r="H26" s="293">
        <v>13.199999809265137</v>
      </c>
      <c r="I26" s="294">
        <f t="shared" si="0"/>
        <v>6.921</v>
      </c>
      <c r="J26" s="448">
        <v>41161.375</v>
      </c>
      <c r="K26" s="449">
        <v>41161.544444444444</v>
      </c>
      <c r="L26" s="224">
        <f t="shared" si="1"/>
        <v>4.066666666651145</v>
      </c>
      <c r="M26" s="295">
        <f t="shared" si="2"/>
        <v>244</v>
      </c>
      <c r="N26" s="226" t="s">
        <v>143</v>
      </c>
      <c r="O26" s="442" t="str">
        <f t="shared" si="3"/>
        <v>--</v>
      </c>
      <c r="P26" s="296">
        <f t="shared" si="4"/>
        <v>40</v>
      </c>
      <c r="Q26" s="297">
        <f t="shared" si="5"/>
        <v>112.67388000000004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43" t="s">
        <v>144</v>
      </c>
      <c r="V26" s="304">
        <f t="shared" si="9"/>
        <v>112.67388000000004</v>
      </c>
      <c r="W26" s="237"/>
    </row>
    <row r="27" spans="2:23" s="1" customFormat="1" ht="16.5" customHeight="1">
      <c r="B27" s="13"/>
      <c r="C27" s="209">
        <v>145</v>
      </c>
      <c r="D27" s="208">
        <v>251561</v>
      </c>
      <c r="E27" s="208">
        <v>2210</v>
      </c>
      <c r="F27" s="292" t="s">
        <v>229</v>
      </c>
      <c r="G27" s="292" t="s">
        <v>231</v>
      </c>
      <c r="H27" s="293">
        <v>13.199999809265137</v>
      </c>
      <c r="I27" s="294">
        <f t="shared" si="0"/>
        <v>6.921</v>
      </c>
      <c r="J27" s="448">
        <v>41161.63958333333</v>
      </c>
      <c r="K27" s="449">
        <v>41161.71388888889</v>
      </c>
      <c r="L27" s="224">
        <f t="shared" si="1"/>
        <v>1.78333333338378</v>
      </c>
      <c r="M27" s="295">
        <f t="shared" si="2"/>
        <v>107</v>
      </c>
      <c r="N27" s="226" t="s">
        <v>143</v>
      </c>
      <c r="O27" s="442" t="str">
        <f t="shared" si="3"/>
        <v>--</v>
      </c>
      <c r="P27" s="296">
        <f t="shared" si="4"/>
        <v>40</v>
      </c>
      <c r="Q27" s="297">
        <f t="shared" si="5"/>
        <v>49.27752000000001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43" t="s">
        <v>144</v>
      </c>
      <c r="V27" s="304">
        <f t="shared" si="9"/>
        <v>49.27752000000001</v>
      </c>
      <c r="W27" s="237"/>
    </row>
    <row r="28" spans="2:23" s="1" customFormat="1" ht="16.5" customHeight="1">
      <c r="B28" s="13"/>
      <c r="C28" s="209">
        <v>146</v>
      </c>
      <c r="D28" s="208">
        <v>251756</v>
      </c>
      <c r="E28" s="208">
        <v>2226</v>
      </c>
      <c r="F28" s="292" t="s">
        <v>224</v>
      </c>
      <c r="G28" s="292" t="s">
        <v>232</v>
      </c>
      <c r="H28" s="293">
        <v>13.199999809265137</v>
      </c>
      <c r="I28" s="294">
        <f t="shared" si="0"/>
        <v>6.921</v>
      </c>
      <c r="J28" s="448">
        <v>41162.34027777778</v>
      </c>
      <c r="K28" s="449">
        <v>41162.58611111111</v>
      </c>
      <c r="L28" s="224">
        <f t="shared" si="1"/>
        <v>5.89999999984866</v>
      </c>
      <c r="M28" s="295">
        <f t="shared" si="2"/>
        <v>354</v>
      </c>
      <c r="N28" s="226" t="s">
        <v>143</v>
      </c>
      <c r="O28" s="442" t="str">
        <f t="shared" si="3"/>
        <v>--</v>
      </c>
      <c r="P28" s="296">
        <f t="shared" si="4"/>
        <v>40</v>
      </c>
      <c r="Q28" s="297">
        <f t="shared" si="5"/>
        <v>163.33560000000003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43" t="s">
        <v>144</v>
      </c>
      <c r="V28" s="304">
        <f t="shared" si="9"/>
        <v>163.33560000000003</v>
      </c>
      <c r="W28" s="237"/>
    </row>
    <row r="29" spans="2:23" s="1" customFormat="1" ht="16.5" customHeight="1">
      <c r="B29" s="13"/>
      <c r="C29" s="209">
        <v>147</v>
      </c>
      <c r="D29" s="208">
        <v>251757</v>
      </c>
      <c r="E29" s="208">
        <v>2341</v>
      </c>
      <c r="F29" s="292" t="s">
        <v>199</v>
      </c>
      <c r="G29" s="292" t="s">
        <v>233</v>
      </c>
      <c r="H29" s="293">
        <v>13.199999809265137</v>
      </c>
      <c r="I29" s="294">
        <f t="shared" si="0"/>
        <v>6.921</v>
      </c>
      <c r="J29" s="448">
        <v>41162.364583333336</v>
      </c>
      <c r="K29" s="449">
        <v>41162.60902777778</v>
      </c>
      <c r="L29" s="224">
        <f t="shared" si="1"/>
        <v>5.866666666581295</v>
      </c>
      <c r="M29" s="295">
        <f t="shared" si="2"/>
        <v>352</v>
      </c>
      <c r="N29" s="226" t="s">
        <v>143</v>
      </c>
      <c r="O29" s="442" t="str">
        <f t="shared" si="3"/>
        <v>--</v>
      </c>
      <c r="P29" s="296">
        <f t="shared" si="4"/>
        <v>40</v>
      </c>
      <c r="Q29" s="297">
        <f t="shared" si="5"/>
        <v>162.50508000000002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43" t="s">
        <v>144</v>
      </c>
      <c r="V29" s="304">
        <f t="shared" si="9"/>
        <v>162.50508000000002</v>
      </c>
      <c r="W29" s="237"/>
    </row>
    <row r="30" spans="2:23" s="1" customFormat="1" ht="16.5" customHeight="1">
      <c r="B30" s="13"/>
      <c r="C30" s="209">
        <v>148</v>
      </c>
      <c r="D30" s="208">
        <v>251761</v>
      </c>
      <c r="E30" s="208">
        <v>2127</v>
      </c>
      <c r="F30" s="292" t="s">
        <v>234</v>
      </c>
      <c r="G30" s="292" t="s">
        <v>235</v>
      </c>
      <c r="H30" s="293">
        <v>33</v>
      </c>
      <c r="I30" s="294">
        <f t="shared" si="0"/>
        <v>6.921</v>
      </c>
      <c r="J30" s="448">
        <v>41162.404861111114</v>
      </c>
      <c r="K30" s="449">
        <v>41162.56041666667</v>
      </c>
      <c r="L30" s="224">
        <f t="shared" si="1"/>
        <v>3.733333333279006</v>
      </c>
      <c r="M30" s="295">
        <f t="shared" si="2"/>
        <v>224</v>
      </c>
      <c r="N30" s="226" t="s">
        <v>143</v>
      </c>
      <c r="O30" s="442" t="str">
        <f t="shared" si="3"/>
        <v>--</v>
      </c>
      <c r="P30" s="296">
        <f t="shared" si="4"/>
        <v>50</v>
      </c>
      <c r="Q30" s="297">
        <f t="shared" si="5"/>
        <v>129.07665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43" t="s">
        <v>144</v>
      </c>
      <c r="V30" s="304">
        <f t="shared" si="9"/>
        <v>129.07665</v>
      </c>
      <c r="W30" s="237"/>
    </row>
    <row r="31" spans="2:23" s="1" customFormat="1" ht="16.5" customHeight="1">
      <c r="B31" s="13"/>
      <c r="C31" s="209">
        <v>149</v>
      </c>
      <c r="D31" s="208">
        <v>251765</v>
      </c>
      <c r="E31" s="208">
        <v>2227</v>
      </c>
      <c r="F31" s="292" t="s">
        <v>224</v>
      </c>
      <c r="G31" s="292" t="s">
        <v>236</v>
      </c>
      <c r="H31" s="293">
        <v>13.199999809265137</v>
      </c>
      <c r="I31" s="294">
        <f t="shared" si="0"/>
        <v>6.921</v>
      </c>
      <c r="J31" s="448">
        <v>41163.35277777778</v>
      </c>
      <c r="K31" s="449">
        <v>41163.59861111111</v>
      </c>
      <c r="L31" s="224">
        <f t="shared" si="1"/>
        <v>5.900000000023283</v>
      </c>
      <c r="M31" s="295">
        <f t="shared" si="2"/>
        <v>354</v>
      </c>
      <c r="N31" s="226" t="s">
        <v>143</v>
      </c>
      <c r="O31" s="442" t="str">
        <f t="shared" si="3"/>
        <v>--</v>
      </c>
      <c r="P31" s="296">
        <f t="shared" si="4"/>
        <v>40</v>
      </c>
      <c r="Q31" s="297">
        <f t="shared" si="5"/>
        <v>163.33560000000003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43" t="s">
        <v>144</v>
      </c>
      <c r="V31" s="304">
        <f t="shared" si="9"/>
        <v>163.33560000000003</v>
      </c>
      <c r="W31" s="237"/>
    </row>
    <row r="32" spans="2:23" s="1" customFormat="1" ht="16.5" customHeight="1">
      <c r="B32" s="13"/>
      <c r="C32" s="209">
        <v>150</v>
      </c>
      <c r="D32" s="208">
        <v>251766</v>
      </c>
      <c r="E32" s="208">
        <v>2645</v>
      </c>
      <c r="F32" s="292" t="s">
        <v>237</v>
      </c>
      <c r="G32" s="292" t="s">
        <v>238</v>
      </c>
      <c r="H32" s="293">
        <v>33</v>
      </c>
      <c r="I32" s="294">
        <f t="shared" si="0"/>
        <v>6.921</v>
      </c>
      <c r="J32" s="448">
        <v>41163.37708333333</v>
      </c>
      <c r="K32" s="449">
        <v>41163.53888888889</v>
      </c>
      <c r="L32" s="224">
        <f t="shared" si="1"/>
        <v>3.8833333334187046</v>
      </c>
      <c r="M32" s="295">
        <f t="shared" si="2"/>
        <v>233</v>
      </c>
      <c r="N32" s="226" t="s">
        <v>143</v>
      </c>
      <c r="O32" s="442" t="str">
        <f t="shared" si="3"/>
        <v>--</v>
      </c>
      <c r="P32" s="296">
        <f t="shared" si="4"/>
        <v>50</v>
      </c>
      <c r="Q32" s="297">
        <f t="shared" si="5"/>
        <v>134.2674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43" t="s">
        <v>144</v>
      </c>
      <c r="V32" s="304">
        <f t="shared" si="9"/>
        <v>134.2674</v>
      </c>
      <c r="W32" s="237"/>
    </row>
    <row r="33" spans="2:23" s="1" customFormat="1" ht="16.5" customHeight="1">
      <c r="B33" s="13"/>
      <c r="C33" s="209">
        <v>151</v>
      </c>
      <c r="D33" s="208">
        <v>251769</v>
      </c>
      <c r="E33" s="208">
        <v>2126</v>
      </c>
      <c r="F33" s="292" t="s">
        <v>234</v>
      </c>
      <c r="G33" s="292" t="s">
        <v>239</v>
      </c>
      <c r="H33" s="293">
        <v>33</v>
      </c>
      <c r="I33" s="294">
        <f t="shared" si="0"/>
        <v>6.921</v>
      </c>
      <c r="J33" s="448">
        <v>41163.40625</v>
      </c>
      <c r="K33" s="449">
        <v>41163.569444444445</v>
      </c>
      <c r="L33" s="224">
        <f t="shared" si="1"/>
        <v>3.916666666686069</v>
      </c>
      <c r="M33" s="295">
        <f t="shared" si="2"/>
        <v>235</v>
      </c>
      <c r="N33" s="226" t="s">
        <v>143</v>
      </c>
      <c r="O33" s="442" t="str">
        <f t="shared" si="3"/>
        <v>--</v>
      </c>
      <c r="P33" s="296">
        <f t="shared" si="4"/>
        <v>50</v>
      </c>
      <c r="Q33" s="297">
        <f t="shared" si="5"/>
        <v>135.6516</v>
      </c>
      <c r="R33" s="298" t="str">
        <f t="shared" si="6"/>
        <v>--</v>
      </c>
      <c r="S33" s="299" t="str">
        <f t="shared" si="7"/>
        <v>--</v>
      </c>
      <c r="T33" s="300" t="str">
        <f t="shared" si="8"/>
        <v>--</v>
      </c>
      <c r="U33" s="443" t="s">
        <v>144</v>
      </c>
      <c r="V33" s="304">
        <f t="shared" si="9"/>
        <v>135.6516</v>
      </c>
      <c r="W33" s="237"/>
    </row>
    <row r="34" spans="2:23" s="1" customFormat="1" ht="16.5" customHeight="1">
      <c r="B34" s="13"/>
      <c r="C34" s="209">
        <v>152</v>
      </c>
      <c r="D34" s="208">
        <v>251771</v>
      </c>
      <c r="E34" s="208">
        <v>2367</v>
      </c>
      <c r="F34" s="292" t="s">
        <v>240</v>
      </c>
      <c r="G34" s="292" t="s">
        <v>241</v>
      </c>
      <c r="H34" s="293">
        <v>33</v>
      </c>
      <c r="I34" s="294">
        <f t="shared" si="0"/>
        <v>6.921</v>
      </c>
      <c r="J34" s="448">
        <v>41163.43541666667</v>
      </c>
      <c r="K34" s="449">
        <v>41163.46805555555</v>
      </c>
      <c r="L34" s="224">
        <f t="shared" si="1"/>
        <v>0.7833333332673647</v>
      </c>
      <c r="M34" s="295">
        <f t="shared" si="2"/>
        <v>47</v>
      </c>
      <c r="N34" s="226" t="s">
        <v>143</v>
      </c>
      <c r="O34" s="442" t="str">
        <f t="shared" si="3"/>
        <v>--</v>
      </c>
      <c r="P34" s="296">
        <f t="shared" si="4"/>
        <v>50</v>
      </c>
      <c r="Q34" s="297">
        <f t="shared" si="5"/>
        <v>26.991900000000005</v>
      </c>
      <c r="R34" s="298" t="str">
        <f t="shared" si="6"/>
        <v>--</v>
      </c>
      <c r="S34" s="299" t="str">
        <f t="shared" si="7"/>
        <v>--</v>
      </c>
      <c r="T34" s="300" t="str">
        <f t="shared" si="8"/>
        <v>--</v>
      </c>
      <c r="U34" s="443" t="s">
        <v>144</v>
      </c>
      <c r="V34" s="304">
        <f t="shared" si="9"/>
        <v>26.991900000000005</v>
      </c>
      <c r="W34" s="237"/>
    </row>
    <row r="35" spans="2:23" s="1" customFormat="1" ht="16.5" customHeight="1">
      <c r="B35" s="13"/>
      <c r="C35" s="209">
        <v>153</v>
      </c>
      <c r="D35" s="208">
        <v>251776</v>
      </c>
      <c r="E35" s="208">
        <v>2229</v>
      </c>
      <c r="F35" s="292" t="s">
        <v>224</v>
      </c>
      <c r="G35" s="292" t="s">
        <v>242</v>
      </c>
      <c r="H35" s="293">
        <v>13.199999809265137</v>
      </c>
      <c r="I35" s="294">
        <f t="shared" si="0"/>
        <v>6.921</v>
      </c>
      <c r="J35" s="448">
        <v>41164.34652777778</v>
      </c>
      <c r="K35" s="449">
        <v>41164.53680555556</v>
      </c>
      <c r="L35" s="224">
        <f t="shared" si="1"/>
        <v>4.566666666709352</v>
      </c>
      <c r="M35" s="295">
        <f t="shared" si="2"/>
        <v>274</v>
      </c>
      <c r="N35" s="226" t="s">
        <v>143</v>
      </c>
      <c r="O35" s="442" t="str">
        <f t="shared" si="3"/>
        <v>--</v>
      </c>
      <c r="P35" s="296">
        <f t="shared" si="4"/>
        <v>40</v>
      </c>
      <c r="Q35" s="297">
        <f t="shared" si="5"/>
        <v>126.51588000000002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43" t="s">
        <v>144</v>
      </c>
      <c r="V35" s="304">
        <f t="shared" si="9"/>
        <v>126.51588000000002</v>
      </c>
      <c r="W35" s="237"/>
    </row>
    <row r="36" spans="2:23" s="1" customFormat="1" ht="16.5" customHeight="1">
      <c r="B36" s="13"/>
      <c r="C36" s="209">
        <v>154</v>
      </c>
      <c r="D36" s="208">
        <v>251781</v>
      </c>
      <c r="E36" s="208">
        <v>2124</v>
      </c>
      <c r="F36" s="292" t="s">
        <v>234</v>
      </c>
      <c r="G36" s="292" t="s">
        <v>243</v>
      </c>
      <c r="H36" s="293">
        <v>33</v>
      </c>
      <c r="I36" s="294">
        <f t="shared" si="0"/>
        <v>6.921</v>
      </c>
      <c r="J36" s="448">
        <v>41164.37986111111</v>
      </c>
      <c r="K36" s="449">
        <v>41164.55972222222</v>
      </c>
      <c r="L36" s="224">
        <f t="shared" si="1"/>
        <v>4.316666666592937</v>
      </c>
      <c r="M36" s="295">
        <f t="shared" si="2"/>
        <v>259</v>
      </c>
      <c r="N36" s="226" t="s">
        <v>143</v>
      </c>
      <c r="O36" s="442" t="str">
        <f t="shared" si="3"/>
        <v>--</v>
      </c>
      <c r="P36" s="296">
        <f t="shared" si="4"/>
        <v>50</v>
      </c>
      <c r="Q36" s="297">
        <f t="shared" si="5"/>
        <v>149.49360000000001</v>
      </c>
      <c r="R36" s="298" t="str">
        <f t="shared" si="6"/>
        <v>--</v>
      </c>
      <c r="S36" s="299" t="str">
        <f t="shared" si="7"/>
        <v>--</v>
      </c>
      <c r="T36" s="300" t="str">
        <f t="shared" si="8"/>
        <v>--</v>
      </c>
      <c r="U36" s="443" t="s">
        <v>144</v>
      </c>
      <c r="V36" s="304">
        <f t="shared" si="9"/>
        <v>149.49360000000001</v>
      </c>
      <c r="W36" s="237"/>
    </row>
    <row r="37" spans="2:23" s="1" customFormat="1" ht="16.5" customHeight="1">
      <c r="B37" s="13"/>
      <c r="C37" s="209">
        <v>155</v>
      </c>
      <c r="D37" s="208">
        <v>251783</v>
      </c>
      <c r="E37" s="208">
        <v>5158</v>
      </c>
      <c r="F37" s="292" t="s">
        <v>204</v>
      </c>
      <c r="G37" s="292" t="s">
        <v>302</v>
      </c>
      <c r="H37" s="293">
        <v>13.2</v>
      </c>
      <c r="I37" s="294">
        <f t="shared" si="0"/>
        <v>6.921</v>
      </c>
      <c r="J37" s="448">
        <v>41164.40694444445</v>
      </c>
      <c r="K37" s="449">
        <v>41164.467361111114</v>
      </c>
      <c r="L37" s="224">
        <f t="shared" si="1"/>
        <v>1.4500000000116415</v>
      </c>
      <c r="M37" s="295">
        <f t="shared" si="2"/>
        <v>87</v>
      </c>
      <c r="N37" s="226" t="s">
        <v>143</v>
      </c>
      <c r="O37" s="442" t="str">
        <f t="shared" si="3"/>
        <v>--</v>
      </c>
      <c r="P37" s="296">
        <f t="shared" si="4"/>
        <v>40</v>
      </c>
      <c r="Q37" s="297">
        <f t="shared" si="5"/>
        <v>40.1418</v>
      </c>
      <c r="R37" s="298" t="str">
        <f t="shared" si="6"/>
        <v>--</v>
      </c>
      <c r="S37" s="299" t="str">
        <f t="shared" si="7"/>
        <v>--</v>
      </c>
      <c r="T37" s="300" t="str">
        <f t="shared" si="8"/>
        <v>--</v>
      </c>
      <c r="U37" s="443" t="s">
        <v>144</v>
      </c>
      <c r="V37" s="304">
        <f t="shared" si="9"/>
        <v>40.1418</v>
      </c>
      <c r="W37" s="237"/>
    </row>
    <row r="38" spans="2:23" s="1" customFormat="1" ht="16.5" customHeight="1">
      <c r="B38" s="13"/>
      <c r="C38" s="209">
        <v>156</v>
      </c>
      <c r="D38" s="208">
        <v>251786</v>
      </c>
      <c r="E38" s="208">
        <v>2230</v>
      </c>
      <c r="F38" s="292" t="s">
        <v>224</v>
      </c>
      <c r="G38" s="292" t="s">
        <v>244</v>
      </c>
      <c r="H38" s="293">
        <v>13.199999809265137</v>
      </c>
      <c r="I38" s="294">
        <f t="shared" si="0"/>
        <v>6.921</v>
      </c>
      <c r="J38" s="448">
        <v>41164.544444444444</v>
      </c>
      <c r="K38" s="449">
        <v>41164.61111111111</v>
      </c>
      <c r="L38" s="224">
        <f t="shared" si="1"/>
        <v>1.599999999976717</v>
      </c>
      <c r="M38" s="295">
        <f t="shared" si="2"/>
        <v>96</v>
      </c>
      <c r="N38" s="226" t="s">
        <v>143</v>
      </c>
      <c r="O38" s="442" t="str">
        <f t="shared" si="3"/>
        <v>--</v>
      </c>
      <c r="P38" s="296">
        <f t="shared" si="4"/>
        <v>40</v>
      </c>
      <c r="Q38" s="297">
        <f t="shared" si="5"/>
        <v>44.29440000000001</v>
      </c>
      <c r="R38" s="298" t="str">
        <f t="shared" si="6"/>
        <v>--</v>
      </c>
      <c r="S38" s="299" t="str">
        <f t="shared" si="7"/>
        <v>--</v>
      </c>
      <c r="T38" s="300" t="str">
        <f t="shared" si="8"/>
        <v>--</v>
      </c>
      <c r="U38" s="443" t="s">
        <v>144</v>
      </c>
      <c r="V38" s="304">
        <f t="shared" si="9"/>
        <v>44.29440000000001</v>
      </c>
      <c r="W38" s="237"/>
    </row>
    <row r="39" spans="2:23" s="1" customFormat="1" ht="16.5" customHeight="1" thickBot="1">
      <c r="B39" s="13"/>
      <c r="C39" s="317"/>
      <c r="D39" s="317"/>
      <c r="E39" s="317"/>
      <c r="F39" s="317"/>
      <c r="G39" s="317"/>
      <c r="H39" s="317"/>
      <c r="I39" s="305"/>
      <c r="J39" s="407"/>
      <c r="K39" s="407"/>
      <c r="L39" s="238"/>
      <c r="M39" s="238"/>
      <c r="N39" s="317"/>
      <c r="O39" s="317"/>
      <c r="P39" s="327"/>
      <c r="Q39" s="328"/>
      <c r="R39" s="329"/>
      <c r="S39" s="330"/>
      <c r="T39" s="331"/>
      <c r="U39" s="317"/>
      <c r="V39" s="306"/>
      <c r="W39" s="237"/>
    </row>
    <row r="40" spans="2:23" s="1" customFormat="1" ht="16.5" customHeight="1" thickBot="1" thickTop="1">
      <c r="B40" s="13"/>
      <c r="C40" s="452" t="s">
        <v>296</v>
      </c>
      <c r="D40" s="451" t="s">
        <v>298</v>
      </c>
      <c r="E40" s="128"/>
      <c r="F40" s="113"/>
      <c r="G40" s="2"/>
      <c r="H40" s="2"/>
      <c r="I40" s="2"/>
      <c r="J40" s="2"/>
      <c r="K40" s="2"/>
      <c r="L40" s="2"/>
      <c r="M40" s="2"/>
      <c r="N40" s="2"/>
      <c r="O40" s="2"/>
      <c r="P40" s="2"/>
      <c r="Q40" s="307">
        <f>SUM(Q20:Q39)</f>
        <v>2168.41851</v>
      </c>
      <c r="R40" s="308">
        <f>SUM(R20:R39)</f>
        <v>0</v>
      </c>
      <c r="S40" s="308">
        <f>SUM(S20:S39)</f>
        <v>0</v>
      </c>
      <c r="T40" s="309">
        <f>SUM(T20:T39)</f>
        <v>0</v>
      </c>
      <c r="U40" s="310"/>
      <c r="V40" s="419">
        <f>ROUND(SUM(V20:V39),2)</f>
        <v>6841.53</v>
      </c>
      <c r="W40" s="237"/>
    </row>
    <row r="41" spans="2:23" s="126" customFormat="1" ht="9.75" thickTop="1">
      <c r="B41" s="127"/>
      <c r="C41" s="128"/>
      <c r="D41" s="128"/>
      <c r="E41" s="128"/>
      <c r="F41" s="129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1"/>
      <c r="V41" s="311"/>
      <c r="W41" s="253"/>
    </row>
    <row r="42" spans="2:23" s="1" customFormat="1" ht="16.5" customHeight="1" thickBot="1">
      <c r="B42" s="139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6"/>
    </row>
    <row r="43" spans="2:23" ht="16.5" customHeight="1" thickTop="1"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</row>
    <row r="44" spans="3:6" ht="16.5" customHeight="1">
      <c r="C44" s="312"/>
      <c r="D44" s="312"/>
      <c r="E44" s="312"/>
      <c r="F44" s="312"/>
    </row>
    <row r="45" ht="16.5" customHeight="1"/>
    <row r="46" ht="16.5" customHeight="1"/>
    <row r="47" ht="16.5" customHeight="1"/>
    <row r="48" ht="16.5" customHeight="1"/>
    <row r="49" ht="16.5" customHeight="1"/>
  </sheetData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5">
    <pageSetUpPr fitToPage="1"/>
  </sheetPr>
  <dimension ref="A1:W38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9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20.00390625" style="5" customWidth="1"/>
    <col min="7" max="7" width="43.2812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'TOT-0912'!B2</f>
        <v>ANEXO IV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'TOT-0912'!B14</f>
        <v>Desde el 01 al 30 de septiembre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18.46</v>
      </c>
      <c r="H14" s="266">
        <f>60*'TOT-0912'!B13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9.23</v>
      </c>
      <c r="H15" s="266">
        <f>50*'TOT-0912'!B13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6.921</v>
      </c>
      <c r="H16" s="270">
        <f>50*'TOT-0912'!B13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6.921</v>
      </c>
      <c r="H17" s="275">
        <f>40*'TOT-0912'!B13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36">
        <v>3</v>
      </c>
      <c r="D18" s="436">
        <v>4</v>
      </c>
      <c r="E18" s="436">
        <v>5</v>
      </c>
      <c r="F18" s="436">
        <v>6</v>
      </c>
      <c r="G18" s="436">
        <v>7</v>
      </c>
      <c r="H18" s="436">
        <v>8</v>
      </c>
      <c r="I18" s="436">
        <v>9</v>
      </c>
      <c r="J18" s="436">
        <v>10</v>
      </c>
      <c r="K18" s="436">
        <v>11</v>
      </c>
      <c r="L18" s="436">
        <v>12</v>
      </c>
      <c r="M18" s="436">
        <v>13</v>
      </c>
      <c r="N18" s="436">
        <v>14</v>
      </c>
      <c r="O18" s="436">
        <v>15</v>
      </c>
      <c r="P18" s="436">
        <v>16</v>
      </c>
      <c r="Q18" s="436">
        <v>17</v>
      </c>
      <c r="R18" s="436">
        <v>18</v>
      </c>
      <c r="S18" s="436">
        <v>19</v>
      </c>
      <c r="T18" s="436">
        <v>20</v>
      </c>
      <c r="U18" s="436">
        <v>21</v>
      </c>
      <c r="V18" s="436">
        <v>22</v>
      </c>
      <c r="W18" s="14"/>
    </row>
    <row r="19" spans="2:23" s="276" customFormat="1" ht="34.5" customHeight="1" thickBot="1" thickTop="1">
      <c r="B19" s="277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66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20"/>
      <c r="E20" s="420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>
        <f>'SA-09 (2)'!V40</f>
        <v>6841.53</v>
      </c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48"/>
      <c r="K21" s="449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>
        <v>157</v>
      </c>
      <c r="D22" s="208">
        <v>251806</v>
      </c>
      <c r="E22" s="208">
        <v>3595</v>
      </c>
      <c r="F22" s="292" t="s">
        <v>224</v>
      </c>
      <c r="G22" s="292" t="s">
        <v>245</v>
      </c>
      <c r="H22" s="293">
        <v>13.199999809265137</v>
      </c>
      <c r="I22" s="294">
        <f aca="true" t="shared" si="0" ref="I22:I32">IF(H22=220,$G$14,IF(AND(H22&lt;=132,H22&gt;=66),$G$15,IF(AND(H22&lt;66,H22&gt;=33),$G$16,$G$17)))</f>
        <v>6.921</v>
      </c>
      <c r="J22" s="448">
        <v>41166.39027777778</v>
      </c>
      <c r="K22" s="449">
        <v>41166.472916666666</v>
      </c>
      <c r="L22" s="224">
        <f aca="true" t="shared" si="1" ref="L22:L32">IF(F22="","",(K22-J22)*24)</f>
        <v>1.9833333333372138</v>
      </c>
      <c r="M22" s="295">
        <f aca="true" t="shared" si="2" ref="M22:M32">IF(F22="","",ROUND((K22-J22)*24*60,0))</f>
        <v>119</v>
      </c>
      <c r="N22" s="226" t="s">
        <v>143</v>
      </c>
      <c r="O22" s="442" t="str">
        <f aca="true" t="shared" si="3" ref="O22:O32">IF(F22="","",IF(OR(N22="P",N22="RP"),"--","NO"))</f>
        <v>--</v>
      </c>
      <c r="P22" s="296">
        <f aca="true" t="shared" si="4" ref="P22:P32">IF(H22=220,$H$14,IF(AND(H22&lt;=132,H22&gt;=66),$H$15,IF(AND(H22&lt;66,H22&gt;13.2),$H$16,$H$17)))</f>
        <v>40</v>
      </c>
      <c r="Q22" s="297">
        <f aca="true" t="shared" si="5" ref="Q22:Q32">IF(N22="P",I22*P22*ROUND(M22/60,2)*0.1,"--")</f>
        <v>54.81432000000001</v>
      </c>
      <c r="R22" s="298" t="str">
        <f aca="true" t="shared" si="6" ref="R22:R32">IF(AND(N22="F",O22="NO"),I22*P22,"--")</f>
        <v>--</v>
      </c>
      <c r="S22" s="299" t="str">
        <f aca="true" t="shared" si="7" ref="S22:S32">IF(N22="F",I22*P22*ROUND(M22/60,2),"--")</f>
        <v>--</v>
      </c>
      <c r="T22" s="300" t="str">
        <f aca="true" t="shared" si="8" ref="T22:T32">IF(N22="RF",I22*P22*ROUND(M22/60,2),"--")</f>
        <v>--</v>
      </c>
      <c r="U22" s="443" t="s">
        <v>144</v>
      </c>
      <c r="V22" s="304">
        <f aca="true" t="shared" si="9" ref="V22:V32">IF(F22="","",SUM(Q22:T22)*IF(U22="SI",1,2)*IF(H22="500/220",0,1))</f>
        <v>54.81432000000001</v>
      </c>
      <c r="W22" s="237"/>
    </row>
    <row r="23" spans="2:23" s="1" customFormat="1" ht="16.5" customHeight="1">
      <c r="B23" s="13"/>
      <c r="C23" s="209">
        <v>158</v>
      </c>
      <c r="D23" s="208">
        <v>251811</v>
      </c>
      <c r="E23" s="208">
        <v>2141</v>
      </c>
      <c r="F23" s="292" t="s">
        <v>209</v>
      </c>
      <c r="G23" s="292" t="s">
        <v>246</v>
      </c>
      <c r="H23" s="293">
        <v>33</v>
      </c>
      <c r="I23" s="294">
        <f t="shared" si="0"/>
        <v>6.921</v>
      </c>
      <c r="J23" s="448">
        <v>41166.41388888889</v>
      </c>
      <c r="K23" s="449">
        <v>41166.72777777778</v>
      </c>
      <c r="L23" s="224">
        <f t="shared" si="1"/>
        <v>7.533333333267365</v>
      </c>
      <c r="M23" s="295">
        <f t="shared" si="2"/>
        <v>452</v>
      </c>
      <c r="N23" s="226" t="s">
        <v>143</v>
      </c>
      <c r="O23" s="442" t="str">
        <f t="shared" si="3"/>
        <v>--</v>
      </c>
      <c r="P23" s="296">
        <f t="shared" si="4"/>
        <v>50</v>
      </c>
      <c r="Q23" s="297">
        <f t="shared" si="5"/>
        <v>260.57565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43" t="s">
        <v>144</v>
      </c>
      <c r="V23" s="304">
        <f t="shared" si="9"/>
        <v>260.57565</v>
      </c>
      <c r="W23" s="237"/>
    </row>
    <row r="24" spans="2:23" s="1" customFormat="1" ht="16.5" customHeight="1">
      <c r="B24" s="13"/>
      <c r="C24" s="209">
        <v>159</v>
      </c>
      <c r="D24" s="208">
        <v>251814</v>
      </c>
      <c r="E24" s="208">
        <v>2125</v>
      </c>
      <c r="F24" s="292" t="s">
        <v>234</v>
      </c>
      <c r="G24" s="292" t="s">
        <v>247</v>
      </c>
      <c r="H24" s="293">
        <v>33</v>
      </c>
      <c r="I24" s="294">
        <f t="shared" si="0"/>
        <v>6.921</v>
      </c>
      <c r="J24" s="448">
        <v>41166.43819444445</v>
      </c>
      <c r="K24" s="449">
        <v>41166.54861111111</v>
      </c>
      <c r="L24" s="224">
        <f t="shared" si="1"/>
        <v>2.6499999999068677</v>
      </c>
      <c r="M24" s="295">
        <f t="shared" si="2"/>
        <v>159</v>
      </c>
      <c r="N24" s="226" t="s">
        <v>143</v>
      </c>
      <c r="O24" s="442" t="str">
        <f t="shared" si="3"/>
        <v>--</v>
      </c>
      <c r="P24" s="296">
        <f t="shared" si="4"/>
        <v>50</v>
      </c>
      <c r="Q24" s="297">
        <f t="shared" si="5"/>
        <v>91.70325000000001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43" t="s">
        <v>144</v>
      </c>
      <c r="V24" s="304">
        <f t="shared" si="9"/>
        <v>91.70325000000001</v>
      </c>
      <c r="W24" s="237"/>
    </row>
    <row r="25" spans="2:23" s="1" customFormat="1" ht="16.5" customHeight="1">
      <c r="B25" s="13"/>
      <c r="C25" s="209">
        <v>160</v>
      </c>
      <c r="D25" s="208">
        <v>251815</v>
      </c>
      <c r="E25" s="208">
        <v>2369</v>
      </c>
      <c r="F25" s="292" t="s">
        <v>240</v>
      </c>
      <c r="G25" s="292" t="s">
        <v>248</v>
      </c>
      <c r="H25" s="293">
        <v>13.199999809265137</v>
      </c>
      <c r="I25" s="294">
        <f t="shared" si="0"/>
        <v>6.921</v>
      </c>
      <c r="J25" s="448">
        <v>41166.461805555555</v>
      </c>
      <c r="K25" s="449">
        <v>41166.527083333334</v>
      </c>
      <c r="L25" s="224">
        <f t="shared" si="1"/>
        <v>1.5666666667093523</v>
      </c>
      <c r="M25" s="295">
        <f t="shared" si="2"/>
        <v>94</v>
      </c>
      <c r="N25" s="226" t="s">
        <v>143</v>
      </c>
      <c r="O25" s="442" t="str">
        <f t="shared" si="3"/>
        <v>--</v>
      </c>
      <c r="P25" s="296">
        <f t="shared" si="4"/>
        <v>40</v>
      </c>
      <c r="Q25" s="297">
        <f t="shared" si="5"/>
        <v>43.46388000000001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43" t="s">
        <v>144</v>
      </c>
      <c r="V25" s="304">
        <f t="shared" si="9"/>
        <v>43.46388000000001</v>
      </c>
      <c r="W25" s="237"/>
    </row>
    <row r="26" spans="2:23" s="1" customFormat="1" ht="16.5" customHeight="1">
      <c r="B26" s="13"/>
      <c r="C26" s="209">
        <v>161</v>
      </c>
      <c r="D26" s="208">
        <v>251816</v>
      </c>
      <c r="E26" s="208">
        <v>2231</v>
      </c>
      <c r="F26" s="292" t="s">
        <v>224</v>
      </c>
      <c r="G26" s="292" t="s">
        <v>249</v>
      </c>
      <c r="H26" s="293">
        <v>13.199999809265137</v>
      </c>
      <c r="I26" s="294">
        <f t="shared" si="0"/>
        <v>6.921</v>
      </c>
      <c r="J26" s="448">
        <v>41166.53333333333</v>
      </c>
      <c r="K26" s="449">
        <v>41166.61736111111</v>
      </c>
      <c r="L26" s="224">
        <f t="shared" si="1"/>
        <v>2.0166666666045785</v>
      </c>
      <c r="M26" s="295">
        <f t="shared" si="2"/>
        <v>121</v>
      </c>
      <c r="N26" s="226" t="s">
        <v>143</v>
      </c>
      <c r="O26" s="442" t="str">
        <f t="shared" si="3"/>
        <v>--</v>
      </c>
      <c r="P26" s="296">
        <f t="shared" si="4"/>
        <v>40</v>
      </c>
      <c r="Q26" s="297">
        <f t="shared" si="5"/>
        <v>55.92168000000001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43" t="s">
        <v>144</v>
      </c>
      <c r="V26" s="304">
        <f t="shared" si="9"/>
        <v>55.92168000000001</v>
      </c>
      <c r="W26" s="237"/>
    </row>
    <row r="27" spans="2:23" s="1" customFormat="1" ht="16.5" customHeight="1">
      <c r="B27" s="13"/>
      <c r="C27" s="209">
        <v>162</v>
      </c>
      <c r="D27" s="208">
        <v>251817</v>
      </c>
      <c r="E27" s="208">
        <v>2088</v>
      </c>
      <c r="F27" s="292" t="s">
        <v>250</v>
      </c>
      <c r="G27" s="292" t="s">
        <v>251</v>
      </c>
      <c r="H27" s="293">
        <v>33</v>
      </c>
      <c r="I27" s="294">
        <f t="shared" si="0"/>
        <v>6.921</v>
      </c>
      <c r="J27" s="448">
        <v>41166.833333333336</v>
      </c>
      <c r="K27" s="449">
        <v>41166.94027777778</v>
      </c>
      <c r="L27" s="224">
        <f t="shared" si="1"/>
        <v>2.5666666666511446</v>
      </c>
      <c r="M27" s="295">
        <f t="shared" si="2"/>
        <v>154</v>
      </c>
      <c r="N27" s="226" t="s">
        <v>153</v>
      </c>
      <c r="O27" s="442" t="str">
        <f t="shared" si="3"/>
        <v>NO</v>
      </c>
      <c r="P27" s="296">
        <f t="shared" si="4"/>
        <v>50</v>
      </c>
      <c r="Q27" s="297" t="str">
        <f t="shared" si="5"/>
        <v>--</v>
      </c>
      <c r="R27" s="298">
        <f t="shared" si="6"/>
        <v>346.05</v>
      </c>
      <c r="S27" s="299">
        <f t="shared" si="7"/>
        <v>889.3485</v>
      </c>
      <c r="T27" s="300" t="str">
        <f t="shared" si="8"/>
        <v>--</v>
      </c>
      <c r="U27" s="443" t="s">
        <v>144</v>
      </c>
      <c r="V27" s="304">
        <f t="shared" si="9"/>
        <v>1235.3985</v>
      </c>
      <c r="W27" s="237"/>
    </row>
    <row r="28" spans="2:23" s="1" customFormat="1" ht="16.5" customHeight="1">
      <c r="B28" s="13"/>
      <c r="C28" s="209"/>
      <c r="D28" s="208"/>
      <c r="E28" s="208"/>
      <c r="F28" s="292"/>
      <c r="G28" s="292"/>
      <c r="H28" s="293"/>
      <c r="I28" s="294"/>
      <c r="J28" s="448"/>
      <c r="K28" s="449"/>
      <c r="L28" s="224"/>
      <c r="M28" s="295"/>
      <c r="N28" s="226"/>
      <c r="O28" s="442"/>
      <c r="P28" s="296"/>
      <c r="Q28" s="297"/>
      <c r="R28" s="298"/>
      <c r="S28" s="299"/>
      <c r="T28" s="300"/>
      <c r="U28" s="443"/>
      <c r="V28" s="304"/>
      <c r="W28" s="237"/>
    </row>
    <row r="29" spans="2:23" s="1" customFormat="1" ht="16.5" customHeight="1">
      <c r="B29" s="13"/>
      <c r="C29" s="209">
        <v>164</v>
      </c>
      <c r="D29" s="208">
        <v>251830</v>
      </c>
      <c r="E29" s="208">
        <v>2078</v>
      </c>
      <c r="F29" s="292" t="s">
        <v>212</v>
      </c>
      <c r="G29" s="292" t="s">
        <v>252</v>
      </c>
      <c r="H29" s="293">
        <v>33</v>
      </c>
      <c r="I29" s="294">
        <f t="shared" si="0"/>
        <v>6.921</v>
      </c>
      <c r="J29" s="448">
        <v>41168.33819444444</v>
      </c>
      <c r="K29" s="449">
        <v>41168.54791666667</v>
      </c>
      <c r="L29" s="224">
        <f t="shared" si="1"/>
        <v>5.033333333500195</v>
      </c>
      <c r="M29" s="295">
        <f t="shared" si="2"/>
        <v>302</v>
      </c>
      <c r="N29" s="226" t="s">
        <v>143</v>
      </c>
      <c r="O29" s="442" t="str">
        <f t="shared" si="3"/>
        <v>--</v>
      </c>
      <c r="P29" s="296">
        <f t="shared" si="4"/>
        <v>50</v>
      </c>
      <c r="Q29" s="297">
        <f t="shared" si="5"/>
        <v>174.06315000000004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43" t="s">
        <v>144</v>
      </c>
      <c r="V29" s="304">
        <f t="shared" si="9"/>
        <v>174.06315000000004</v>
      </c>
      <c r="W29" s="237"/>
    </row>
    <row r="30" spans="2:23" s="1" customFormat="1" ht="16.5" customHeight="1">
      <c r="B30" s="13"/>
      <c r="C30" s="209">
        <v>165</v>
      </c>
      <c r="D30" s="208">
        <v>251998</v>
      </c>
      <c r="E30" s="208">
        <v>3569</v>
      </c>
      <c r="F30" s="292" t="s">
        <v>253</v>
      </c>
      <c r="G30" s="292" t="s">
        <v>254</v>
      </c>
      <c r="H30" s="293">
        <v>13.199999809265137</v>
      </c>
      <c r="I30" s="294">
        <f t="shared" si="0"/>
        <v>6.921</v>
      </c>
      <c r="J30" s="448">
        <v>41170.311111111114</v>
      </c>
      <c r="K30" s="449">
        <v>41170.7125</v>
      </c>
      <c r="L30" s="224">
        <f t="shared" si="1"/>
        <v>9.63333333330229</v>
      </c>
      <c r="M30" s="295">
        <f t="shared" si="2"/>
        <v>578</v>
      </c>
      <c r="N30" s="226" t="s">
        <v>143</v>
      </c>
      <c r="O30" s="442" t="str">
        <f t="shared" si="3"/>
        <v>--</v>
      </c>
      <c r="P30" s="296">
        <f t="shared" si="4"/>
        <v>40</v>
      </c>
      <c r="Q30" s="297">
        <f t="shared" si="5"/>
        <v>266.59692000000007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43" t="s">
        <v>144</v>
      </c>
      <c r="V30" s="304">
        <f t="shared" si="9"/>
        <v>266.59692000000007</v>
      </c>
      <c r="W30" s="237"/>
    </row>
    <row r="31" spans="2:23" s="1" customFormat="1" ht="16.5" customHeight="1">
      <c r="B31" s="13"/>
      <c r="C31" s="209">
        <v>166</v>
      </c>
      <c r="D31" s="208">
        <v>252000</v>
      </c>
      <c r="E31" s="208">
        <v>2353</v>
      </c>
      <c r="F31" s="292" t="s">
        <v>255</v>
      </c>
      <c r="G31" s="292" t="s">
        <v>256</v>
      </c>
      <c r="H31" s="293">
        <v>33</v>
      </c>
      <c r="I31" s="294">
        <f t="shared" si="0"/>
        <v>6.921</v>
      </c>
      <c r="J31" s="448">
        <v>41170.396527777775</v>
      </c>
      <c r="K31" s="449">
        <v>41170.520833333336</v>
      </c>
      <c r="L31" s="224">
        <f t="shared" si="1"/>
        <v>2.983333333453629</v>
      </c>
      <c r="M31" s="295">
        <f t="shared" si="2"/>
        <v>179</v>
      </c>
      <c r="N31" s="226" t="s">
        <v>143</v>
      </c>
      <c r="O31" s="442" t="str">
        <f t="shared" si="3"/>
        <v>--</v>
      </c>
      <c r="P31" s="296">
        <f t="shared" si="4"/>
        <v>50</v>
      </c>
      <c r="Q31" s="297">
        <f t="shared" si="5"/>
        <v>103.12290000000002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43" t="s">
        <v>144</v>
      </c>
      <c r="V31" s="304">
        <f t="shared" si="9"/>
        <v>103.12290000000002</v>
      </c>
      <c r="W31" s="237"/>
    </row>
    <row r="32" spans="2:23" s="1" customFormat="1" ht="16.5" customHeight="1">
      <c r="B32" s="13"/>
      <c r="C32" s="209">
        <v>167</v>
      </c>
      <c r="D32" s="208">
        <v>252001</v>
      </c>
      <c r="E32" s="208">
        <v>4783</v>
      </c>
      <c r="F32" s="292" t="s">
        <v>234</v>
      </c>
      <c r="G32" s="292" t="s">
        <v>303</v>
      </c>
      <c r="H32" s="293">
        <v>33</v>
      </c>
      <c r="I32" s="294">
        <f t="shared" si="0"/>
        <v>6.921</v>
      </c>
      <c r="J32" s="448">
        <v>41170.40625</v>
      </c>
      <c r="K32" s="449">
        <v>41170.56597222222</v>
      </c>
      <c r="L32" s="224">
        <f t="shared" si="1"/>
        <v>3.833333333255723</v>
      </c>
      <c r="M32" s="295">
        <f t="shared" si="2"/>
        <v>230</v>
      </c>
      <c r="N32" s="226" t="s">
        <v>143</v>
      </c>
      <c r="O32" s="442" t="str">
        <f t="shared" si="3"/>
        <v>--</v>
      </c>
      <c r="P32" s="296">
        <f t="shared" si="4"/>
        <v>50</v>
      </c>
      <c r="Q32" s="297">
        <f t="shared" si="5"/>
        <v>132.53715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43" t="s">
        <v>144</v>
      </c>
      <c r="V32" s="304">
        <f t="shared" si="9"/>
        <v>132.53715</v>
      </c>
      <c r="W32" s="237"/>
    </row>
    <row r="33" spans="2:23" s="1" customFormat="1" ht="16.5" customHeight="1" thickBot="1">
      <c r="B33" s="13"/>
      <c r="C33" s="317"/>
      <c r="D33" s="317"/>
      <c r="E33" s="317"/>
      <c r="F33" s="317"/>
      <c r="G33" s="317"/>
      <c r="H33" s="317"/>
      <c r="I33" s="305"/>
      <c r="J33" s="407"/>
      <c r="K33" s="407"/>
      <c r="L33" s="238"/>
      <c r="M33" s="238"/>
      <c r="N33" s="317"/>
      <c r="O33" s="317"/>
      <c r="P33" s="327"/>
      <c r="Q33" s="328"/>
      <c r="R33" s="329"/>
      <c r="S33" s="330"/>
      <c r="T33" s="331"/>
      <c r="U33" s="317"/>
      <c r="V33" s="306"/>
      <c r="W33" s="237"/>
    </row>
    <row r="34" spans="2:23" s="1" customFormat="1" ht="16.5" customHeight="1" thickBot="1" thickTop="1">
      <c r="B34" s="13"/>
      <c r="C34" s="452" t="s">
        <v>296</v>
      </c>
      <c r="D34" s="451" t="s">
        <v>295</v>
      </c>
      <c r="E34" s="128"/>
      <c r="F34" s="113"/>
      <c r="G34" s="2"/>
      <c r="H34" s="2"/>
      <c r="I34" s="2"/>
      <c r="J34" s="2"/>
      <c r="K34" s="2"/>
      <c r="L34" s="2"/>
      <c r="M34" s="2"/>
      <c r="N34" s="2"/>
      <c r="O34" s="2"/>
      <c r="P34" s="2"/>
      <c r="Q34" s="307">
        <f>SUM(Q20:Q33)</f>
        <v>1182.7989000000002</v>
      </c>
      <c r="R34" s="308">
        <f>SUM(R20:R33)</f>
        <v>346.05</v>
      </c>
      <c r="S34" s="308">
        <f>SUM(S20:S33)</f>
        <v>889.3485</v>
      </c>
      <c r="T34" s="309">
        <f>SUM(T20:T33)</f>
        <v>0</v>
      </c>
      <c r="U34" s="310"/>
      <c r="V34" s="419">
        <f>ROUND(SUM(V20:V33),2)</f>
        <v>9259.73</v>
      </c>
      <c r="W34" s="237"/>
    </row>
    <row r="35" spans="2:23" s="126" customFormat="1" ht="9.75" thickTop="1">
      <c r="B35" s="127"/>
      <c r="C35" s="128"/>
      <c r="D35" s="128"/>
      <c r="E35" s="128"/>
      <c r="F35" s="129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1"/>
      <c r="V35" s="311"/>
      <c r="W35" s="253"/>
    </row>
    <row r="36" spans="2:23" s="1" customFormat="1" ht="16.5" customHeight="1" thickBot="1">
      <c r="B36" s="139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6"/>
    </row>
    <row r="37" spans="2:23" ht="16.5" customHeight="1" thickTop="1"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</row>
    <row r="38" spans="3:6" ht="16.5" customHeight="1">
      <c r="C38" s="312"/>
      <c r="D38" s="312"/>
      <c r="E38" s="312"/>
      <c r="F38" s="312"/>
    </row>
    <row r="39" ht="16.5" customHeight="1"/>
    <row r="40" ht="16.5" customHeight="1"/>
    <row r="41" ht="16.5" customHeight="1"/>
    <row r="42" ht="16.5" customHeight="1"/>
    <row r="43" ht="16.5" customHeight="1"/>
  </sheetData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6">
    <pageSetUpPr fitToPage="1"/>
  </sheetPr>
  <dimension ref="A1:W47"/>
  <sheetViews>
    <sheetView zoomScale="75" zoomScaleNormal="75" workbookViewId="0" topLeftCell="A1">
      <selection activeCell="B36" sqref="B36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'TOT-0912'!B2</f>
        <v>ANEXO IV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'TOT-0912'!B14</f>
        <v>Desde el 01 al 30 de septiembre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18.46</v>
      </c>
      <c r="H14" s="266">
        <f>60*'TOT-0912'!B13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9.23</v>
      </c>
      <c r="H15" s="266">
        <f>50*'TOT-0912'!B13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6.921</v>
      </c>
      <c r="H16" s="270">
        <f>50*'TOT-0912'!B13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6.921</v>
      </c>
      <c r="H17" s="275">
        <f>40*'TOT-0912'!B13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36">
        <v>3</v>
      </c>
      <c r="D18" s="436">
        <v>4</v>
      </c>
      <c r="E18" s="436">
        <v>5</v>
      </c>
      <c r="F18" s="436">
        <v>6</v>
      </c>
      <c r="G18" s="436">
        <v>7</v>
      </c>
      <c r="H18" s="436">
        <v>8</v>
      </c>
      <c r="I18" s="436">
        <v>9</v>
      </c>
      <c r="J18" s="436">
        <v>10</v>
      </c>
      <c r="K18" s="436">
        <v>11</v>
      </c>
      <c r="L18" s="436">
        <v>12</v>
      </c>
      <c r="M18" s="436">
        <v>13</v>
      </c>
      <c r="N18" s="436">
        <v>14</v>
      </c>
      <c r="O18" s="436">
        <v>15</v>
      </c>
      <c r="P18" s="436">
        <v>16</v>
      </c>
      <c r="Q18" s="436">
        <v>17</v>
      </c>
      <c r="R18" s="436">
        <v>18</v>
      </c>
      <c r="S18" s="436">
        <v>19</v>
      </c>
      <c r="T18" s="436">
        <v>20</v>
      </c>
      <c r="U18" s="436">
        <v>21</v>
      </c>
      <c r="V18" s="436">
        <v>22</v>
      </c>
      <c r="W18" s="14"/>
    </row>
    <row r="19" spans="2:23" s="276" customFormat="1" ht="34.5" customHeight="1" thickBot="1" thickTop="1">
      <c r="B19" s="277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66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20"/>
      <c r="E20" s="420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>
        <f>'SA-09 (3)'!V34</f>
        <v>9259.73</v>
      </c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48"/>
      <c r="K21" s="449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>
        <v>168</v>
      </c>
      <c r="D22" s="208">
        <v>252007</v>
      </c>
      <c r="E22" s="208">
        <v>2352</v>
      </c>
      <c r="F22" s="292" t="s">
        <v>255</v>
      </c>
      <c r="G22" s="292" t="s">
        <v>257</v>
      </c>
      <c r="H22" s="303">
        <v>33</v>
      </c>
      <c r="I22" s="294">
        <f aca="true" t="shared" si="0" ref="I22:I41">IF(H22=220,$G$14,IF(AND(H22&lt;=132,H22&gt;=66),$G$15,IF(AND(H22&lt;66,H22&gt;=33),$G$16,$G$17)))</f>
        <v>6.921</v>
      </c>
      <c r="J22" s="448">
        <v>41171.40416666667</v>
      </c>
      <c r="K22" s="449">
        <v>41171.60833333333</v>
      </c>
      <c r="L22" s="224">
        <f aca="true" t="shared" si="1" ref="L22:L41">IF(F22="","",(K22-J22)*24)</f>
        <v>4.899999999906868</v>
      </c>
      <c r="M22" s="295">
        <f aca="true" t="shared" si="2" ref="M22:M41">IF(F22="","",ROUND((K22-J22)*24*60,0))</f>
        <v>294</v>
      </c>
      <c r="N22" s="226" t="s">
        <v>143</v>
      </c>
      <c r="O22" s="442" t="str">
        <f aca="true" t="shared" si="3" ref="O22:O41">IF(F22="","",IF(OR(N22="P",N22="RP"),"--","NO"))</f>
        <v>--</v>
      </c>
      <c r="P22" s="296">
        <f aca="true" t="shared" si="4" ref="P22:P41">IF(H22=220,$H$14,IF(AND(H22&lt;=132,H22&gt;=66),$H$15,IF(AND(H22&lt;66,H22&gt;13.2),$H$16,$H$17)))</f>
        <v>50</v>
      </c>
      <c r="Q22" s="297">
        <f aca="true" t="shared" si="5" ref="Q22:Q41">IF(N22="P",I22*P22*ROUND(M22/60,2)*0.1,"--")</f>
        <v>169.56450000000004</v>
      </c>
      <c r="R22" s="298" t="str">
        <f aca="true" t="shared" si="6" ref="R22:R41">IF(AND(N22="F",O22="NO"),I22*P22,"--")</f>
        <v>--</v>
      </c>
      <c r="S22" s="299" t="str">
        <f aca="true" t="shared" si="7" ref="S22:S41">IF(N22="F",I22*P22*ROUND(M22/60,2),"--")</f>
        <v>--</v>
      </c>
      <c r="T22" s="300" t="str">
        <f aca="true" t="shared" si="8" ref="T22:T41">IF(N22="RF",I22*P22*ROUND(M22/60,2),"--")</f>
        <v>--</v>
      </c>
      <c r="U22" s="443" t="s">
        <v>144</v>
      </c>
      <c r="V22" s="304">
        <f aca="true" t="shared" si="9" ref="V22:V41">IF(F22="","",SUM(Q22:T22)*IF(U22="SI",1,2)*IF(H22="500/220",0,1))</f>
        <v>169.56450000000004</v>
      </c>
      <c r="W22" s="237"/>
    </row>
    <row r="23" spans="2:23" s="1" customFormat="1" ht="16.5" customHeight="1">
      <c r="B23" s="13"/>
      <c r="C23" s="209">
        <v>169</v>
      </c>
      <c r="D23" s="208">
        <v>252010</v>
      </c>
      <c r="E23" s="208">
        <v>5067</v>
      </c>
      <c r="F23" s="292" t="s">
        <v>174</v>
      </c>
      <c r="G23" s="292" t="s">
        <v>293</v>
      </c>
      <c r="H23" s="293">
        <v>132</v>
      </c>
      <c r="I23" s="294">
        <f t="shared" si="0"/>
        <v>9.23</v>
      </c>
      <c r="J23" s="448">
        <v>41172.35277777778</v>
      </c>
      <c r="K23" s="449">
        <v>41172.56527777778</v>
      </c>
      <c r="L23" s="224">
        <f t="shared" si="1"/>
        <v>5.100000000034925</v>
      </c>
      <c r="M23" s="295">
        <f t="shared" si="2"/>
        <v>306</v>
      </c>
      <c r="N23" s="226" t="s">
        <v>143</v>
      </c>
      <c r="O23" s="442" t="str">
        <f t="shared" si="3"/>
        <v>--</v>
      </c>
      <c r="P23" s="296">
        <f t="shared" si="4"/>
        <v>50</v>
      </c>
      <c r="Q23" s="297">
        <f t="shared" si="5"/>
        <v>235.36499999999998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43" t="s">
        <v>144</v>
      </c>
      <c r="V23" s="304">
        <v>0</v>
      </c>
      <c r="W23" s="237"/>
    </row>
    <row r="24" spans="2:23" s="1" customFormat="1" ht="16.5" customHeight="1">
      <c r="B24" s="13"/>
      <c r="C24" s="209">
        <v>170</v>
      </c>
      <c r="D24" s="208">
        <v>252014</v>
      </c>
      <c r="E24" s="208">
        <v>2302</v>
      </c>
      <c r="F24" s="292" t="s">
        <v>258</v>
      </c>
      <c r="G24" s="292" t="s">
        <v>259</v>
      </c>
      <c r="H24" s="293">
        <v>33</v>
      </c>
      <c r="I24" s="294">
        <f t="shared" si="0"/>
        <v>6.921</v>
      </c>
      <c r="J24" s="448">
        <v>41172.40347222222</v>
      </c>
      <c r="K24" s="449">
        <v>41172.60972222222</v>
      </c>
      <c r="L24" s="224">
        <f t="shared" si="1"/>
        <v>4.950000000069849</v>
      </c>
      <c r="M24" s="295">
        <f t="shared" si="2"/>
        <v>297</v>
      </c>
      <c r="N24" s="226" t="s">
        <v>143</v>
      </c>
      <c r="O24" s="442" t="str">
        <f t="shared" si="3"/>
        <v>--</v>
      </c>
      <c r="P24" s="296">
        <f t="shared" si="4"/>
        <v>50</v>
      </c>
      <c r="Q24" s="297">
        <f t="shared" si="5"/>
        <v>171.29475000000002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43" t="s">
        <v>144</v>
      </c>
      <c r="V24" s="304">
        <f t="shared" si="9"/>
        <v>171.29475000000002</v>
      </c>
      <c r="W24" s="237"/>
    </row>
    <row r="25" spans="2:23" s="1" customFormat="1" ht="16.5" customHeight="1">
      <c r="B25" s="13"/>
      <c r="C25" s="209">
        <v>171</v>
      </c>
      <c r="D25" s="208">
        <v>252016</v>
      </c>
      <c r="E25" s="208">
        <v>2359</v>
      </c>
      <c r="F25" s="292" t="s">
        <v>255</v>
      </c>
      <c r="G25" s="292" t="s">
        <v>260</v>
      </c>
      <c r="H25" s="293">
        <v>13.199999809265137</v>
      </c>
      <c r="I25" s="294">
        <f t="shared" si="0"/>
        <v>6.921</v>
      </c>
      <c r="J25" s="448">
        <v>41172.436111111114</v>
      </c>
      <c r="K25" s="449">
        <v>41172.50069444445</v>
      </c>
      <c r="L25" s="224">
        <f t="shared" si="1"/>
        <v>1.5499999999883585</v>
      </c>
      <c r="M25" s="295">
        <f t="shared" si="2"/>
        <v>93</v>
      </c>
      <c r="N25" s="226" t="s">
        <v>143</v>
      </c>
      <c r="O25" s="442" t="str">
        <f t="shared" si="3"/>
        <v>--</v>
      </c>
      <c r="P25" s="296">
        <f t="shared" si="4"/>
        <v>40</v>
      </c>
      <c r="Q25" s="297">
        <f t="shared" si="5"/>
        <v>42.91020000000001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43" t="s">
        <v>144</v>
      </c>
      <c r="V25" s="304">
        <f t="shared" si="9"/>
        <v>42.91020000000001</v>
      </c>
      <c r="W25" s="237"/>
    </row>
    <row r="26" spans="2:23" s="1" customFormat="1" ht="16.5" customHeight="1">
      <c r="B26" s="13"/>
      <c r="C26" s="209">
        <v>172</v>
      </c>
      <c r="D26" s="208">
        <v>252018</v>
      </c>
      <c r="E26" s="208">
        <v>2292</v>
      </c>
      <c r="F26" s="292" t="s">
        <v>261</v>
      </c>
      <c r="G26" s="292" t="s">
        <v>262</v>
      </c>
      <c r="H26" s="293">
        <v>13.199999809265137</v>
      </c>
      <c r="I26" s="294">
        <f t="shared" si="0"/>
        <v>6.921</v>
      </c>
      <c r="J26" s="448">
        <v>41173.32152777778</v>
      </c>
      <c r="K26" s="449">
        <v>41173.5</v>
      </c>
      <c r="L26" s="224">
        <f t="shared" si="1"/>
        <v>4.283333333325572</v>
      </c>
      <c r="M26" s="295">
        <f t="shared" si="2"/>
        <v>257</v>
      </c>
      <c r="N26" s="226" t="s">
        <v>143</v>
      </c>
      <c r="O26" s="442" t="str">
        <f t="shared" si="3"/>
        <v>--</v>
      </c>
      <c r="P26" s="296">
        <f t="shared" si="4"/>
        <v>40</v>
      </c>
      <c r="Q26" s="297">
        <f t="shared" si="5"/>
        <v>118.48752000000002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43" t="s">
        <v>144</v>
      </c>
      <c r="V26" s="304">
        <f t="shared" si="9"/>
        <v>118.48752000000002</v>
      </c>
      <c r="W26" s="237"/>
    </row>
    <row r="27" spans="2:23" s="1" customFormat="1" ht="16.5" customHeight="1">
      <c r="B27" s="13"/>
      <c r="C27" s="209">
        <v>173</v>
      </c>
      <c r="D27" s="208">
        <v>252021</v>
      </c>
      <c r="E27" s="208">
        <v>2199</v>
      </c>
      <c r="F27" s="292" t="s">
        <v>237</v>
      </c>
      <c r="G27" s="292" t="s">
        <v>263</v>
      </c>
      <c r="H27" s="293">
        <v>13.199999809265137</v>
      </c>
      <c r="I27" s="294">
        <f t="shared" si="0"/>
        <v>6.921</v>
      </c>
      <c r="J27" s="448">
        <v>41173.37430555555</v>
      </c>
      <c r="K27" s="449">
        <v>41173.49513888889</v>
      </c>
      <c r="L27" s="224">
        <f t="shared" si="1"/>
        <v>2.900000000023283</v>
      </c>
      <c r="M27" s="295">
        <f t="shared" si="2"/>
        <v>174</v>
      </c>
      <c r="N27" s="226" t="s">
        <v>143</v>
      </c>
      <c r="O27" s="442" t="str">
        <f t="shared" si="3"/>
        <v>--</v>
      </c>
      <c r="P27" s="296">
        <f t="shared" si="4"/>
        <v>40</v>
      </c>
      <c r="Q27" s="297">
        <f t="shared" si="5"/>
        <v>80.2836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43" t="s">
        <v>144</v>
      </c>
      <c r="V27" s="304">
        <f t="shared" si="9"/>
        <v>80.2836</v>
      </c>
      <c r="W27" s="237"/>
    </row>
    <row r="28" spans="2:23" s="1" customFormat="1" ht="16.5" customHeight="1">
      <c r="B28" s="13"/>
      <c r="C28" s="209">
        <v>174</v>
      </c>
      <c r="D28" s="208">
        <v>252023</v>
      </c>
      <c r="E28" s="208">
        <v>2299</v>
      </c>
      <c r="F28" s="292" t="s">
        <v>258</v>
      </c>
      <c r="G28" s="292" t="s">
        <v>264</v>
      </c>
      <c r="H28" s="293">
        <v>33</v>
      </c>
      <c r="I28" s="294">
        <f t="shared" si="0"/>
        <v>6.921</v>
      </c>
      <c r="J28" s="448">
        <v>41173.39166666667</v>
      </c>
      <c r="K28" s="449">
        <v>41173.558333333334</v>
      </c>
      <c r="L28" s="224">
        <f t="shared" si="1"/>
        <v>3.9999999999417923</v>
      </c>
      <c r="M28" s="295">
        <f t="shared" si="2"/>
        <v>240</v>
      </c>
      <c r="N28" s="226" t="s">
        <v>143</v>
      </c>
      <c r="O28" s="442" t="str">
        <f t="shared" si="3"/>
        <v>--</v>
      </c>
      <c r="P28" s="296">
        <f t="shared" si="4"/>
        <v>50</v>
      </c>
      <c r="Q28" s="297">
        <f t="shared" si="5"/>
        <v>138.42000000000002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43" t="s">
        <v>144</v>
      </c>
      <c r="V28" s="304">
        <f t="shared" si="9"/>
        <v>138.42000000000002</v>
      </c>
      <c r="W28" s="237"/>
    </row>
    <row r="29" spans="2:23" s="1" customFormat="1" ht="16.5" customHeight="1">
      <c r="B29" s="13"/>
      <c r="C29" s="209">
        <v>175</v>
      </c>
      <c r="D29" s="208">
        <v>252024</v>
      </c>
      <c r="E29" s="208">
        <v>2356</v>
      </c>
      <c r="F29" s="292" t="s">
        <v>255</v>
      </c>
      <c r="G29" s="292" t="s">
        <v>265</v>
      </c>
      <c r="H29" s="293">
        <v>13.199999809265137</v>
      </c>
      <c r="I29" s="294">
        <f t="shared" si="0"/>
        <v>6.921</v>
      </c>
      <c r="J29" s="448">
        <v>41173.40138888889</v>
      </c>
      <c r="K29" s="449">
        <v>41173.506944444445</v>
      </c>
      <c r="L29" s="224">
        <f t="shared" si="1"/>
        <v>2.53333333338378</v>
      </c>
      <c r="M29" s="295">
        <f t="shared" si="2"/>
        <v>152</v>
      </c>
      <c r="N29" s="226" t="s">
        <v>143</v>
      </c>
      <c r="O29" s="442" t="str">
        <f t="shared" si="3"/>
        <v>--</v>
      </c>
      <c r="P29" s="296">
        <f t="shared" si="4"/>
        <v>40</v>
      </c>
      <c r="Q29" s="297">
        <f t="shared" si="5"/>
        <v>70.04052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43" t="s">
        <v>144</v>
      </c>
      <c r="V29" s="304">
        <f t="shared" si="9"/>
        <v>70.04052</v>
      </c>
      <c r="W29" s="237"/>
    </row>
    <row r="30" spans="2:23" s="1" customFormat="1" ht="16.5" customHeight="1">
      <c r="B30" s="13"/>
      <c r="C30" s="209">
        <v>176</v>
      </c>
      <c r="D30" s="208">
        <v>252025</v>
      </c>
      <c r="E30" s="208">
        <v>2203</v>
      </c>
      <c r="F30" s="292" t="s">
        <v>237</v>
      </c>
      <c r="G30" s="292" t="s">
        <v>266</v>
      </c>
      <c r="H30" s="293">
        <v>13.199999809265137</v>
      </c>
      <c r="I30" s="294">
        <f t="shared" si="0"/>
        <v>6.921</v>
      </c>
      <c r="J30" s="448">
        <v>41173.40625</v>
      </c>
      <c r="K30" s="449">
        <v>41173.572222222225</v>
      </c>
      <c r="L30" s="224">
        <f t="shared" si="1"/>
        <v>3.9833333333954215</v>
      </c>
      <c r="M30" s="295">
        <f t="shared" si="2"/>
        <v>239</v>
      </c>
      <c r="N30" s="226" t="s">
        <v>143</v>
      </c>
      <c r="O30" s="442" t="str">
        <f t="shared" si="3"/>
        <v>--</v>
      </c>
      <c r="P30" s="296">
        <f t="shared" si="4"/>
        <v>40</v>
      </c>
      <c r="Q30" s="297">
        <f t="shared" si="5"/>
        <v>110.18232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43" t="s">
        <v>144</v>
      </c>
      <c r="V30" s="304">
        <f t="shared" si="9"/>
        <v>110.18232</v>
      </c>
      <c r="W30" s="237"/>
    </row>
    <row r="31" spans="2:23" s="1" customFormat="1" ht="16.5" customHeight="1">
      <c r="B31" s="13"/>
      <c r="C31" s="209">
        <v>177</v>
      </c>
      <c r="D31" s="208">
        <v>252217</v>
      </c>
      <c r="E31" s="208">
        <v>2077</v>
      </c>
      <c r="F31" s="292" t="s">
        <v>212</v>
      </c>
      <c r="G31" s="292" t="s">
        <v>267</v>
      </c>
      <c r="H31" s="293">
        <v>33</v>
      </c>
      <c r="I31" s="294">
        <f t="shared" si="0"/>
        <v>6.921</v>
      </c>
      <c r="J31" s="448">
        <v>41176.34930555556</v>
      </c>
      <c r="K31" s="449">
        <v>41176.634722222225</v>
      </c>
      <c r="L31" s="224">
        <f t="shared" si="1"/>
        <v>6.849999999976717</v>
      </c>
      <c r="M31" s="295">
        <f t="shared" si="2"/>
        <v>411</v>
      </c>
      <c r="N31" s="226" t="s">
        <v>143</v>
      </c>
      <c r="O31" s="442" t="str">
        <f t="shared" si="3"/>
        <v>--</v>
      </c>
      <c r="P31" s="296">
        <f t="shared" si="4"/>
        <v>50</v>
      </c>
      <c r="Q31" s="297">
        <f t="shared" si="5"/>
        <v>237.04425000000003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43" t="s">
        <v>144</v>
      </c>
      <c r="V31" s="304">
        <f t="shared" si="9"/>
        <v>237.04425000000003</v>
      </c>
      <c r="W31" s="237"/>
    </row>
    <row r="32" spans="2:23" s="1" customFormat="1" ht="16.5" customHeight="1">
      <c r="B32" s="13"/>
      <c r="C32" s="209">
        <v>178</v>
      </c>
      <c r="D32" s="208">
        <v>252220</v>
      </c>
      <c r="E32" s="208">
        <v>5054</v>
      </c>
      <c r="F32" s="292" t="s">
        <v>203</v>
      </c>
      <c r="G32" s="292" t="s">
        <v>294</v>
      </c>
      <c r="H32" s="293">
        <v>13.2</v>
      </c>
      <c r="I32" s="294">
        <f t="shared" si="0"/>
        <v>6.921</v>
      </c>
      <c r="J32" s="448">
        <v>41177.384722222225</v>
      </c>
      <c r="K32" s="449">
        <v>41177.54305555556</v>
      </c>
      <c r="L32" s="224">
        <f t="shared" si="1"/>
        <v>3.7999999999883585</v>
      </c>
      <c r="M32" s="295">
        <f t="shared" si="2"/>
        <v>228</v>
      </c>
      <c r="N32" s="226" t="s">
        <v>143</v>
      </c>
      <c r="O32" s="442" t="str">
        <f t="shared" si="3"/>
        <v>--</v>
      </c>
      <c r="P32" s="296">
        <f t="shared" si="4"/>
        <v>40</v>
      </c>
      <c r="Q32" s="297">
        <f t="shared" si="5"/>
        <v>105.1992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43" t="s">
        <v>144</v>
      </c>
      <c r="V32" s="304">
        <f t="shared" si="9"/>
        <v>105.1992</v>
      </c>
      <c r="W32" s="237"/>
    </row>
    <row r="33" spans="2:23" s="1" customFormat="1" ht="16.5" customHeight="1">
      <c r="B33" s="13"/>
      <c r="C33" s="209">
        <v>179</v>
      </c>
      <c r="D33" s="208">
        <v>252221</v>
      </c>
      <c r="E33" s="208">
        <v>2051</v>
      </c>
      <c r="F33" s="292" t="s">
        <v>220</v>
      </c>
      <c r="G33" s="292" t="s">
        <v>268</v>
      </c>
      <c r="H33" s="293">
        <v>13.199999809265137</v>
      </c>
      <c r="I33" s="294">
        <f t="shared" si="0"/>
        <v>6.921</v>
      </c>
      <c r="J33" s="448">
        <v>41177.4</v>
      </c>
      <c r="K33" s="449">
        <v>41177.634722222225</v>
      </c>
      <c r="L33" s="224">
        <f t="shared" si="1"/>
        <v>5.633333333360497</v>
      </c>
      <c r="M33" s="295">
        <f t="shared" si="2"/>
        <v>338</v>
      </c>
      <c r="N33" s="226" t="s">
        <v>143</v>
      </c>
      <c r="O33" s="442" t="str">
        <f t="shared" si="3"/>
        <v>--</v>
      </c>
      <c r="P33" s="296">
        <f t="shared" si="4"/>
        <v>40</v>
      </c>
      <c r="Q33" s="297">
        <f t="shared" si="5"/>
        <v>155.86092000000002</v>
      </c>
      <c r="R33" s="298" t="str">
        <f t="shared" si="6"/>
        <v>--</v>
      </c>
      <c r="S33" s="299" t="str">
        <f t="shared" si="7"/>
        <v>--</v>
      </c>
      <c r="T33" s="300" t="str">
        <f t="shared" si="8"/>
        <v>--</v>
      </c>
      <c r="U33" s="443" t="s">
        <v>144</v>
      </c>
      <c r="V33" s="304">
        <f t="shared" si="9"/>
        <v>155.86092000000002</v>
      </c>
      <c r="W33" s="237"/>
    </row>
    <row r="34" spans="2:23" s="1" customFormat="1" ht="16.5" customHeight="1">
      <c r="B34" s="13"/>
      <c r="C34" s="209">
        <v>180</v>
      </c>
      <c r="D34" s="208">
        <v>252223</v>
      </c>
      <c r="E34" s="208">
        <v>2304</v>
      </c>
      <c r="F34" s="292" t="s">
        <v>258</v>
      </c>
      <c r="G34" s="292" t="s">
        <v>269</v>
      </c>
      <c r="H34" s="293">
        <v>33</v>
      </c>
      <c r="I34" s="294">
        <f t="shared" si="0"/>
        <v>6.921</v>
      </c>
      <c r="J34" s="448">
        <v>41177.43125</v>
      </c>
      <c r="K34" s="449">
        <v>41177.60972222222</v>
      </c>
      <c r="L34" s="224">
        <f t="shared" si="1"/>
        <v>4.283333333325572</v>
      </c>
      <c r="M34" s="295">
        <f t="shared" si="2"/>
        <v>257</v>
      </c>
      <c r="N34" s="226" t="s">
        <v>143</v>
      </c>
      <c r="O34" s="442" t="str">
        <f t="shared" si="3"/>
        <v>--</v>
      </c>
      <c r="P34" s="296">
        <f t="shared" si="4"/>
        <v>50</v>
      </c>
      <c r="Q34" s="297">
        <f t="shared" si="5"/>
        <v>148.10940000000002</v>
      </c>
      <c r="R34" s="298" t="str">
        <f t="shared" si="6"/>
        <v>--</v>
      </c>
      <c r="S34" s="299" t="str">
        <f t="shared" si="7"/>
        <v>--</v>
      </c>
      <c r="T34" s="300" t="str">
        <f t="shared" si="8"/>
        <v>--</v>
      </c>
      <c r="U34" s="443" t="s">
        <v>144</v>
      </c>
      <c r="V34" s="304">
        <f t="shared" si="9"/>
        <v>148.10940000000002</v>
      </c>
      <c r="W34" s="237"/>
    </row>
    <row r="35" spans="2:23" s="1" customFormat="1" ht="16.5" customHeight="1">
      <c r="B35" s="13"/>
      <c r="C35" s="209">
        <v>181</v>
      </c>
      <c r="D35" s="208">
        <v>252231</v>
      </c>
      <c r="E35" s="208">
        <v>2305</v>
      </c>
      <c r="F35" s="292" t="s">
        <v>258</v>
      </c>
      <c r="G35" s="292" t="s">
        <v>270</v>
      </c>
      <c r="H35" s="293">
        <v>33</v>
      </c>
      <c r="I35" s="294">
        <f t="shared" si="0"/>
        <v>6.921</v>
      </c>
      <c r="J35" s="448">
        <v>41178.399305555555</v>
      </c>
      <c r="K35" s="449">
        <v>41178.595138888886</v>
      </c>
      <c r="L35" s="224">
        <f t="shared" si="1"/>
        <v>4.699999999953434</v>
      </c>
      <c r="M35" s="295">
        <f t="shared" si="2"/>
        <v>282</v>
      </c>
      <c r="N35" s="226" t="s">
        <v>143</v>
      </c>
      <c r="O35" s="442" t="str">
        <f t="shared" si="3"/>
        <v>--</v>
      </c>
      <c r="P35" s="296">
        <f t="shared" si="4"/>
        <v>50</v>
      </c>
      <c r="Q35" s="297">
        <f t="shared" si="5"/>
        <v>162.64350000000002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43" t="s">
        <v>144</v>
      </c>
      <c r="V35" s="304">
        <f t="shared" si="9"/>
        <v>162.64350000000002</v>
      </c>
      <c r="W35" s="237"/>
    </row>
    <row r="36" spans="2:23" s="1" customFormat="1" ht="16.5" customHeight="1">
      <c r="B36" s="13"/>
      <c r="C36" s="209">
        <v>182</v>
      </c>
      <c r="D36" s="208">
        <v>252232</v>
      </c>
      <c r="E36" s="208">
        <v>2103</v>
      </c>
      <c r="F36" s="292" t="s">
        <v>271</v>
      </c>
      <c r="G36" s="292" t="s">
        <v>272</v>
      </c>
      <c r="H36" s="293">
        <v>13.199999809265137</v>
      </c>
      <c r="I36" s="294">
        <f t="shared" si="0"/>
        <v>6.921</v>
      </c>
      <c r="J36" s="448">
        <v>41178.4</v>
      </c>
      <c r="K36" s="449">
        <v>41178.58611111111</v>
      </c>
      <c r="L36" s="224">
        <f t="shared" si="1"/>
        <v>4.466666666558012</v>
      </c>
      <c r="M36" s="295">
        <f t="shared" si="2"/>
        <v>268</v>
      </c>
      <c r="N36" s="226" t="s">
        <v>143</v>
      </c>
      <c r="O36" s="442" t="str">
        <f t="shared" si="3"/>
        <v>--</v>
      </c>
      <c r="P36" s="296">
        <f t="shared" si="4"/>
        <v>40</v>
      </c>
      <c r="Q36" s="297">
        <f t="shared" si="5"/>
        <v>123.74748000000002</v>
      </c>
      <c r="R36" s="298" t="str">
        <f t="shared" si="6"/>
        <v>--</v>
      </c>
      <c r="S36" s="299" t="str">
        <f t="shared" si="7"/>
        <v>--</v>
      </c>
      <c r="T36" s="300" t="str">
        <f t="shared" si="8"/>
        <v>--</v>
      </c>
      <c r="U36" s="443" t="s">
        <v>144</v>
      </c>
      <c r="V36" s="304">
        <f t="shared" si="9"/>
        <v>123.74748000000002</v>
      </c>
      <c r="W36" s="237"/>
    </row>
    <row r="37" spans="2:23" s="1" customFormat="1" ht="16.5" customHeight="1">
      <c r="B37" s="13"/>
      <c r="C37" s="209">
        <v>183</v>
      </c>
      <c r="D37" s="208">
        <v>252233</v>
      </c>
      <c r="E37" s="208">
        <v>2708</v>
      </c>
      <c r="F37" s="292" t="s">
        <v>205</v>
      </c>
      <c r="G37" s="292" t="s">
        <v>273</v>
      </c>
      <c r="H37" s="293">
        <v>33</v>
      </c>
      <c r="I37" s="294">
        <f t="shared" si="0"/>
        <v>6.921</v>
      </c>
      <c r="J37" s="448">
        <v>41178.43680555555</v>
      </c>
      <c r="K37" s="449">
        <v>41179.728472222225</v>
      </c>
      <c r="L37" s="224">
        <f t="shared" si="1"/>
        <v>31.000000000116415</v>
      </c>
      <c r="M37" s="295">
        <f t="shared" si="2"/>
        <v>1860</v>
      </c>
      <c r="N37" s="226" t="s">
        <v>153</v>
      </c>
      <c r="O37" s="443" t="s">
        <v>144</v>
      </c>
      <c r="P37" s="296">
        <f t="shared" si="4"/>
        <v>50</v>
      </c>
      <c r="Q37" s="297" t="str">
        <f t="shared" si="5"/>
        <v>--</v>
      </c>
      <c r="R37" s="298" t="str">
        <f t="shared" si="6"/>
        <v>--</v>
      </c>
      <c r="S37" s="299">
        <f t="shared" si="7"/>
        <v>10727.550000000001</v>
      </c>
      <c r="T37" s="300" t="str">
        <f t="shared" si="8"/>
        <v>--</v>
      </c>
      <c r="U37" s="443" t="s">
        <v>144</v>
      </c>
      <c r="V37" s="304">
        <f t="shared" si="9"/>
        <v>10727.550000000001</v>
      </c>
      <c r="W37" s="237"/>
    </row>
    <row r="38" spans="2:23" s="1" customFormat="1" ht="16.5" customHeight="1">
      <c r="B38" s="13"/>
      <c r="C38" s="209">
        <v>184</v>
      </c>
      <c r="D38" s="208">
        <v>252234</v>
      </c>
      <c r="E38" s="208">
        <v>2425</v>
      </c>
      <c r="F38" s="292" t="s">
        <v>274</v>
      </c>
      <c r="G38" s="292" t="s">
        <v>275</v>
      </c>
      <c r="H38" s="293">
        <v>33</v>
      </c>
      <c r="I38" s="294">
        <f t="shared" si="0"/>
        <v>6.921</v>
      </c>
      <c r="J38" s="448">
        <v>41178.54583333333</v>
      </c>
      <c r="K38" s="449">
        <v>41178.57430555556</v>
      </c>
      <c r="L38" s="224">
        <f t="shared" si="1"/>
        <v>0.6833333334652707</v>
      </c>
      <c r="M38" s="295">
        <f t="shared" si="2"/>
        <v>41</v>
      </c>
      <c r="N38" s="226" t="s">
        <v>143</v>
      </c>
      <c r="O38" s="442" t="str">
        <f t="shared" si="3"/>
        <v>--</v>
      </c>
      <c r="P38" s="296">
        <f t="shared" si="4"/>
        <v>50</v>
      </c>
      <c r="Q38" s="297">
        <f t="shared" si="5"/>
        <v>23.531400000000005</v>
      </c>
      <c r="R38" s="298" t="str">
        <f t="shared" si="6"/>
        <v>--</v>
      </c>
      <c r="S38" s="299" t="str">
        <f t="shared" si="7"/>
        <v>--</v>
      </c>
      <c r="T38" s="300" t="str">
        <f t="shared" si="8"/>
        <v>--</v>
      </c>
      <c r="U38" s="443" t="s">
        <v>144</v>
      </c>
      <c r="V38" s="304">
        <f t="shared" si="9"/>
        <v>23.531400000000005</v>
      </c>
      <c r="W38" s="237"/>
    </row>
    <row r="39" spans="2:23" s="1" customFormat="1" ht="16.5" customHeight="1">
      <c r="B39" s="13"/>
      <c r="C39" s="209">
        <v>185</v>
      </c>
      <c r="D39" s="208">
        <v>252238</v>
      </c>
      <c r="E39" s="208">
        <v>2311</v>
      </c>
      <c r="F39" s="292" t="s">
        <v>171</v>
      </c>
      <c r="G39" s="292" t="s">
        <v>276</v>
      </c>
      <c r="H39" s="293">
        <v>33</v>
      </c>
      <c r="I39" s="294">
        <f t="shared" si="0"/>
        <v>6.921</v>
      </c>
      <c r="J39" s="448">
        <v>41179.373611111114</v>
      </c>
      <c r="K39" s="449">
        <v>41179.43472222222</v>
      </c>
      <c r="L39" s="224">
        <f t="shared" si="1"/>
        <v>1.4666666665580124</v>
      </c>
      <c r="M39" s="295">
        <f t="shared" si="2"/>
        <v>88</v>
      </c>
      <c r="N39" s="226" t="s">
        <v>143</v>
      </c>
      <c r="O39" s="442" t="str">
        <f t="shared" si="3"/>
        <v>--</v>
      </c>
      <c r="P39" s="296">
        <f t="shared" si="4"/>
        <v>50</v>
      </c>
      <c r="Q39" s="297">
        <f t="shared" si="5"/>
        <v>50.869350000000004</v>
      </c>
      <c r="R39" s="298" t="str">
        <f t="shared" si="6"/>
        <v>--</v>
      </c>
      <c r="S39" s="299" t="str">
        <f t="shared" si="7"/>
        <v>--</v>
      </c>
      <c r="T39" s="300" t="str">
        <f t="shared" si="8"/>
        <v>--</v>
      </c>
      <c r="U39" s="443" t="s">
        <v>144</v>
      </c>
      <c r="V39" s="304">
        <f t="shared" si="9"/>
        <v>50.869350000000004</v>
      </c>
      <c r="W39" s="237"/>
    </row>
    <row r="40" spans="2:23" s="1" customFormat="1" ht="16.5" customHeight="1">
      <c r="B40" s="13"/>
      <c r="C40" s="209">
        <v>186</v>
      </c>
      <c r="D40" s="208">
        <v>252241</v>
      </c>
      <c r="E40" s="208">
        <v>2370</v>
      </c>
      <c r="F40" s="292" t="s">
        <v>240</v>
      </c>
      <c r="G40" s="292" t="s">
        <v>277</v>
      </c>
      <c r="H40" s="293">
        <v>13.199999809265137</v>
      </c>
      <c r="I40" s="294">
        <f t="shared" si="0"/>
        <v>6.921</v>
      </c>
      <c r="J40" s="448">
        <v>41179.44236111111</v>
      </c>
      <c r="K40" s="449">
        <v>41179.584027777775</v>
      </c>
      <c r="L40" s="224">
        <f t="shared" si="1"/>
        <v>3.3999999999068677</v>
      </c>
      <c r="M40" s="295">
        <f t="shared" si="2"/>
        <v>204</v>
      </c>
      <c r="N40" s="226" t="s">
        <v>143</v>
      </c>
      <c r="O40" s="442" t="str">
        <f t="shared" si="3"/>
        <v>--</v>
      </c>
      <c r="P40" s="296">
        <f t="shared" si="4"/>
        <v>40</v>
      </c>
      <c r="Q40" s="297">
        <f t="shared" si="5"/>
        <v>94.12560000000002</v>
      </c>
      <c r="R40" s="298" t="str">
        <f t="shared" si="6"/>
        <v>--</v>
      </c>
      <c r="S40" s="299" t="str">
        <f t="shared" si="7"/>
        <v>--</v>
      </c>
      <c r="T40" s="300" t="str">
        <f t="shared" si="8"/>
        <v>--</v>
      </c>
      <c r="U40" s="443" t="s">
        <v>144</v>
      </c>
      <c r="V40" s="304">
        <f t="shared" si="9"/>
        <v>94.12560000000002</v>
      </c>
      <c r="W40" s="237"/>
    </row>
    <row r="41" spans="2:23" s="1" customFormat="1" ht="16.5" customHeight="1">
      <c r="B41" s="13"/>
      <c r="C41" s="209">
        <v>187</v>
      </c>
      <c r="D41" s="208">
        <v>252242</v>
      </c>
      <c r="E41" s="208">
        <v>2457</v>
      </c>
      <c r="F41" s="292" t="s">
        <v>253</v>
      </c>
      <c r="G41" s="292" t="s">
        <v>278</v>
      </c>
      <c r="H41" s="293">
        <v>33</v>
      </c>
      <c r="I41" s="294">
        <f t="shared" si="0"/>
        <v>6.921</v>
      </c>
      <c r="J41" s="448">
        <v>41179.506944444445</v>
      </c>
      <c r="K41" s="449">
        <v>41179.520833333336</v>
      </c>
      <c r="L41" s="224">
        <f t="shared" si="1"/>
        <v>0.33333333337213844</v>
      </c>
      <c r="M41" s="295">
        <f t="shared" si="2"/>
        <v>20</v>
      </c>
      <c r="N41" s="226" t="s">
        <v>143</v>
      </c>
      <c r="O41" s="442" t="str">
        <f t="shared" si="3"/>
        <v>--</v>
      </c>
      <c r="P41" s="296">
        <f t="shared" si="4"/>
        <v>50</v>
      </c>
      <c r="Q41" s="297">
        <f t="shared" si="5"/>
        <v>11.419650000000003</v>
      </c>
      <c r="R41" s="298" t="str">
        <f t="shared" si="6"/>
        <v>--</v>
      </c>
      <c r="S41" s="299" t="str">
        <f t="shared" si="7"/>
        <v>--</v>
      </c>
      <c r="T41" s="300" t="str">
        <f t="shared" si="8"/>
        <v>--</v>
      </c>
      <c r="U41" s="443" t="s">
        <v>144</v>
      </c>
      <c r="V41" s="304">
        <f t="shared" si="9"/>
        <v>11.419650000000003</v>
      </c>
      <c r="W41" s="237"/>
    </row>
    <row r="42" spans="2:23" s="1" customFormat="1" ht="16.5" customHeight="1" thickBot="1">
      <c r="B42" s="13"/>
      <c r="C42" s="317"/>
      <c r="D42" s="317"/>
      <c r="E42" s="317"/>
      <c r="F42" s="317"/>
      <c r="G42" s="317"/>
      <c r="H42" s="317"/>
      <c r="I42" s="305"/>
      <c r="J42" s="407"/>
      <c r="K42" s="407"/>
      <c r="L42" s="238"/>
      <c r="M42" s="238"/>
      <c r="N42" s="317"/>
      <c r="O42" s="317"/>
      <c r="P42" s="327"/>
      <c r="Q42" s="328"/>
      <c r="R42" s="329"/>
      <c r="S42" s="330"/>
      <c r="T42" s="331"/>
      <c r="U42" s="317"/>
      <c r="V42" s="306"/>
      <c r="W42" s="237"/>
    </row>
    <row r="43" spans="2:23" s="1" customFormat="1" ht="16.5" customHeight="1" thickBot="1" thickTop="1">
      <c r="B43" s="13"/>
      <c r="C43" s="452" t="s">
        <v>296</v>
      </c>
      <c r="D43" s="451" t="s">
        <v>295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307">
        <f>SUM(Q20:Q42)</f>
        <v>2249.0991599999993</v>
      </c>
      <c r="R43" s="308">
        <f>SUM(R20:R42)</f>
        <v>0</v>
      </c>
      <c r="S43" s="308">
        <f>SUM(S20:S42)</f>
        <v>10727.550000000001</v>
      </c>
      <c r="T43" s="309">
        <f>SUM(T20:T42)</f>
        <v>0</v>
      </c>
      <c r="U43" s="310"/>
      <c r="V43" s="419">
        <f>ROUND(SUM(V20:V42),2)</f>
        <v>22001.01</v>
      </c>
      <c r="W43" s="237"/>
    </row>
    <row r="44" spans="2:23" s="126" customFormat="1" ht="9.75" thickTop="1">
      <c r="B44" s="127"/>
      <c r="C44" s="128"/>
      <c r="D44" s="128"/>
      <c r="E44" s="128"/>
      <c r="F44" s="1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  <c r="V44" s="311"/>
      <c r="W44" s="253"/>
    </row>
    <row r="45" spans="2:23" s="1" customFormat="1" ht="16.5" customHeight="1" thickBot="1">
      <c r="B45" s="139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6"/>
    </row>
    <row r="46" spans="2:23" ht="16.5" customHeight="1" thickTop="1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</row>
    <row r="47" spans="3:6" ht="16.5" customHeight="1">
      <c r="C47" s="312"/>
      <c r="D47" s="312"/>
      <c r="E47" s="312"/>
      <c r="F47" s="312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&amp;L&amp;F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7">
    <pageSetUpPr fitToPage="1"/>
  </sheetPr>
  <dimension ref="A1:W47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'TOT-0912'!B2</f>
        <v>ANEXO IV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'TOT-0912'!B14</f>
        <v>Desde el 01 al 30 de septiembre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18.46</v>
      </c>
      <c r="H14" s="266">
        <f>60*'TOT-0912'!B13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9.23</v>
      </c>
      <c r="H15" s="266">
        <f>50*'TOT-0912'!B13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6.921</v>
      </c>
      <c r="H16" s="270">
        <f>50*'TOT-0912'!B13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6.921</v>
      </c>
      <c r="H17" s="275">
        <f>40*'TOT-0912'!B13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36">
        <v>3</v>
      </c>
      <c r="D18" s="436">
        <v>4</v>
      </c>
      <c r="E18" s="436">
        <v>5</v>
      </c>
      <c r="F18" s="436">
        <v>6</v>
      </c>
      <c r="G18" s="436">
        <v>7</v>
      </c>
      <c r="H18" s="436">
        <v>8</v>
      </c>
      <c r="I18" s="436">
        <v>9</v>
      </c>
      <c r="J18" s="436">
        <v>10</v>
      </c>
      <c r="K18" s="436">
        <v>11</v>
      </c>
      <c r="L18" s="436">
        <v>12</v>
      </c>
      <c r="M18" s="436">
        <v>13</v>
      </c>
      <c r="N18" s="436">
        <v>14</v>
      </c>
      <c r="O18" s="436">
        <v>15</v>
      </c>
      <c r="P18" s="436">
        <v>16</v>
      </c>
      <c r="Q18" s="436">
        <v>17</v>
      </c>
      <c r="R18" s="436">
        <v>18</v>
      </c>
      <c r="S18" s="436">
        <v>19</v>
      </c>
      <c r="T18" s="436">
        <v>20</v>
      </c>
      <c r="U18" s="436">
        <v>21</v>
      </c>
      <c r="V18" s="436">
        <v>22</v>
      </c>
      <c r="W18" s="14"/>
    </row>
    <row r="19" spans="2:23" s="276" customFormat="1" ht="34.5" customHeight="1" thickBot="1" thickTop="1">
      <c r="B19" s="277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66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20"/>
      <c r="E20" s="420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>
        <f>'SA-09 (4)'!V43</f>
        <v>22001.01</v>
      </c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48"/>
      <c r="K21" s="449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>
        <v>188</v>
      </c>
      <c r="D22" s="208">
        <v>252246</v>
      </c>
      <c r="E22" s="208">
        <v>2368</v>
      </c>
      <c r="F22" s="292" t="s">
        <v>240</v>
      </c>
      <c r="G22" s="292" t="s">
        <v>279</v>
      </c>
      <c r="H22" s="303">
        <v>13.199999809265137</v>
      </c>
      <c r="I22" s="294">
        <f aca="true" t="shared" si="0" ref="I22:I41">IF(H22=220,$G$14,IF(AND(H22&lt;=132,H22&gt;=66),$G$15,IF(AND(H22&lt;66,H22&gt;=33),$G$16,$G$17)))</f>
        <v>6.921</v>
      </c>
      <c r="J22" s="448">
        <v>41180.38333333333</v>
      </c>
      <c r="K22" s="449">
        <v>41180.575694444444</v>
      </c>
      <c r="L22" s="224">
        <f aca="true" t="shared" si="1" ref="L22:L41">IF(F22="","",(K22-J22)*24)</f>
        <v>4.616666666697711</v>
      </c>
      <c r="M22" s="295">
        <f aca="true" t="shared" si="2" ref="M22:M41">IF(F22="","",ROUND((K22-J22)*24*60,0))</f>
        <v>277</v>
      </c>
      <c r="N22" s="226" t="s">
        <v>143</v>
      </c>
      <c r="O22" s="442" t="str">
        <f aca="true" t="shared" si="3" ref="O22:O41">IF(F22="","",IF(OR(N22="P",N22="RP"),"--","NO"))</f>
        <v>--</v>
      </c>
      <c r="P22" s="296">
        <f aca="true" t="shared" si="4" ref="P22:P41">IF(H22=220,$H$14,IF(AND(H22&lt;=132,H22&gt;=66),$H$15,IF(AND(H22&lt;66,H22&gt;13.2),$H$16,$H$17)))</f>
        <v>40</v>
      </c>
      <c r="Q22" s="297">
        <f aca="true" t="shared" si="5" ref="Q22:Q41">IF(N22="P",I22*P22*ROUND(M22/60,2)*0.1,"--")</f>
        <v>127.90008000000003</v>
      </c>
      <c r="R22" s="298" t="str">
        <f aca="true" t="shared" si="6" ref="R22:R41">IF(AND(N22="F",O22="NO"),I22*P22,"--")</f>
        <v>--</v>
      </c>
      <c r="S22" s="299" t="str">
        <f aca="true" t="shared" si="7" ref="S22:S41">IF(N22="F",I22*P22*ROUND(M22/60,2),"--")</f>
        <v>--</v>
      </c>
      <c r="T22" s="300" t="str">
        <f aca="true" t="shared" si="8" ref="T22:T41">IF(N22="RF",I22*P22*ROUND(M22/60,2),"--")</f>
        <v>--</v>
      </c>
      <c r="U22" s="443" t="s">
        <v>144</v>
      </c>
      <c r="V22" s="304">
        <f aca="true" t="shared" si="9" ref="V22:V41">IF(F22="","",SUM(Q22:T22)*IF(U22="SI",1,2)*IF(H22="500/220",0,1))</f>
        <v>127.90008000000003</v>
      </c>
      <c r="W22" s="237"/>
    </row>
    <row r="23" spans="2:23" s="1" customFormat="1" ht="16.5" customHeight="1">
      <c r="B23" s="13"/>
      <c r="C23" s="209">
        <v>189</v>
      </c>
      <c r="D23" s="208">
        <v>252250</v>
      </c>
      <c r="E23" s="208">
        <v>2073</v>
      </c>
      <c r="F23" s="292" t="s">
        <v>212</v>
      </c>
      <c r="G23" s="292" t="s">
        <v>280</v>
      </c>
      <c r="H23" s="293">
        <v>33</v>
      </c>
      <c r="I23" s="294">
        <f t="shared" si="0"/>
        <v>6.921</v>
      </c>
      <c r="J23" s="448">
        <v>41182.365277777775</v>
      </c>
      <c r="K23" s="449">
        <v>41182.69861111111</v>
      </c>
      <c r="L23" s="224">
        <f t="shared" si="1"/>
        <v>8.000000000058208</v>
      </c>
      <c r="M23" s="295">
        <f t="shared" si="2"/>
        <v>480</v>
      </c>
      <c r="N23" s="226" t="s">
        <v>143</v>
      </c>
      <c r="O23" s="442" t="str">
        <f t="shared" si="3"/>
        <v>--</v>
      </c>
      <c r="P23" s="296">
        <f t="shared" si="4"/>
        <v>50</v>
      </c>
      <c r="Q23" s="297">
        <f t="shared" si="5"/>
        <v>276.84000000000003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43" t="s">
        <v>144</v>
      </c>
      <c r="V23" s="304">
        <f t="shared" si="9"/>
        <v>276.84000000000003</v>
      </c>
      <c r="W23" s="237"/>
    </row>
    <row r="24" spans="2:23" s="1" customFormat="1" ht="16.5" customHeight="1">
      <c r="B24" s="13"/>
      <c r="C24" s="209"/>
      <c r="D24" s="208"/>
      <c r="E24" s="208"/>
      <c r="F24" s="292"/>
      <c r="G24" s="292"/>
      <c r="H24" s="293"/>
      <c r="I24" s="294">
        <f t="shared" si="0"/>
        <v>6.921</v>
      </c>
      <c r="J24" s="448"/>
      <c r="K24" s="449"/>
      <c r="L24" s="224">
        <f t="shared" si="1"/>
      </c>
      <c r="M24" s="295">
        <f t="shared" si="2"/>
      </c>
      <c r="N24" s="226"/>
      <c r="O24" s="442">
        <f t="shared" si="3"/>
      </c>
      <c r="P24" s="296">
        <f t="shared" si="4"/>
        <v>40</v>
      </c>
      <c r="Q24" s="297" t="str">
        <f t="shared" si="5"/>
        <v>--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43">
        <f aca="true" t="shared" si="10" ref="U24:U41">IF(F24="","","SI")</f>
      </c>
      <c r="V24" s="304">
        <f t="shared" si="9"/>
      </c>
      <c r="W24" s="237"/>
    </row>
    <row r="25" spans="2:23" s="1" customFormat="1" ht="16.5" customHeight="1">
      <c r="B25" s="13"/>
      <c r="C25" s="209"/>
      <c r="D25" s="208"/>
      <c r="E25" s="208"/>
      <c r="F25" s="292"/>
      <c r="G25" s="292"/>
      <c r="H25" s="293"/>
      <c r="I25" s="294">
        <f t="shared" si="0"/>
        <v>6.921</v>
      </c>
      <c r="J25" s="448"/>
      <c r="K25" s="449"/>
      <c r="L25" s="224">
        <f t="shared" si="1"/>
      </c>
      <c r="M25" s="295">
        <f t="shared" si="2"/>
      </c>
      <c r="N25" s="226"/>
      <c r="O25" s="442">
        <f t="shared" si="3"/>
      </c>
      <c r="P25" s="296">
        <f t="shared" si="4"/>
        <v>40</v>
      </c>
      <c r="Q25" s="297" t="str">
        <f t="shared" si="5"/>
        <v>--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43">
        <f t="shared" si="10"/>
      </c>
      <c r="V25" s="304">
        <f t="shared" si="9"/>
      </c>
      <c r="W25" s="237"/>
    </row>
    <row r="26" spans="2:23" s="1" customFormat="1" ht="16.5" customHeight="1">
      <c r="B26" s="13"/>
      <c r="C26" s="209"/>
      <c r="D26" s="208"/>
      <c r="E26" s="208"/>
      <c r="F26" s="292"/>
      <c r="G26" s="292"/>
      <c r="H26" s="293"/>
      <c r="I26" s="294">
        <f t="shared" si="0"/>
        <v>6.921</v>
      </c>
      <c r="J26" s="448"/>
      <c r="K26" s="449"/>
      <c r="L26" s="224">
        <f t="shared" si="1"/>
      </c>
      <c r="M26" s="295">
        <f t="shared" si="2"/>
      </c>
      <c r="N26" s="226"/>
      <c r="O26" s="442">
        <f t="shared" si="3"/>
      </c>
      <c r="P26" s="296">
        <f t="shared" si="4"/>
        <v>40</v>
      </c>
      <c r="Q26" s="297" t="str">
        <f t="shared" si="5"/>
        <v>--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43">
        <f t="shared" si="10"/>
      </c>
      <c r="V26" s="304">
        <f t="shared" si="9"/>
      </c>
      <c r="W26" s="237"/>
    </row>
    <row r="27" spans="2:23" s="1" customFormat="1" ht="16.5" customHeight="1">
      <c r="B27" s="13"/>
      <c r="C27" s="209"/>
      <c r="D27" s="208"/>
      <c r="E27" s="208"/>
      <c r="F27" s="292"/>
      <c r="G27" s="292"/>
      <c r="H27" s="293"/>
      <c r="I27" s="294">
        <f t="shared" si="0"/>
        <v>6.921</v>
      </c>
      <c r="J27" s="448"/>
      <c r="K27" s="449"/>
      <c r="L27" s="224">
        <f t="shared" si="1"/>
      </c>
      <c r="M27" s="295">
        <f t="shared" si="2"/>
      </c>
      <c r="N27" s="226"/>
      <c r="O27" s="442">
        <f t="shared" si="3"/>
      </c>
      <c r="P27" s="296">
        <f t="shared" si="4"/>
        <v>40</v>
      </c>
      <c r="Q27" s="297" t="str">
        <f t="shared" si="5"/>
        <v>--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43">
        <f t="shared" si="10"/>
      </c>
      <c r="V27" s="304">
        <f t="shared" si="9"/>
      </c>
      <c r="W27" s="237"/>
    </row>
    <row r="28" spans="2:23" s="1" customFormat="1" ht="16.5" customHeight="1">
      <c r="B28" s="13"/>
      <c r="C28" s="209"/>
      <c r="D28" s="208"/>
      <c r="E28" s="208"/>
      <c r="F28" s="292"/>
      <c r="G28" s="292"/>
      <c r="H28" s="293"/>
      <c r="I28" s="294">
        <f t="shared" si="0"/>
        <v>6.921</v>
      </c>
      <c r="J28" s="448"/>
      <c r="K28" s="449"/>
      <c r="L28" s="224">
        <f t="shared" si="1"/>
      </c>
      <c r="M28" s="295">
        <f t="shared" si="2"/>
      </c>
      <c r="N28" s="226"/>
      <c r="O28" s="442">
        <f t="shared" si="3"/>
      </c>
      <c r="P28" s="296">
        <f t="shared" si="4"/>
        <v>40</v>
      </c>
      <c r="Q28" s="297" t="str">
        <f t="shared" si="5"/>
        <v>--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43">
        <f t="shared" si="10"/>
      </c>
      <c r="V28" s="304">
        <f t="shared" si="9"/>
      </c>
      <c r="W28" s="237"/>
    </row>
    <row r="29" spans="2:23" s="1" customFormat="1" ht="16.5" customHeight="1">
      <c r="B29" s="13"/>
      <c r="C29" s="209"/>
      <c r="D29" s="208"/>
      <c r="E29" s="208"/>
      <c r="F29" s="292"/>
      <c r="G29" s="292"/>
      <c r="H29" s="293"/>
      <c r="I29" s="294">
        <f t="shared" si="0"/>
        <v>6.921</v>
      </c>
      <c r="J29" s="448"/>
      <c r="K29" s="449"/>
      <c r="L29" s="224">
        <f t="shared" si="1"/>
      </c>
      <c r="M29" s="295">
        <f t="shared" si="2"/>
      </c>
      <c r="N29" s="226"/>
      <c r="O29" s="442">
        <f t="shared" si="3"/>
      </c>
      <c r="P29" s="296">
        <f t="shared" si="4"/>
        <v>40</v>
      </c>
      <c r="Q29" s="297" t="str">
        <f t="shared" si="5"/>
        <v>--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43">
        <f t="shared" si="10"/>
      </c>
      <c r="V29" s="304">
        <f t="shared" si="9"/>
      </c>
      <c r="W29" s="237"/>
    </row>
    <row r="30" spans="2:23" s="1" customFormat="1" ht="16.5" customHeight="1">
      <c r="B30" s="13"/>
      <c r="C30" s="209"/>
      <c r="D30" s="208"/>
      <c r="E30" s="208"/>
      <c r="F30" s="292"/>
      <c r="G30" s="292"/>
      <c r="H30" s="293"/>
      <c r="I30" s="294">
        <f t="shared" si="0"/>
        <v>6.921</v>
      </c>
      <c r="J30" s="448"/>
      <c r="K30" s="449"/>
      <c r="L30" s="224">
        <f t="shared" si="1"/>
      </c>
      <c r="M30" s="295">
        <f t="shared" si="2"/>
      </c>
      <c r="N30" s="226"/>
      <c r="O30" s="442">
        <f t="shared" si="3"/>
      </c>
      <c r="P30" s="296">
        <f t="shared" si="4"/>
        <v>40</v>
      </c>
      <c r="Q30" s="297" t="str">
        <f t="shared" si="5"/>
        <v>--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43">
        <f t="shared" si="10"/>
      </c>
      <c r="V30" s="304">
        <f t="shared" si="9"/>
      </c>
      <c r="W30" s="237"/>
    </row>
    <row r="31" spans="2:23" s="1" customFormat="1" ht="16.5" customHeight="1">
      <c r="B31" s="13"/>
      <c r="C31" s="209"/>
      <c r="D31" s="208"/>
      <c r="E31" s="208"/>
      <c r="F31" s="292"/>
      <c r="G31" s="292"/>
      <c r="H31" s="293"/>
      <c r="I31" s="294">
        <f t="shared" si="0"/>
        <v>6.921</v>
      </c>
      <c r="J31" s="448"/>
      <c r="K31" s="449"/>
      <c r="L31" s="224">
        <f t="shared" si="1"/>
      </c>
      <c r="M31" s="295">
        <f t="shared" si="2"/>
      </c>
      <c r="N31" s="226"/>
      <c r="O31" s="442">
        <f t="shared" si="3"/>
      </c>
      <c r="P31" s="296">
        <f t="shared" si="4"/>
        <v>40</v>
      </c>
      <c r="Q31" s="297" t="str">
        <f t="shared" si="5"/>
        <v>--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43">
        <f t="shared" si="10"/>
      </c>
      <c r="V31" s="304">
        <f t="shared" si="9"/>
      </c>
      <c r="W31" s="237"/>
    </row>
    <row r="32" spans="2:23" s="1" customFormat="1" ht="16.5" customHeight="1">
      <c r="B32" s="13"/>
      <c r="C32" s="209"/>
      <c r="D32" s="208"/>
      <c r="E32" s="208"/>
      <c r="F32" s="292"/>
      <c r="G32" s="292"/>
      <c r="H32" s="293"/>
      <c r="I32" s="294">
        <f t="shared" si="0"/>
        <v>6.921</v>
      </c>
      <c r="J32" s="448"/>
      <c r="K32" s="449"/>
      <c r="L32" s="224">
        <f t="shared" si="1"/>
      </c>
      <c r="M32" s="295">
        <f t="shared" si="2"/>
      </c>
      <c r="N32" s="226"/>
      <c r="O32" s="442">
        <f t="shared" si="3"/>
      </c>
      <c r="P32" s="296">
        <f t="shared" si="4"/>
        <v>40</v>
      </c>
      <c r="Q32" s="297" t="str">
        <f t="shared" si="5"/>
        <v>--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43">
        <f t="shared" si="10"/>
      </c>
      <c r="V32" s="304">
        <f t="shared" si="9"/>
      </c>
      <c r="W32" s="237"/>
    </row>
    <row r="33" spans="2:23" s="1" customFormat="1" ht="16.5" customHeight="1">
      <c r="B33" s="13"/>
      <c r="C33" s="209"/>
      <c r="D33" s="208"/>
      <c r="E33" s="208"/>
      <c r="F33" s="292"/>
      <c r="G33" s="292"/>
      <c r="H33" s="293"/>
      <c r="I33" s="294">
        <f t="shared" si="0"/>
        <v>6.921</v>
      </c>
      <c r="J33" s="448"/>
      <c r="K33" s="449"/>
      <c r="L33" s="224">
        <f t="shared" si="1"/>
      </c>
      <c r="M33" s="295">
        <f t="shared" si="2"/>
      </c>
      <c r="N33" s="226"/>
      <c r="O33" s="442">
        <f t="shared" si="3"/>
      </c>
      <c r="P33" s="296">
        <f t="shared" si="4"/>
        <v>40</v>
      </c>
      <c r="Q33" s="297" t="str">
        <f t="shared" si="5"/>
        <v>--</v>
      </c>
      <c r="R33" s="298" t="str">
        <f t="shared" si="6"/>
        <v>--</v>
      </c>
      <c r="S33" s="299" t="str">
        <f t="shared" si="7"/>
        <v>--</v>
      </c>
      <c r="T33" s="300" t="str">
        <f t="shared" si="8"/>
        <v>--</v>
      </c>
      <c r="U33" s="443">
        <f t="shared" si="10"/>
      </c>
      <c r="V33" s="304">
        <f t="shared" si="9"/>
      </c>
      <c r="W33" s="237"/>
    </row>
    <row r="34" spans="2:23" s="1" customFormat="1" ht="16.5" customHeight="1">
      <c r="B34" s="13"/>
      <c r="C34" s="209"/>
      <c r="D34" s="208"/>
      <c r="E34" s="208"/>
      <c r="F34" s="292"/>
      <c r="G34" s="292"/>
      <c r="H34" s="293"/>
      <c r="I34" s="294">
        <f t="shared" si="0"/>
        <v>6.921</v>
      </c>
      <c r="J34" s="448"/>
      <c r="K34" s="449"/>
      <c r="L34" s="224">
        <f t="shared" si="1"/>
      </c>
      <c r="M34" s="295">
        <f t="shared" si="2"/>
      </c>
      <c r="N34" s="226"/>
      <c r="O34" s="442">
        <f t="shared" si="3"/>
      </c>
      <c r="P34" s="296">
        <f t="shared" si="4"/>
        <v>40</v>
      </c>
      <c r="Q34" s="297" t="str">
        <f t="shared" si="5"/>
        <v>--</v>
      </c>
      <c r="R34" s="298" t="str">
        <f t="shared" si="6"/>
        <v>--</v>
      </c>
      <c r="S34" s="299" t="str">
        <f t="shared" si="7"/>
        <v>--</v>
      </c>
      <c r="T34" s="300" t="str">
        <f t="shared" si="8"/>
        <v>--</v>
      </c>
      <c r="U34" s="443">
        <f t="shared" si="10"/>
      </c>
      <c r="V34" s="304">
        <f t="shared" si="9"/>
      </c>
      <c r="W34" s="237"/>
    </row>
    <row r="35" spans="2:23" s="1" customFormat="1" ht="16.5" customHeight="1">
      <c r="B35" s="13"/>
      <c r="C35" s="209"/>
      <c r="D35" s="208"/>
      <c r="E35" s="208"/>
      <c r="F35" s="292"/>
      <c r="G35" s="292"/>
      <c r="H35" s="293"/>
      <c r="I35" s="294">
        <f t="shared" si="0"/>
        <v>6.921</v>
      </c>
      <c r="J35" s="448"/>
      <c r="K35" s="449"/>
      <c r="L35" s="224">
        <f t="shared" si="1"/>
      </c>
      <c r="M35" s="295">
        <f t="shared" si="2"/>
      </c>
      <c r="N35" s="226"/>
      <c r="O35" s="442">
        <f t="shared" si="3"/>
      </c>
      <c r="P35" s="296">
        <f t="shared" si="4"/>
        <v>40</v>
      </c>
      <c r="Q35" s="297" t="str">
        <f t="shared" si="5"/>
        <v>--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43">
        <f t="shared" si="10"/>
      </c>
      <c r="V35" s="304">
        <f t="shared" si="9"/>
      </c>
      <c r="W35" s="237"/>
    </row>
    <row r="36" spans="2:23" s="1" customFormat="1" ht="16.5" customHeight="1">
      <c r="B36" s="13"/>
      <c r="C36" s="209"/>
      <c r="D36" s="208"/>
      <c r="E36" s="208"/>
      <c r="F36" s="292"/>
      <c r="G36" s="292"/>
      <c r="H36" s="293"/>
      <c r="I36" s="294">
        <f t="shared" si="0"/>
        <v>6.921</v>
      </c>
      <c r="J36" s="448"/>
      <c r="K36" s="449"/>
      <c r="L36" s="224">
        <f t="shared" si="1"/>
      </c>
      <c r="M36" s="295">
        <f t="shared" si="2"/>
      </c>
      <c r="N36" s="226"/>
      <c r="O36" s="442">
        <f t="shared" si="3"/>
      </c>
      <c r="P36" s="296">
        <f t="shared" si="4"/>
        <v>40</v>
      </c>
      <c r="Q36" s="297" t="str">
        <f t="shared" si="5"/>
        <v>--</v>
      </c>
      <c r="R36" s="298" t="str">
        <f t="shared" si="6"/>
        <v>--</v>
      </c>
      <c r="S36" s="299" t="str">
        <f t="shared" si="7"/>
        <v>--</v>
      </c>
      <c r="T36" s="300" t="str">
        <f t="shared" si="8"/>
        <v>--</v>
      </c>
      <c r="U36" s="443">
        <f t="shared" si="10"/>
      </c>
      <c r="V36" s="304">
        <f t="shared" si="9"/>
      </c>
      <c r="W36" s="237"/>
    </row>
    <row r="37" spans="2:23" s="1" customFormat="1" ht="16.5" customHeight="1">
      <c r="B37" s="13"/>
      <c r="C37" s="209"/>
      <c r="D37" s="208"/>
      <c r="E37" s="208"/>
      <c r="F37" s="292"/>
      <c r="G37" s="292"/>
      <c r="H37" s="293"/>
      <c r="I37" s="294">
        <f t="shared" si="0"/>
        <v>6.921</v>
      </c>
      <c r="J37" s="448"/>
      <c r="K37" s="449"/>
      <c r="L37" s="224">
        <f t="shared" si="1"/>
      </c>
      <c r="M37" s="295">
        <f t="shared" si="2"/>
      </c>
      <c r="N37" s="226"/>
      <c r="O37" s="442">
        <f t="shared" si="3"/>
      </c>
      <c r="P37" s="296">
        <f t="shared" si="4"/>
        <v>40</v>
      </c>
      <c r="Q37" s="297" t="str">
        <f t="shared" si="5"/>
        <v>--</v>
      </c>
      <c r="R37" s="298" t="str">
        <f t="shared" si="6"/>
        <v>--</v>
      </c>
      <c r="S37" s="299" t="str">
        <f t="shared" si="7"/>
        <v>--</v>
      </c>
      <c r="T37" s="300" t="str">
        <f t="shared" si="8"/>
        <v>--</v>
      </c>
      <c r="U37" s="443">
        <f t="shared" si="10"/>
      </c>
      <c r="V37" s="304">
        <f t="shared" si="9"/>
      </c>
      <c r="W37" s="237"/>
    </row>
    <row r="38" spans="2:23" s="1" customFormat="1" ht="16.5" customHeight="1">
      <c r="B38" s="13"/>
      <c r="C38" s="209"/>
      <c r="D38" s="208"/>
      <c r="E38" s="208"/>
      <c r="F38" s="292"/>
      <c r="G38" s="292"/>
      <c r="H38" s="293"/>
      <c r="I38" s="294">
        <f t="shared" si="0"/>
        <v>6.921</v>
      </c>
      <c r="J38" s="448"/>
      <c r="K38" s="449"/>
      <c r="L38" s="224">
        <f t="shared" si="1"/>
      </c>
      <c r="M38" s="295">
        <f t="shared" si="2"/>
      </c>
      <c r="N38" s="226"/>
      <c r="O38" s="442">
        <f t="shared" si="3"/>
      </c>
      <c r="P38" s="296">
        <f t="shared" si="4"/>
        <v>40</v>
      </c>
      <c r="Q38" s="297" t="str">
        <f t="shared" si="5"/>
        <v>--</v>
      </c>
      <c r="R38" s="298" t="str">
        <f t="shared" si="6"/>
        <v>--</v>
      </c>
      <c r="S38" s="299" t="str">
        <f t="shared" si="7"/>
        <v>--</v>
      </c>
      <c r="T38" s="300" t="str">
        <f t="shared" si="8"/>
        <v>--</v>
      </c>
      <c r="U38" s="443">
        <f t="shared" si="10"/>
      </c>
      <c r="V38" s="304">
        <f t="shared" si="9"/>
      </c>
      <c r="W38" s="237"/>
    </row>
    <row r="39" spans="2:23" s="1" customFormat="1" ht="16.5" customHeight="1">
      <c r="B39" s="13"/>
      <c r="C39" s="209"/>
      <c r="D39" s="208"/>
      <c r="E39" s="208"/>
      <c r="F39" s="292"/>
      <c r="G39" s="292"/>
      <c r="H39" s="293"/>
      <c r="I39" s="294">
        <f t="shared" si="0"/>
        <v>6.921</v>
      </c>
      <c r="J39" s="448"/>
      <c r="K39" s="449"/>
      <c r="L39" s="224">
        <f t="shared" si="1"/>
      </c>
      <c r="M39" s="295">
        <f t="shared" si="2"/>
      </c>
      <c r="N39" s="226"/>
      <c r="O39" s="442">
        <f t="shared" si="3"/>
      </c>
      <c r="P39" s="296">
        <f t="shared" si="4"/>
        <v>40</v>
      </c>
      <c r="Q39" s="297" t="str">
        <f t="shared" si="5"/>
        <v>--</v>
      </c>
      <c r="R39" s="298" t="str">
        <f t="shared" si="6"/>
        <v>--</v>
      </c>
      <c r="S39" s="299" t="str">
        <f t="shared" si="7"/>
        <v>--</v>
      </c>
      <c r="T39" s="300" t="str">
        <f t="shared" si="8"/>
        <v>--</v>
      </c>
      <c r="U39" s="443">
        <f t="shared" si="10"/>
      </c>
      <c r="V39" s="304">
        <f t="shared" si="9"/>
      </c>
      <c r="W39" s="237"/>
    </row>
    <row r="40" spans="2:23" s="1" customFormat="1" ht="16.5" customHeight="1">
      <c r="B40" s="13"/>
      <c r="C40" s="209"/>
      <c r="D40" s="208"/>
      <c r="E40" s="208"/>
      <c r="F40" s="292"/>
      <c r="G40" s="292"/>
      <c r="H40" s="293"/>
      <c r="I40" s="294">
        <f t="shared" si="0"/>
        <v>6.921</v>
      </c>
      <c r="J40" s="448"/>
      <c r="K40" s="449"/>
      <c r="L40" s="224">
        <f t="shared" si="1"/>
      </c>
      <c r="M40" s="295">
        <f t="shared" si="2"/>
      </c>
      <c r="N40" s="226"/>
      <c r="O40" s="442">
        <f t="shared" si="3"/>
      </c>
      <c r="P40" s="296">
        <f t="shared" si="4"/>
        <v>40</v>
      </c>
      <c r="Q40" s="297" t="str">
        <f t="shared" si="5"/>
        <v>--</v>
      </c>
      <c r="R40" s="298" t="str">
        <f t="shared" si="6"/>
        <v>--</v>
      </c>
      <c r="S40" s="299" t="str">
        <f t="shared" si="7"/>
        <v>--</v>
      </c>
      <c r="T40" s="300" t="str">
        <f t="shared" si="8"/>
        <v>--</v>
      </c>
      <c r="U40" s="443">
        <f t="shared" si="10"/>
      </c>
      <c r="V40" s="304">
        <f t="shared" si="9"/>
      </c>
      <c r="W40" s="237"/>
    </row>
    <row r="41" spans="2:23" s="1" customFormat="1" ht="16.5" customHeight="1">
      <c r="B41" s="13"/>
      <c r="C41" s="209"/>
      <c r="D41" s="208"/>
      <c r="E41" s="208"/>
      <c r="F41" s="292"/>
      <c r="G41" s="292"/>
      <c r="H41" s="293"/>
      <c r="I41" s="294">
        <f t="shared" si="0"/>
        <v>6.921</v>
      </c>
      <c r="J41" s="448"/>
      <c r="K41" s="449"/>
      <c r="L41" s="224">
        <f t="shared" si="1"/>
      </c>
      <c r="M41" s="295">
        <f t="shared" si="2"/>
      </c>
      <c r="N41" s="226"/>
      <c r="O41" s="442">
        <f t="shared" si="3"/>
      </c>
      <c r="P41" s="296">
        <f t="shared" si="4"/>
        <v>40</v>
      </c>
      <c r="Q41" s="297" t="str">
        <f t="shared" si="5"/>
        <v>--</v>
      </c>
      <c r="R41" s="298" t="str">
        <f t="shared" si="6"/>
        <v>--</v>
      </c>
      <c r="S41" s="299" t="str">
        <f t="shared" si="7"/>
        <v>--</v>
      </c>
      <c r="T41" s="300" t="str">
        <f t="shared" si="8"/>
        <v>--</v>
      </c>
      <c r="U41" s="443">
        <f t="shared" si="10"/>
      </c>
      <c r="V41" s="304">
        <f t="shared" si="9"/>
      </c>
      <c r="W41" s="237"/>
    </row>
    <row r="42" spans="2:23" s="1" customFormat="1" ht="16.5" customHeight="1" thickBot="1">
      <c r="B42" s="13"/>
      <c r="C42" s="317"/>
      <c r="D42" s="317"/>
      <c r="E42" s="317"/>
      <c r="F42" s="317"/>
      <c r="G42" s="317"/>
      <c r="H42" s="317"/>
      <c r="I42" s="305"/>
      <c r="J42" s="407"/>
      <c r="K42" s="407"/>
      <c r="L42" s="238"/>
      <c r="M42" s="238"/>
      <c r="N42" s="317"/>
      <c r="O42" s="317"/>
      <c r="P42" s="327"/>
      <c r="Q42" s="328"/>
      <c r="R42" s="329"/>
      <c r="S42" s="330"/>
      <c r="T42" s="331"/>
      <c r="U42" s="317"/>
      <c r="V42" s="306"/>
      <c r="W42" s="237"/>
    </row>
    <row r="43" spans="2:23" s="1" customFormat="1" ht="16.5" customHeight="1" thickBot="1" thickTop="1">
      <c r="B43" s="13"/>
      <c r="C43" s="452" t="s">
        <v>296</v>
      </c>
      <c r="D43" s="451" t="s">
        <v>297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307">
        <f>SUM(Q20:Q42)</f>
        <v>404.74008000000003</v>
      </c>
      <c r="R43" s="308">
        <f>SUM(R20:R42)</f>
        <v>0</v>
      </c>
      <c r="S43" s="308">
        <f>SUM(S20:S42)</f>
        <v>0</v>
      </c>
      <c r="T43" s="309">
        <f>SUM(T20:T42)</f>
        <v>0</v>
      </c>
      <c r="U43" s="310"/>
      <c r="V43" s="419">
        <f>ROUND(SUM(V20:V42),2)</f>
        <v>22405.75</v>
      </c>
      <c r="W43" s="237"/>
    </row>
    <row r="44" spans="2:23" s="126" customFormat="1" ht="9.75" thickTop="1">
      <c r="B44" s="127"/>
      <c r="C44" s="128"/>
      <c r="D44" s="128"/>
      <c r="E44" s="128"/>
      <c r="F44" s="1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  <c r="V44" s="311"/>
      <c r="W44" s="253"/>
    </row>
    <row r="45" spans="2:23" s="1" customFormat="1" ht="16.5" customHeight="1" thickBot="1">
      <c r="B45" s="139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6"/>
    </row>
    <row r="46" spans="2:23" ht="16.5" customHeight="1" thickTop="1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</row>
    <row r="47" spans="3:6" ht="16.5" customHeight="1">
      <c r="C47" s="312"/>
      <c r="D47" s="312"/>
      <c r="E47" s="312"/>
      <c r="F47" s="312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&amp;L&amp;F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E46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28125" style="5" customWidth="1"/>
    <col min="2" max="2" width="4.00390625" style="5" customWidth="1"/>
    <col min="3" max="3" width="5.57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9.140625" style="5" bestFit="1" customWidth="1"/>
    <col min="10" max="10" width="12.00390625" style="5" customWidth="1"/>
    <col min="11" max="11" width="13.28125" style="5" hidden="1" customWidth="1"/>
    <col min="12" max="13" width="15.7109375" style="5" customWidth="1"/>
    <col min="14" max="16" width="9.7109375" style="5" customWidth="1"/>
    <col min="17" max="19" width="7.7109375" style="5" customWidth="1"/>
    <col min="20" max="20" width="13.28125" style="5" hidden="1" customWidth="1"/>
    <col min="21" max="22" width="14.57421875" style="5" hidden="1" customWidth="1"/>
    <col min="23" max="23" width="16.28125" style="5" hidden="1" customWidth="1"/>
    <col min="24" max="24" width="16.8515625" style="5" hidden="1" customWidth="1"/>
    <col min="25" max="25" width="16.28125" style="5" hidden="1" customWidth="1"/>
    <col min="26" max="28" width="16.8515625" style="5" hidden="1" customWidth="1"/>
    <col min="29" max="29" width="9.7109375" style="5" customWidth="1"/>
    <col min="30" max="30" width="15.7109375" style="5" customWidth="1"/>
    <col min="31" max="31" width="4.00390625" style="5" customWidth="1"/>
    <col min="32" max="32" width="13.00390625" style="5" customWidth="1"/>
    <col min="33" max="16384" width="11.421875" style="5" customWidth="1"/>
  </cols>
  <sheetData>
    <row r="1" spans="2:31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314"/>
    </row>
    <row r="2" spans="2:31" s="3" customFormat="1" ht="26.25">
      <c r="B2" s="16" t="str">
        <f>'TOT-0912'!B2</f>
        <v>ANEXO IV al Memorándum  D.T.E.E.  N°          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2:31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</row>
    <row r="5" spans="1:31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</row>
    <row r="6" spans="2:31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</row>
    <row r="7" spans="2:31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1"/>
    </row>
    <row r="8" spans="2:31" s="22" customFormat="1" ht="20.25">
      <c r="B8" s="152"/>
      <c r="C8" s="153"/>
      <c r="D8" s="153"/>
      <c r="E8" s="153"/>
      <c r="F8" s="154" t="s">
        <v>5</v>
      </c>
      <c r="H8" s="153"/>
      <c r="I8" s="153"/>
      <c r="J8" s="155"/>
      <c r="K8" s="155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6"/>
    </row>
    <row r="9" spans="2:31" s="1" customFormat="1" ht="16.5" customHeight="1">
      <c r="B9" s="157"/>
      <c r="C9" s="2"/>
      <c r="D9" s="2"/>
      <c r="E9" s="2"/>
      <c r="F9" s="2"/>
      <c r="G9" s="2"/>
      <c r="H9" s="2"/>
      <c r="I9" s="2"/>
      <c r="J9" s="14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58"/>
    </row>
    <row r="10" spans="2:31" s="22" customFormat="1" ht="20.25">
      <c r="B10" s="152"/>
      <c r="C10" s="153"/>
      <c r="D10" s="153"/>
      <c r="E10" s="153"/>
      <c r="F10" s="154" t="s">
        <v>77</v>
      </c>
      <c r="G10" s="153"/>
      <c r="H10" s="153"/>
      <c r="I10" s="153"/>
      <c r="J10" s="155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6"/>
    </row>
    <row r="11" spans="2:31" s="1" customFormat="1" ht="16.5" customHeight="1">
      <c r="B11" s="157"/>
      <c r="C11" s="2"/>
      <c r="D11" s="2"/>
      <c r="E11" s="2"/>
      <c r="F11" s="159"/>
      <c r="G11" s="2"/>
      <c r="H11" s="2"/>
      <c r="I11" s="2"/>
      <c r="J11" s="14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58"/>
    </row>
    <row r="12" spans="2:31" s="22" customFormat="1" ht="20.25">
      <c r="B12" s="152"/>
      <c r="C12" s="153"/>
      <c r="D12" s="153"/>
      <c r="E12" s="153"/>
      <c r="F12" s="411" t="s">
        <v>78</v>
      </c>
      <c r="G12" s="154"/>
      <c r="H12" s="155"/>
      <c r="I12" s="155"/>
      <c r="J12" s="155"/>
      <c r="K12" s="161"/>
      <c r="L12" s="153"/>
      <c r="M12" s="155"/>
      <c r="N12" s="155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6"/>
    </row>
    <row r="13" spans="2:31" s="1" customFormat="1" ht="16.5" customHeight="1">
      <c r="B13" s="157"/>
      <c r="C13" s="2"/>
      <c r="D13" s="2"/>
      <c r="E13" s="2"/>
      <c r="F13" s="162"/>
      <c r="G13" s="162"/>
      <c r="H13" s="162"/>
      <c r="I13" s="162"/>
      <c r="J13" s="163"/>
      <c r="K13" s="16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58"/>
    </row>
    <row r="14" spans="2:31" s="10" customFormat="1" ht="19.5">
      <c r="B14" s="165" t="str">
        <f>'TOT-0912'!B14</f>
        <v>Desde el 01 al 30 de septiembre de 2012</v>
      </c>
      <c r="C14" s="28"/>
      <c r="D14" s="28"/>
      <c r="E14" s="28"/>
      <c r="F14" s="166"/>
      <c r="G14" s="166"/>
      <c r="H14" s="166"/>
      <c r="I14" s="166"/>
      <c r="J14" s="166"/>
      <c r="K14" s="166"/>
      <c r="L14" s="29"/>
      <c r="M14" s="29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7"/>
    </row>
    <row r="15" spans="2:31" s="1" customFormat="1" ht="16.5" customHeight="1" thickBot="1">
      <c r="B15" s="157"/>
      <c r="C15" s="2"/>
      <c r="D15" s="2"/>
      <c r="E15" s="2"/>
      <c r="F15" s="2"/>
      <c r="G15" s="2"/>
      <c r="H15" s="2"/>
      <c r="I15" s="2"/>
      <c r="J15" s="168"/>
      <c r="K15" s="2"/>
      <c r="L15" s="16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8"/>
    </row>
    <row r="16" spans="2:31" s="1" customFormat="1" ht="16.5" customHeight="1" thickBot="1" thickTop="1">
      <c r="B16" s="157"/>
      <c r="C16" s="2"/>
      <c r="D16" s="2"/>
      <c r="E16" s="2"/>
      <c r="F16" s="173" t="s">
        <v>34</v>
      </c>
      <c r="G16" s="174"/>
      <c r="H16" s="174"/>
      <c r="I16" s="174"/>
      <c r="J16" s="175">
        <f>60*'TOT-0912'!B13</f>
        <v>60</v>
      </c>
      <c r="K16" s="176"/>
      <c r="L16" s="176" t="str">
        <f>IF(J16=60," ",IF(J16=120,"    Coeficiente duplicado por tasa de falla &gt;4 Sal. x año/100 km.","    REVISAR COEFICIENTE"))</f>
        <v> 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77"/>
      <c r="Y16" s="2"/>
      <c r="Z16" s="177"/>
      <c r="AA16" s="177"/>
      <c r="AB16" s="177"/>
      <c r="AC16" s="177"/>
      <c r="AD16" s="177"/>
      <c r="AE16" s="158"/>
    </row>
    <row r="17" spans="2:31" s="1" customFormat="1" ht="16.5" customHeight="1" thickBot="1" thickTop="1">
      <c r="B17" s="157"/>
      <c r="C17" s="437">
        <v>3</v>
      </c>
      <c r="D17" s="437">
        <v>4</v>
      </c>
      <c r="E17" s="437">
        <v>5</v>
      </c>
      <c r="F17" s="437">
        <v>6</v>
      </c>
      <c r="G17" s="437">
        <v>7</v>
      </c>
      <c r="H17" s="437">
        <v>8</v>
      </c>
      <c r="I17" s="437">
        <v>9</v>
      </c>
      <c r="J17" s="437">
        <v>10</v>
      </c>
      <c r="K17" s="437">
        <v>11</v>
      </c>
      <c r="L17" s="437">
        <v>12</v>
      </c>
      <c r="M17" s="437">
        <v>13</v>
      </c>
      <c r="N17" s="437">
        <v>14</v>
      </c>
      <c r="O17" s="437">
        <v>15</v>
      </c>
      <c r="P17" s="437">
        <v>16</v>
      </c>
      <c r="Q17" s="437">
        <v>17</v>
      </c>
      <c r="R17" s="437">
        <v>18</v>
      </c>
      <c r="S17" s="437">
        <v>19</v>
      </c>
      <c r="T17" s="437">
        <v>20</v>
      </c>
      <c r="U17" s="437">
        <v>21</v>
      </c>
      <c r="V17" s="437">
        <v>22</v>
      </c>
      <c r="W17" s="437">
        <v>23</v>
      </c>
      <c r="X17" s="437">
        <v>24</v>
      </c>
      <c r="Y17" s="437">
        <v>25</v>
      </c>
      <c r="Z17" s="437">
        <v>26</v>
      </c>
      <c r="AA17" s="437">
        <v>27</v>
      </c>
      <c r="AB17" s="437">
        <v>28</v>
      </c>
      <c r="AC17" s="437">
        <v>29</v>
      </c>
      <c r="AD17" s="437">
        <v>30</v>
      </c>
      <c r="AE17" s="158"/>
    </row>
    <row r="18" spans="2:31" s="178" customFormat="1" ht="34.5" customHeight="1" thickBot="1" thickTop="1">
      <c r="B18" s="179"/>
      <c r="C18" s="421" t="s">
        <v>13</v>
      </c>
      <c r="D18" s="421" t="s">
        <v>82</v>
      </c>
      <c r="E18" s="421" t="s">
        <v>83</v>
      </c>
      <c r="F18" s="180" t="s">
        <v>35</v>
      </c>
      <c r="G18" s="181" t="s">
        <v>36</v>
      </c>
      <c r="H18" s="182" t="s">
        <v>37</v>
      </c>
      <c r="I18" s="182" t="s">
        <v>79</v>
      </c>
      <c r="J18" s="183" t="s">
        <v>14</v>
      </c>
      <c r="K18" s="184" t="s">
        <v>16</v>
      </c>
      <c r="L18" s="181" t="s">
        <v>17</v>
      </c>
      <c r="M18" s="181" t="s">
        <v>18</v>
      </c>
      <c r="N18" s="180" t="s">
        <v>38</v>
      </c>
      <c r="O18" s="180" t="s">
        <v>39</v>
      </c>
      <c r="P18" s="48" t="s">
        <v>66</v>
      </c>
      <c r="Q18" s="181" t="s">
        <v>40</v>
      </c>
      <c r="R18" s="180" t="s">
        <v>21</v>
      </c>
      <c r="S18" s="181" t="s">
        <v>41</v>
      </c>
      <c r="T18" s="185" t="s">
        <v>42</v>
      </c>
      <c r="U18" s="186" t="s">
        <v>23</v>
      </c>
      <c r="V18" s="187" t="s">
        <v>24</v>
      </c>
      <c r="W18" s="188" t="s">
        <v>43</v>
      </c>
      <c r="X18" s="189"/>
      <c r="Y18" s="190" t="s">
        <v>44</v>
      </c>
      <c r="Z18" s="191"/>
      <c r="AA18" s="192" t="s">
        <v>27</v>
      </c>
      <c r="AB18" s="193" t="s">
        <v>28</v>
      </c>
      <c r="AC18" s="183" t="s">
        <v>45</v>
      </c>
      <c r="AD18" s="183" t="s">
        <v>30</v>
      </c>
      <c r="AE18" s="194"/>
    </row>
    <row r="19" spans="2:31" s="1" customFormat="1" ht="16.5" customHeight="1" thickTop="1">
      <c r="B19" s="157"/>
      <c r="C19" s="195"/>
      <c r="D19" s="195"/>
      <c r="E19" s="195"/>
      <c r="F19" s="196"/>
      <c r="G19" s="197"/>
      <c r="H19" s="197"/>
      <c r="I19" s="412"/>
      <c r="J19" s="197"/>
      <c r="K19" s="198"/>
      <c r="L19" s="405"/>
      <c r="M19" s="406"/>
      <c r="N19" s="199"/>
      <c r="O19" s="199"/>
      <c r="P19" s="197"/>
      <c r="Q19" s="197"/>
      <c r="R19" s="197"/>
      <c r="S19" s="197"/>
      <c r="T19" s="74"/>
      <c r="U19" s="72"/>
      <c r="V19" s="200"/>
      <c r="W19" s="201"/>
      <c r="X19" s="202"/>
      <c r="Y19" s="203"/>
      <c r="Z19" s="204"/>
      <c r="AA19" s="205"/>
      <c r="AB19" s="206"/>
      <c r="AC19" s="197"/>
      <c r="AD19" s="207"/>
      <c r="AE19" s="158"/>
    </row>
    <row r="20" spans="2:31" s="1" customFormat="1" ht="16.5" customHeight="1">
      <c r="B20" s="157"/>
      <c r="C20" s="208"/>
      <c r="D20" s="208"/>
      <c r="E20" s="208"/>
      <c r="F20" s="77"/>
      <c r="G20" s="79"/>
      <c r="H20" s="221"/>
      <c r="I20" s="413"/>
      <c r="J20" s="222"/>
      <c r="K20" s="223">
        <f>H20*I20</f>
        <v>0</v>
      </c>
      <c r="L20" s="446"/>
      <c r="M20" s="446"/>
      <c r="N20" s="224">
        <f aca="true" t="shared" si="0" ref="N20:N41">IF(F20="","",(M20-L20)*24)</f>
      </c>
      <c r="O20" s="225">
        <f aca="true" t="shared" si="1" ref="O20:O41">IF(F20="","",ROUND((M20-L20)*24*60,0))</f>
      </c>
      <c r="P20" s="226"/>
      <c r="Q20" s="226"/>
      <c r="R20" s="227"/>
      <c r="S20" s="226"/>
      <c r="T20" s="105">
        <f aca="true" t="shared" si="2" ref="T20:T41">$J$16*IF(OR(P20="P",P20="RP"),0.1,1)*IF(S20="SI",1,0.1)</f>
        <v>6</v>
      </c>
      <c r="U20" s="228" t="str">
        <f aca="true" t="shared" si="3" ref="U20:U41">IF(P20="P",K20*T20*ROUND(O20/60,2),"--")</f>
        <v>--</v>
      </c>
      <c r="V20" s="229" t="str">
        <f aca="true" t="shared" si="4" ref="V20:V41">IF(P20="RP",K20*T20*ROUND(O20/60,2)*R20/100,"--")</f>
        <v>--</v>
      </c>
      <c r="W20" s="230" t="str">
        <f aca="true" t="shared" si="5" ref="W20:W41">IF(AND(P20="F",Q20="NO"),K20*T20,"--")</f>
        <v>--</v>
      </c>
      <c r="X20" s="231" t="str">
        <f aca="true" t="shared" si="6" ref="X20:X41">IF(P20="F",K20*T20*ROUND(O20/60,2),"--")</f>
        <v>--</v>
      </c>
      <c r="Y20" s="232" t="str">
        <f aca="true" t="shared" si="7" ref="Y20:Y41">IF(AND(P20="R",Q20="NO"),K20*T20*R20/100,"--")</f>
        <v>--</v>
      </c>
      <c r="Z20" s="233" t="str">
        <f aca="true" t="shared" si="8" ref="Z20:Z41">IF(P20="R",K20*T20*ROUND(O20/60,2)*R20/100,"--")</f>
        <v>--</v>
      </c>
      <c r="AA20" s="234" t="str">
        <f aca="true" t="shared" si="9" ref="AA20:AA41">IF(P20="RF",K20*T20*ROUND(O20/60,2),"--")</f>
        <v>--</v>
      </c>
      <c r="AB20" s="235" t="str">
        <f aca="true" t="shared" si="10" ref="AB20:AB41">IF(P20="RR",K20*T20*ROUND(O20/60,2)*R20/100,"--")</f>
        <v>--</v>
      </c>
      <c r="AC20" s="226"/>
      <c r="AD20" s="236">
        <f aca="true" t="shared" si="11" ref="AD20:AD41">IF(F20="","",SUM(U20:AB20)*IF(AC20="SI",1,2))</f>
      </c>
      <c r="AE20" s="158"/>
    </row>
    <row r="21" spans="2:31" s="1" customFormat="1" ht="16.5" customHeight="1">
      <c r="B21" s="157"/>
      <c r="C21" s="208">
        <v>190</v>
      </c>
      <c r="D21" s="208">
        <v>251521</v>
      </c>
      <c r="E21" s="208">
        <v>4450</v>
      </c>
      <c r="F21" s="77" t="s">
        <v>229</v>
      </c>
      <c r="G21" s="79" t="s">
        <v>281</v>
      </c>
      <c r="H21" s="221">
        <v>1.5</v>
      </c>
      <c r="I21" s="413">
        <v>2.68731</v>
      </c>
      <c r="J21" s="222">
        <v>13.199999809265137</v>
      </c>
      <c r="K21" s="223">
        <f>H21*I21</f>
        <v>4.030965</v>
      </c>
      <c r="L21" s="446">
        <v>41156.58263888889</v>
      </c>
      <c r="M21" s="446">
        <v>41156.62430555555</v>
      </c>
      <c r="N21" s="224">
        <f t="shared" si="0"/>
        <v>0.9999999999417923</v>
      </c>
      <c r="O21" s="225">
        <f t="shared" si="1"/>
        <v>60</v>
      </c>
      <c r="P21" s="226" t="s">
        <v>153</v>
      </c>
      <c r="Q21" s="444" t="str">
        <f aca="true" t="shared" si="12" ref="Q21:Q41">IF(F21="","",IF(OR(P21="P",P21="RP"),"--","NO"))</f>
        <v>NO</v>
      </c>
      <c r="R21" s="445" t="str">
        <f aca="true" t="shared" si="13" ref="R21:R41">IF(F21="","","--")</f>
        <v>--</v>
      </c>
      <c r="S21" s="438" t="str">
        <f aca="true" t="shared" si="14" ref="S21:S41">IF(F21="","","NO")</f>
        <v>NO</v>
      </c>
      <c r="T21" s="105">
        <f t="shared" si="2"/>
        <v>6</v>
      </c>
      <c r="U21" s="228" t="str">
        <f t="shared" si="3"/>
        <v>--</v>
      </c>
      <c r="V21" s="229" t="str">
        <f t="shared" si="4"/>
        <v>--</v>
      </c>
      <c r="W21" s="230">
        <f t="shared" si="5"/>
        <v>24.18579</v>
      </c>
      <c r="X21" s="231">
        <f t="shared" si="6"/>
        <v>24.18579</v>
      </c>
      <c r="Y21" s="232" t="str">
        <f t="shared" si="7"/>
        <v>--</v>
      </c>
      <c r="Z21" s="233" t="str">
        <f t="shared" si="8"/>
        <v>--</v>
      </c>
      <c r="AA21" s="234" t="str">
        <f t="shared" si="9"/>
        <v>--</v>
      </c>
      <c r="AB21" s="235" t="str">
        <f t="shared" si="10"/>
        <v>--</v>
      </c>
      <c r="AC21" s="444" t="s">
        <v>144</v>
      </c>
      <c r="AD21" s="236">
        <f t="shared" si="11"/>
        <v>48.37158</v>
      </c>
      <c r="AE21" s="158"/>
    </row>
    <row r="22" spans="2:31" s="1" customFormat="1" ht="16.5" customHeight="1">
      <c r="B22" s="157"/>
      <c r="C22" s="208">
        <v>191</v>
      </c>
      <c r="D22" s="208">
        <v>251522</v>
      </c>
      <c r="E22" s="208">
        <v>4451</v>
      </c>
      <c r="F22" s="77" t="s">
        <v>229</v>
      </c>
      <c r="G22" s="79" t="s">
        <v>282</v>
      </c>
      <c r="H22" s="221">
        <v>3</v>
      </c>
      <c r="I22" s="413">
        <v>2.68731</v>
      </c>
      <c r="J22" s="222">
        <v>13.199999809265137</v>
      </c>
      <c r="K22" s="223">
        <f>H22*I22</f>
        <v>8.06193</v>
      </c>
      <c r="L22" s="446">
        <v>41156.58263888889</v>
      </c>
      <c r="M22" s="446">
        <v>41156.59652777778</v>
      </c>
      <c r="N22" s="224">
        <f t="shared" si="0"/>
        <v>0.33333333337213844</v>
      </c>
      <c r="O22" s="225">
        <f t="shared" si="1"/>
        <v>20</v>
      </c>
      <c r="P22" s="226" t="s">
        <v>153</v>
      </c>
      <c r="Q22" s="444" t="str">
        <f t="shared" si="12"/>
        <v>NO</v>
      </c>
      <c r="R22" s="445" t="str">
        <f t="shared" si="13"/>
        <v>--</v>
      </c>
      <c r="S22" s="438" t="str">
        <f t="shared" si="14"/>
        <v>NO</v>
      </c>
      <c r="T22" s="105">
        <f t="shared" si="2"/>
        <v>6</v>
      </c>
      <c r="U22" s="228" t="str">
        <f t="shared" si="3"/>
        <v>--</v>
      </c>
      <c r="V22" s="229" t="str">
        <f t="shared" si="4"/>
        <v>--</v>
      </c>
      <c r="W22" s="230">
        <f t="shared" si="5"/>
        <v>48.37158</v>
      </c>
      <c r="X22" s="231">
        <f t="shared" si="6"/>
        <v>15.962621400000002</v>
      </c>
      <c r="Y22" s="232" t="str">
        <f t="shared" si="7"/>
        <v>--</v>
      </c>
      <c r="Z22" s="233" t="str">
        <f t="shared" si="8"/>
        <v>--</v>
      </c>
      <c r="AA22" s="234" t="str">
        <f t="shared" si="9"/>
        <v>--</v>
      </c>
      <c r="AB22" s="235" t="str">
        <f t="shared" si="10"/>
        <v>--</v>
      </c>
      <c r="AC22" s="444" t="s">
        <v>144</v>
      </c>
      <c r="AD22" s="236">
        <f t="shared" si="11"/>
        <v>64.3342014</v>
      </c>
      <c r="AE22" s="158"/>
    </row>
    <row r="23" spans="2:31" s="1" customFormat="1" ht="16.5" customHeight="1">
      <c r="B23" s="157"/>
      <c r="C23" s="208">
        <v>192</v>
      </c>
      <c r="D23" s="208">
        <v>252004</v>
      </c>
      <c r="E23" s="208">
        <v>4460</v>
      </c>
      <c r="F23" s="77" t="s">
        <v>183</v>
      </c>
      <c r="G23" s="79" t="s">
        <v>283</v>
      </c>
      <c r="H23" s="221">
        <v>1.5</v>
      </c>
      <c r="I23" s="413">
        <v>2.68731</v>
      </c>
      <c r="J23" s="222">
        <v>13.199999809265137</v>
      </c>
      <c r="K23" s="223">
        <f>H23*I23</f>
        <v>4.030965</v>
      </c>
      <c r="L23" s="446">
        <v>41171.36111111111</v>
      </c>
      <c r="M23" s="446">
        <v>41171.44583333333</v>
      </c>
      <c r="N23" s="224">
        <f t="shared" si="0"/>
        <v>2.0333333333255723</v>
      </c>
      <c r="O23" s="225">
        <f t="shared" si="1"/>
        <v>122</v>
      </c>
      <c r="P23" s="226" t="s">
        <v>143</v>
      </c>
      <c r="Q23" s="444" t="str">
        <f t="shared" si="12"/>
        <v>--</v>
      </c>
      <c r="R23" s="445" t="str">
        <f t="shared" si="13"/>
        <v>--</v>
      </c>
      <c r="S23" s="438" t="str">
        <f t="shared" si="14"/>
        <v>NO</v>
      </c>
      <c r="T23" s="105">
        <f t="shared" si="2"/>
        <v>0.6000000000000001</v>
      </c>
      <c r="U23" s="228">
        <f t="shared" si="3"/>
        <v>4.90971537</v>
      </c>
      <c r="V23" s="229" t="str">
        <f t="shared" si="4"/>
        <v>--</v>
      </c>
      <c r="W23" s="230" t="str">
        <f t="shared" si="5"/>
        <v>--</v>
      </c>
      <c r="X23" s="231" t="str">
        <f t="shared" si="6"/>
        <v>--</v>
      </c>
      <c r="Y23" s="232" t="str">
        <f t="shared" si="7"/>
        <v>--</v>
      </c>
      <c r="Z23" s="233" t="str">
        <f t="shared" si="8"/>
        <v>--</v>
      </c>
      <c r="AA23" s="234" t="str">
        <f t="shared" si="9"/>
        <v>--</v>
      </c>
      <c r="AB23" s="235" t="str">
        <f t="shared" si="10"/>
        <v>--</v>
      </c>
      <c r="AC23" s="444" t="s">
        <v>144</v>
      </c>
      <c r="AD23" s="236">
        <f t="shared" si="11"/>
        <v>4.90971537</v>
      </c>
      <c r="AE23" s="158"/>
    </row>
    <row r="24" spans="2:31" s="1" customFormat="1" ht="16.5" customHeight="1">
      <c r="B24" s="157"/>
      <c r="C24" s="208"/>
      <c r="D24" s="208"/>
      <c r="E24" s="208"/>
      <c r="F24" s="77"/>
      <c r="G24" s="79"/>
      <c r="H24" s="221"/>
      <c r="I24" s="413"/>
      <c r="J24" s="222"/>
      <c r="K24" s="223"/>
      <c r="L24" s="446"/>
      <c r="M24" s="446"/>
      <c r="N24" s="224">
        <f t="shared" si="0"/>
      </c>
      <c r="O24" s="225">
        <f t="shared" si="1"/>
      </c>
      <c r="P24" s="226"/>
      <c r="Q24" s="444">
        <f t="shared" si="12"/>
      </c>
      <c r="R24" s="445">
        <f t="shared" si="13"/>
      </c>
      <c r="S24" s="438">
        <f t="shared" si="14"/>
      </c>
      <c r="T24" s="105">
        <f t="shared" si="2"/>
        <v>6</v>
      </c>
      <c r="U24" s="228" t="str">
        <f t="shared" si="3"/>
        <v>--</v>
      </c>
      <c r="V24" s="229" t="str">
        <f t="shared" si="4"/>
        <v>--</v>
      </c>
      <c r="W24" s="230" t="str">
        <f t="shared" si="5"/>
        <v>--</v>
      </c>
      <c r="X24" s="231" t="str">
        <f t="shared" si="6"/>
        <v>--</v>
      </c>
      <c r="Y24" s="232" t="str">
        <f t="shared" si="7"/>
        <v>--</v>
      </c>
      <c r="Z24" s="233" t="str">
        <f t="shared" si="8"/>
        <v>--</v>
      </c>
      <c r="AA24" s="234" t="str">
        <f t="shared" si="9"/>
        <v>--</v>
      </c>
      <c r="AB24" s="235" t="str">
        <f t="shared" si="10"/>
        <v>--</v>
      </c>
      <c r="AC24" s="444">
        <f aca="true" t="shared" si="15" ref="AC24:AC41">IF(F24="","","SI")</f>
      </c>
      <c r="AD24" s="236">
        <f t="shared" si="11"/>
      </c>
      <c r="AE24" s="158"/>
    </row>
    <row r="25" spans="2:31" s="1" customFormat="1" ht="16.5" customHeight="1">
      <c r="B25" s="157"/>
      <c r="C25" s="208"/>
      <c r="D25" s="208"/>
      <c r="E25" s="208"/>
      <c r="F25" s="77"/>
      <c r="G25" s="79"/>
      <c r="H25" s="221"/>
      <c r="I25" s="413"/>
      <c r="J25" s="222"/>
      <c r="K25" s="223"/>
      <c r="L25" s="446"/>
      <c r="M25" s="446"/>
      <c r="N25" s="224">
        <f t="shared" si="0"/>
      </c>
      <c r="O25" s="225">
        <f t="shared" si="1"/>
      </c>
      <c r="P25" s="226"/>
      <c r="Q25" s="444">
        <f t="shared" si="12"/>
      </c>
      <c r="R25" s="445">
        <f t="shared" si="13"/>
      </c>
      <c r="S25" s="438">
        <f t="shared" si="14"/>
      </c>
      <c r="T25" s="105">
        <f t="shared" si="2"/>
        <v>6</v>
      </c>
      <c r="U25" s="228" t="str">
        <f t="shared" si="3"/>
        <v>--</v>
      </c>
      <c r="V25" s="229" t="str">
        <f t="shared" si="4"/>
        <v>--</v>
      </c>
      <c r="W25" s="230" t="str">
        <f t="shared" si="5"/>
        <v>--</v>
      </c>
      <c r="X25" s="231" t="str">
        <f t="shared" si="6"/>
        <v>--</v>
      </c>
      <c r="Y25" s="232" t="str">
        <f t="shared" si="7"/>
        <v>--</v>
      </c>
      <c r="Z25" s="233" t="str">
        <f t="shared" si="8"/>
        <v>--</v>
      </c>
      <c r="AA25" s="234" t="str">
        <f t="shared" si="9"/>
        <v>--</v>
      </c>
      <c r="AB25" s="235" t="str">
        <f t="shared" si="10"/>
        <v>--</v>
      </c>
      <c r="AC25" s="444">
        <f t="shared" si="15"/>
      </c>
      <c r="AD25" s="236">
        <f t="shared" si="11"/>
      </c>
      <c r="AE25" s="158"/>
    </row>
    <row r="26" spans="2:31" s="1" customFormat="1" ht="16.5" customHeight="1">
      <c r="B26" s="157"/>
      <c r="C26" s="208"/>
      <c r="D26" s="208"/>
      <c r="E26" s="208"/>
      <c r="F26" s="77"/>
      <c r="G26" s="79"/>
      <c r="H26" s="221"/>
      <c r="I26" s="413"/>
      <c r="J26" s="222"/>
      <c r="K26" s="223"/>
      <c r="L26" s="446"/>
      <c r="M26" s="446"/>
      <c r="N26" s="224">
        <f t="shared" si="0"/>
      </c>
      <c r="O26" s="225">
        <f t="shared" si="1"/>
      </c>
      <c r="P26" s="226"/>
      <c r="Q26" s="444">
        <f t="shared" si="12"/>
      </c>
      <c r="R26" s="445">
        <f t="shared" si="13"/>
      </c>
      <c r="S26" s="438">
        <f t="shared" si="14"/>
      </c>
      <c r="T26" s="105">
        <f t="shared" si="2"/>
        <v>6</v>
      </c>
      <c r="U26" s="228" t="str">
        <f t="shared" si="3"/>
        <v>--</v>
      </c>
      <c r="V26" s="229" t="str">
        <f t="shared" si="4"/>
        <v>--</v>
      </c>
      <c r="W26" s="230" t="str">
        <f t="shared" si="5"/>
        <v>--</v>
      </c>
      <c r="X26" s="231" t="str">
        <f t="shared" si="6"/>
        <v>--</v>
      </c>
      <c r="Y26" s="232" t="str">
        <f t="shared" si="7"/>
        <v>--</v>
      </c>
      <c r="Z26" s="233" t="str">
        <f t="shared" si="8"/>
        <v>--</v>
      </c>
      <c r="AA26" s="234" t="str">
        <f t="shared" si="9"/>
        <v>--</v>
      </c>
      <c r="AB26" s="235" t="str">
        <f t="shared" si="10"/>
        <v>--</v>
      </c>
      <c r="AC26" s="444">
        <f t="shared" si="15"/>
      </c>
      <c r="AD26" s="236">
        <f t="shared" si="11"/>
      </c>
      <c r="AE26" s="158"/>
    </row>
    <row r="27" spans="2:31" s="1" customFormat="1" ht="16.5" customHeight="1">
      <c r="B27" s="157"/>
      <c r="C27" s="208"/>
      <c r="D27" s="208"/>
      <c r="E27" s="208"/>
      <c r="F27" s="77"/>
      <c r="G27" s="79"/>
      <c r="H27" s="221"/>
      <c r="I27" s="413"/>
      <c r="J27" s="222"/>
      <c r="K27" s="223"/>
      <c r="L27" s="446"/>
      <c r="M27" s="446"/>
      <c r="N27" s="224">
        <f t="shared" si="0"/>
      </c>
      <c r="O27" s="225">
        <f t="shared" si="1"/>
      </c>
      <c r="P27" s="226"/>
      <c r="Q27" s="444">
        <f t="shared" si="12"/>
      </c>
      <c r="R27" s="445">
        <f t="shared" si="13"/>
      </c>
      <c r="S27" s="438">
        <f t="shared" si="14"/>
      </c>
      <c r="T27" s="105">
        <f t="shared" si="2"/>
        <v>6</v>
      </c>
      <c r="U27" s="228" t="str">
        <f t="shared" si="3"/>
        <v>--</v>
      </c>
      <c r="V27" s="229" t="str">
        <f t="shared" si="4"/>
        <v>--</v>
      </c>
      <c r="W27" s="230" t="str">
        <f t="shared" si="5"/>
        <v>--</v>
      </c>
      <c r="X27" s="231" t="str">
        <f t="shared" si="6"/>
        <v>--</v>
      </c>
      <c r="Y27" s="232" t="str">
        <f t="shared" si="7"/>
        <v>--</v>
      </c>
      <c r="Z27" s="233" t="str">
        <f t="shared" si="8"/>
        <v>--</v>
      </c>
      <c r="AA27" s="234" t="str">
        <f t="shared" si="9"/>
        <v>--</v>
      </c>
      <c r="AB27" s="235" t="str">
        <f t="shared" si="10"/>
        <v>--</v>
      </c>
      <c r="AC27" s="444">
        <f t="shared" si="15"/>
      </c>
      <c r="AD27" s="236">
        <f t="shared" si="11"/>
      </c>
      <c r="AE27" s="158"/>
    </row>
    <row r="28" spans="2:31" s="1" customFormat="1" ht="16.5" customHeight="1">
      <c r="B28" s="157"/>
      <c r="C28" s="208"/>
      <c r="D28" s="208"/>
      <c r="E28" s="208"/>
      <c r="F28" s="77"/>
      <c r="G28" s="79"/>
      <c r="H28" s="221"/>
      <c r="I28" s="413"/>
      <c r="J28" s="222"/>
      <c r="K28" s="223">
        <f>H28*I28</f>
        <v>0</v>
      </c>
      <c r="L28" s="446"/>
      <c r="M28" s="446"/>
      <c r="N28" s="224">
        <f t="shared" si="0"/>
      </c>
      <c r="O28" s="225">
        <f t="shared" si="1"/>
      </c>
      <c r="P28" s="226"/>
      <c r="Q28" s="444">
        <f t="shared" si="12"/>
      </c>
      <c r="R28" s="445">
        <f t="shared" si="13"/>
      </c>
      <c r="S28" s="438">
        <f t="shared" si="14"/>
      </c>
      <c r="T28" s="105">
        <f t="shared" si="2"/>
        <v>6</v>
      </c>
      <c r="U28" s="228" t="str">
        <f t="shared" si="3"/>
        <v>--</v>
      </c>
      <c r="V28" s="229" t="str">
        <f t="shared" si="4"/>
        <v>--</v>
      </c>
      <c r="W28" s="230" t="str">
        <f t="shared" si="5"/>
        <v>--</v>
      </c>
      <c r="X28" s="231" t="str">
        <f t="shared" si="6"/>
        <v>--</v>
      </c>
      <c r="Y28" s="232" t="str">
        <f t="shared" si="7"/>
        <v>--</v>
      </c>
      <c r="Z28" s="233" t="str">
        <f t="shared" si="8"/>
        <v>--</v>
      </c>
      <c r="AA28" s="234" t="str">
        <f t="shared" si="9"/>
        <v>--</v>
      </c>
      <c r="AB28" s="235" t="str">
        <f t="shared" si="10"/>
        <v>--</v>
      </c>
      <c r="AC28" s="444">
        <f t="shared" si="15"/>
      </c>
      <c r="AD28" s="236">
        <f t="shared" si="11"/>
      </c>
      <c r="AE28" s="158"/>
    </row>
    <row r="29" spans="2:31" s="1" customFormat="1" ht="16.5" customHeight="1">
      <c r="B29" s="157"/>
      <c r="C29" s="208"/>
      <c r="D29" s="208"/>
      <c r="E29" s="208"/>
      <c r="F29" s="77"/>
      <c r="G29" s="79"/>
      <c r="H29" s="221"/>
      <c r="I29" s="413"/>
      <c r="J29" s="222"/>
      <c r="K29" s="223"/>
      <c r="L29" s="446"/>
      <c r="M29" s="446"/>
      <c r="N29" s="224">
        <f t="shared" si="0"/>
      </c>
      <c r="O29" s="225">
        <f t="shared" si="1"/>
      </c>
      <c r="P29" s="226"/>
      <c r="Q29" s="444">
        <f t="shared" si="12"/>
      </c>
      <c r="R29" s="445">
        <f t="shared" si="13"/>
      </c>
      <c r="S29" s="438">
        <f t="shared" si="14"/>
      </c>
      <c r="T29" s="105">
        <f t="shared" si="2"/>
        <v>6</v>
      </c>
      <c r="U29" s="228" t="str">
        <f t="shared" si="3"/>
        <v>--</v>
      </c>
      <c r="V29" s="229" t="str">
        <f t="shared" si="4"/>
        <v>--</v>
      </c>
      <c r="W29" s="230" t="str">
        <f t="shared" si="5"/>
        <v>--</v>
      </c>
      <c r="X29" s="231" t="str">
        <f t="shared" si="6"/>
        <v>--</v>
      </c>
      <c r="Y29" s="232" t="str">
        <f t="shared" si="7"/>
        <v>--</v>
      </c>
      <c r="Z29" s="233" t="str">
        <f t="shared" si="8"/>
        <v>--</v>
      </c>
      <c r="AA29" s="234" t="str">
        <f t="shared" si="9"/>
        <v>--</v>
      </c>
      <c r="AB29" s="235" t="str">
        <f t="shared" si="10"/>
        <v>--</v>
      </c>
      <c r="AC29" s="444">
        <f t="shared" si="15"/>
      </c>
      <c r="AD29" s="236">
        <f t="shared" si="11"/>
      </c>
      <c r="AE29" s="158"/>
    </row>
    <row r="30" spans="2:31" s="1" customFormat="1" ht="16.5" customHeight="1">
      <c r="B30" s="157"/>
      <c r="C30" s="415"/>
      <c r="D30" s="415"/>
      <c r="E30" s="415"/>
      <c r="F30" s="77"/>
      <c r="G30" s="79"/>
      <c r="H30" s="221"/>
      <c r="I30" s="413"/>
      <c r="J30" s="222"/>
      <c r="K30" s="416"/>
      <c r="L30" s="446"/>
      <c r="M30" s="446"/>
      <c r="N30" s="224">
        <f t="shared" si="0"/>
      </c>
      <c r="O30" s="225">
        <f t="shared" si="1"/>
      </c>
      <c r="P30" s="226"/>
      <c r="Q30" s="444">
        <f t="shared" si="12"/>
      </c>
      <c r="R30" s="445">
        <f t="shared" si="13"/>
      </c>
      <c r="S30" s="438">
        <f t="shared" si="14"/>
      </c>
      <c r="T30" s="105">
        <f t="shared" si="2"/>
        <v>6</v>
      </c>
      <c r="U30" s="228" t="str">
        <f t="shared" si="3"/>
        <v>--</v>
      </c>
      <c r="V30" s="229" t="str">
        <f t="shared" si="4"/>
        <v>--</v>
      </c>
      <c r="W30" s="230" t="str">
        <f t="shared" si="5"/>
        <v>--</v>
      </c>
      <c r="X30" s="231" t="str">
        <f t="shared" si="6"/>
        <v>--</v>
      </c>
      <c r="Y30" s="232" t="str">
        <f t="shared" si="7"/>
        <v>--</v>
      </c>
      <c r="Z30" s="233" t="str">
        <f t="shared" si="8"/>
        <v>--</v>
      </c>
      <c r="AA30" s="234" t="str">
        <f t="shared" si="9"/>
        <v>--</v>
      </c>
      <c r="AB30" s="235" t="str">
        <f t="shared" si="10"/>
        <v>--</v>
      </c>
      <c r="AC30" s="444">
        <f t="shared" si="15"/>
      </c>
      <c r="AD30" s="236">
        <f t="shared" si="11"/>
      </c>
      <c r="AE30" s="158"/>
    </row>
    <row r="31" spans="2:31" s="1" customFormat="1" ht="16.5" customHeight="1">
      <c r="B31" s="157"/>
      <c r="C31" s="415"/>
      <c r="D31" s="415"/>
      <c r="E31" s="415"/>
      <c r="F31" s="77"/>
      <c r="G31" s="79"/>
      <c r="H31" s="221"/>
      <c r="I31" s="413"/>
      <c r="J31" s="222"/>
      <c r="K31" s="416"/>
      <c r="L31" s="446"/>
      <c r="M31" s="446"/>
      <c r="N31" s="224">
        <f t="shared" si="0"/>
      </c>
      <c r="O31" s="225">
        <f t="shared" si="1"/>
      </c>
      <c r="P31" s="226"/>
      <c r="Q31" s="444">
        <f t="shared" si="12"/>
      </c>
      <c r="R31" s="445">
        <f t="shared" si="13"/>
      </c>
      <c r="S31" s="438">
        <f t="shared" si="14"/>
      </c>
      <c r="T31" s="105">
        <f t="shared" si="2"/>
        <v>6</v>
      </c>
      <c r="U31" s="228" t="str">
        <f t="shared" si="3"/>
        <v>--</v>
      </c>
      <c r="V31" s="229" t="str">
        <f t="shared" si="4"/>
        <v>--</v>
      </c>
      <c r="W31" s="230" t="str">
        <f t="shared" si="5"/>
        <v>--</v>
      </c>
      <c r="X31" s="231" t="str">
        <f t="shared" si="6"/>
        <v>--</v>
      </c>
      <c r="Y31" s="232" t="str">
        <f t="shared" si="7"/>
        <v>--</v>
      </c>
      <c r="Z31" s="233" t="str">
        <f t="shared" si="8"/>
        <v>--</v>
      </c>
      <c r="AA31" s="234" t="str">
        <f t="shared" si="9"/>
        <v>--</v>
      </c>
      <c r="AB31" s="235" t="str">
        <f t="shared" si="10"/>
        <v>--</v>
      </c>
      <c r="AC31" s="444">
        <f t="shared" si="15"/>
      </c>
      <c r="AD31" s="236">
        <f t="shared" si="11"/>
      </c>
      <c r="AE31" s="158"/>
    </row>
    <row r="32" spans="2:31" s="1" customFormat="1" ht="16.5" customHeight="1">
      <c r="B32" s="157"/>
      <c r="C32" s="415"/>
      <c r="D32" s="415"/>
      <c r="E32" s="415"/>
      <c r="F32" s="77"/>
      <c r="G32" s="79"/>
      <c r="H32" s="221"/>
      <c r="I32" s="413"/>
      <c r="J32" s="222"/>
      <c r="K32" s="416"/>
      <c r="L32" s="446"/>
      <c r="M32" s="446"/>
      <c r="N32" s="224">
        <f t="shared" si="0"/>
      </c>
      <c r="O32" s="225">
        <f t="shared" si="1"/>
      </c>
      <c r="P32" s="226"/>
      <c r="Q32" s="444">
        <f t="shared" si="12"/>
      </c>
      <c r="R32" s="445">
        <f t="shared" si="13"/>
      </c>
      <c r="S32" s="438">
        <f t="shared" si="14"/>
      </c>
      <c r="T32" s="105">
        <f t="shared" si="2"/>
        <v>6</v>
      </c>
      <c r="U32" s="228" t="str">
        <f t="shared" si="3"/>
        <v>--</v>
      </c>
      <c r="V32" s="229" t="str">
        <f t="shared" si="4"/>
        <v>--</v>
      </c>
      <c r="W32" s="230" t="str">
        <f t="shared" si="5"/>
        <v>--</v>
      </c>
      <c r="X32" s="231" t="str">
        <f t="shared" si="6"/>
        <v>--</v>
      </c>
      <c r="Y32" s="232" t="str">
        <f t="shared" si="7"/>
        <v>--</v>
      </c>
      <c r="Z32" s="233" t="str">
        <f t="shared" si="8"/>
        <v>--</v>
      </c>
      <c r="AA32" s="234" t="str">
        <f t="shared" si="9"/>
        <v>--</v>
      </c>
      <c r="AB32" s="235" t="str">
        <f t="shared" si="10"/>
        <v>--</v>
      </c>
      <c r="AC32" s="444">
        <f t="shared" si="15"/>
      </c>
      <c r="AD32" s="236">
        <f t="shared" si="11"/>
      </c>
      <c r="AE32" s="158"/>
    </row>
    <row r="33" spans="2:31" s="1" customFormat="1" ht="16.5" customHeight="1">
      <c r="B33" s="157"/>
      <c r="C33" s="415"/>
      <c r="D33" s="415"/>
      <c r="E33" s="415"/>
      <c r="F33" s="77"/>
      <c r="G33" s="79"/>
      <c r="H33" s="221"/>
      <c r="I33" s="413"/>
      <c r="J33" s="222"/>
      <c r="K33" s="416"/>
      <c r="L33" s="446"/>
      <c r="M33" s="446"/>
      <c r="N33" s="224">
        <f t="shared" si="0"/>
      </c>
      <c r="O33" s="225">
        <f t="shared" si="1"/>
      </c>
      <c r="P33" s="226"/>
      <c r="Q33" s="444">
        <f t="shared" si="12"/>
      </c>
      <c r="R33" s="445">
        <f t="shared" si="13"/>
      </c>
      <c r="S33" s="438">
        <f t="shared" si="14"/>
      </c>
      <c r="T33" s="105">
        <f t="shared" si="2"/>
        <v>6</v>
      </c>
      <c r="U33" s="228" t="str">
        <f t="shared" si="3"/>
        <v>--</v>
      </c>
      <c r="V33" s="229" t="str">
        <f t="shared" si="4"/>
        <v>--</v>
      </c>
      <c r="W33" s="230" t="str">
        <f t="shared" si="5"/>
        <v>--</v>
      </c>
      <c r="X33" s="231" t="str">
        <f t="shared" si="6"/>
        <v>--</v>
      </c>
      <c r="Y33" s="232" t="str">
        <f t="shared" si="7"/>
        <v>--</v>
      </c>
      <c r="Z33" s="233" t="str">
        <f t="shared" si="8"/>
        <v>--</v>
      </c>
      <c r="AA33" s="234" t="str">
        <f t="shared" si="9"/>
        <v>--</v>
      </c>
      <c r="AB33" s="235" t="str">
        <f t="shared" si="10"/>
        <v>--</v>
      </c>
      <c r="AC33" s="444">
        <f t="shared" si="15"/>
      </c>
      <c r="AD33" s="236">
        <f t="shared" si="11"/>
      </c>
      <c r="AE33" s="158"/>
    </row>
    <row r="34" spans="2:31" s="1" customFormat="1" ht="16.5" customHeight="1">
      <c r="B34" s="157"/>
      <c r="C34" s="415"/>
      <c r="D34" s="415"/>
      <c r="E34" s="415"/>
      <c r="F34" s="77"/>
      <c r="G34" s="79"/>
      <c r="H34" s="221"/>
      <c r="I34" s="413"/>
      <c r="J34" s="222"/>
      <c r="K34" s="416"/>
      <c r="L34" s="446"/>
      <c r="M34" s="446"/>
      <c r="N34" s="224">
        <f t="shared" si="0"/>
      </c>
      <c r="O34" s="225">
        <f t="shared" si="1"/>
      </c>
      <c r="P34" s="226"/>
      <c r="Q34" s="444">
        <f t="shared" si="12"/>
      </c>
      <c r="R34" s="445">
        <f t="shared" si="13"/>
      </c>
      <c r="S34" s="438">
        <f t="shared" si="14"/>
      </c>
      <c r="T34" s="105">
        <f t="shared" si="2"/>
        <v>6</v>
      </c>
      <c r="U34" s="228" t="str">
        <f t="shared" si="3"/>
        <v>--</v>
      </c>
      <c r="V34" s="229" t="str">
        <f t="shared" si="4"/>
        <v>--</v>
      </c>
      <c r="W34" s="230" t="str">
        <f t="shared" si="5"/>
        <v>--</v>
      </c>
      <c r="X34" s="231" t="str">
        <f t="shared" si="6"/>
        <v>--</v>
      </c>
      <c r="Y34" s="232" t="str">
        <f t="shared" si="7"/>
        <v>--</v>
      </c>
      <c r="Z34" s="233" t="str">
        <f t="shared" si="8"/>
        <v>--</v>
      </c>
      <c r="AA34" s="234" t="str">
        <f t="shared" si="9"/>
        <v>--</v>
      </c>
      <c r="AB34" s="235" t="str">
        <f t="shared" si="10"/>
        <v>--</v>
      </c>
      <c r="AC34" s="444">
        <f t="shared" si="15"/>
      </c>
      <c r="AD34" s="236">
        <f t="shared" si="11"/>
      </c>
      <c r="AE34" s="158"/>
    </row>
    <row r="35" spans="2:31" s="1" customFormat="1" ht="16.5" customHeight="1">
      <c r="B35" s="157"/>
      <c r="C35" s="415"/>
      <c r="D35" s="415"/>
      <c r="E35" s="415"/>
      <c r="F35" s="77"/>
      <c r="G35" s="79"/>
      <c r="H35" s="221"/>
      <c r="I35" s="413"/>
      <c r="J35" s="222"/>
      <c r="K35" s="416"/>
      <c r="L35" s="446"/>
      <c r="M35" s="446"/>
      <c r="N35" s="224">
        <f t="shared" si="0"/>
      </c>
      <c r="O35" s="225">
        <f t="shared" si="1"/>
      </c>
      <c r="P35" s="226"/>
      <c r="Q35" s="444">
        <f t="shared" si="12"/>
      </c>
      <c r="R35" s="445">
        <f t="shared" si="13"/>
      </c>
      <c r="S35" s="438">
        <f t="shared" si="14"/>
      </c>
      <c r="T35" s="105">
        <f t="shared" si="2"/>
        <v>6</v>
      </c>
      <c r="U35" s="228" t="str">
        <f t="shared" si="3"/>
        <v>--</v>
      </c>
      <c r="V35" s="229" t="str">
        <f t="shared" si="4"/>
        <v>--</v>
      </c>
      <c r="W35" s="230" t="str">
        <f t="shared" si="5"/>
        <v>--</v>
      </c>
      <c r="X35" s="231" t="str">
        <f t="shared" si="6"/>
        <v>--</v>
      </c>
      <c r="Y35" s="232" t="str">
        <f t="shared" si="7"/>
        <v>--</v>
      </c>
      <c r="Z35" s="233" t="str">
        <f t="shared" si="8"/>
        <v>--</v>
      </c>
      <c r="AA35" s="234" t="str">
        <f t="shared" si="9"/>
        <v>--</v>
      </c>
      <c r="AB35" s="235" t="str">
        <f t="shared" si="10"/>
        <v>--</v>
      </c>
      <c r="AC35" s="444">
        <f t="shared" si="15"/>
      </c>
      <c r="AD35" s="236">
        <f t="shared" si="11"/>
      </c>
      <c r="AE35" s="158"/>
    </row>
    <row r="36" spans="2:31" s="1" customFormat="1" ht="16.5" customHeight="1">
      <c r="B36" s="157"/>
      <c r="C36" s="415"/>
      <c r="D36" s="415"/>
      <c r="E36" s="415"/>
      <c r="F36" s="77"/>
      <c r="G36" s="79"/>
      <c r="H36" s="221"/>
      <c r="I36" s="413"/>
      <c r="J36" s="222"/>
      <c r="K36" s="416"/>
      <c r="L36" s="446"/>
      <c r="M36" s="446"/>
      <c r="N36" s="224">
        <f t="shared" si="0"/>
      </c>
      <c r="O36" s="225">
        <f t="shared" si="1"/>
      </c>
      <c r="P36" s="226"/>
      <c r="Q36" s="444">
        <f t="shared" si="12"/>
      </c>
      <c r="R36" s="445">
        <f t="shared" si="13"/>
      </c>
      <c r="S36" s="438">
        <f t="shared" si="14"/>
      </c>
      <c r="T36" s="105">
        <f t="shared" si="2"/>
        <v>6</v>
      </c>
      <c r="U36" s="228" t="str">
        <f t="shared" si="3"/>
        <v>--</v>
      </c>
      <c r="V36" s="229" t="str">
        <f t="shared" si="4"/>
        <v>--</v>
      </c>
      <c r="W36" s="230" t="str">
        <f t="shared" si="5"/>
        <v>--</v>
      </c>
      <c r="X36" s="231" t="str">
        <f t="shared" si="6"/>
        <v>--</v>
      </c>
      <c r="Y36" s="232" t="str">
        <f t="shared" si="7"/>
        <v>--</v>
      </c>
      <c r="Z36" s="233" t="str">
        <f t="shared" si="8"/>
        <v>--</v>
      </c>
      <c r="AA36" s="234" t="str">
        <f t="shared" si="9"/>
        <v>--</v>
      </c>
      <c r="AB36" s="235" t="str">
        <f t="shared" si="10"/>
        <v>--</v>
      </c>
      <c r="AC36" s="444">
        <f t="shared" si="15"/>
      </c>
      <c r="AD36" s="236">
        <f t="shared" si="11"/>
      </c>
      <c r="AE36" s="158"/>
    </row>
    <row r="37" spans="2:31" s="1" customFormat="1" ht="16.5" customHeight="1">
      <c r="B37" s="157"/>
      <c r="C37" s="415"/>
      <c r="D37" s="415"/>
      <c r="E37" s="415"/>
      <c r="F37" s="77"/>
      <c r="G37" s="79"/>
      <c r="H37" s="221"/>
      <c r="I37" s="413"/>
      <c r="J37" s="222"/>
      <c r="K37" s="416"/>
      <c r="L37" s="446"/>
      <c r="M37" s="446"/>
      <c r="N37" s="224">
        <f t="shared" si="0"/>
      </c>
      <c r="O37" s="225">
        <f t="shared" si="1"/>
      </c>
      <c r="P37" s="226"/>
      <c r="Q37" s="444">
        <f t="shared" si="12"/>
      </c>
      <c r="R37" s="445">
        <f t="shared" si="13"/>
      </c>
      <c r="S37" s="438">
        <f t="shared" si="14"/>
      </c>
      <c r="T37" s="105">
        <f t="shared" si="2"/>
        <v>6</v>
      </c>
      <c r="U37" s="228" t="str">
        <f t="shared" si="3"/>
        <v>--</v>
      </c>
      <c r="V37" s="229" t="str">
        <f t="shared" si="4"/>
        <v>--</v>
      </c>
      <c r="W37" s="230" t="str">
        <f t="shared" si="5"/>
        <v>--</v>
      </c>
      <c r="X37" s="231" t="str">
        <f t="shared" si="6"/>
        <v>--</v>
      </c>
      <c r="Y37" s="232" t="str">
        <f t="shared" si="7"/>
        <v>--</v>
      </c>
      <c r="Z37" s="233" t="str">
        <f t="shared" si="8"/>
        <v>--</v>
      </c>
      <c r="AA37" s="234" t="str">
        <f t="shared" si="9"/>
        <v>--</v>
      </c>
      <c r="AB37" s="235" t="str">
        <f t="shared" si="10"/>
        <v>--</v>
      </c>
      <c r="AC37" s="444">
        <f t="shared" si="15"/>
      </c>
      <c r="AD37" s="236">
        <f t="shared" si="11"/>
      </c>
      <c r="AE37" s="158"/>
    </row>
    <row r="38" spans="2:31" s="1" customFormat="1" ht="16.5" customHeight="1">
      <c r="B38" s="157"/>
      <c r="C38" s="415"/>
      <c r="D38" s="415"/>
      <c r="E38" s="415"/>
      <c r="F38" s="77"/>
      <c r="G38" s="79"/>
      <c r="H38" s="221"/>
      <c r="I38" s="413"/>
      <c r="J38" s="222"/>
      <c r="K38" s="416"/>
      <c r="L38" s="446"/>
      <c r="M38" s="446"/>
      <c r="N38" s="224">
        <f t="shared" si="0"/>
      </c>
      <c r="O38" s="225">
        <f t="shared" si="1"/>
      </c>
      <c r="P38" s="226"/>
      <c r="Q38" s="444">
        <f t="shared" si="12"/>
      </c>
      <c r="R38" s="445">
        <f t="shared" si="13"/>
      </c>
      <c r="S38" s="438">
        <f t="shared" si="14"/>
      </c>
      <c r="T38" s="105">
        <f t="shared" si="2"/>
        <v>6</v>
      </c>
      <c r="U38" s="228" t="str">
        <f t="shared" si="3"/>
        <v>--</v>
      </c>
      <c r="V38" s="229" t="str">
        <f t="shared" si="4"/>
        <v>--</v>
      </c>
      <c r="W38" s="230" t="str">
        <f t="shared" si="5"/>
        <v>--</v>
      </c>
      <c r="X38" s="231" t="str">
        <f t="shared" si="6"/>
        <v>--</v>
      </c>
      <c r="Y38" s="232" t="str">
        <f t="shared" si="7"/>
        <v>--</v>
      </c>
      <c r="Z38" s="233" t="str">
        <f t="shared" si="8"/>
        <v>--</v>
      </c>
      <c r="AA38" s="234" t="str">
        <f t="shared" si="9"/>
        <v>--</v>
      </c>
      <c r="AB38" s="235" t="str">
        <f t="shared" si="10"/>
        <v>--</v>
      </c>
      <c r="AC38" s="444">
        <f t="shared" si="15"/>
      </c>
      <c r="AD38" s="236">
        <f t="shared" si="11"/>
      </c>
      <c r="AE38" s="158"/>
    </row>
    <row r="39" spans="2:31" s="1" customFormat="1" ht="16.5" customHeight="1">
      <c r="B39" s="157"/>
      <c r="C39" s="415"/>
      <c r="D39" s="415"/>
      <c r="E39" s="415"/>
      <c r="F39" s="77"/>
      <c r="G39" s="79"/>
      <c r="H39" s="221"/>
      <c r="I39" s="413"/>
      <c r="J39" s="222"/>
      <c r="K39" s="416"/>
      <c r="L39" s="446"/>
      <c r="M39" s="446"/>
      <c r="N39" s="224">
        <f t="shared" si="0"/>
      </c>
      <c r="O39" s="225">
        <f t="shared" si="1"/>
      </c>
      <c r="P39" s="226"/>
      <c r="Q39" s="444">
        <f t="shared" si="12"/>
      </c>
      <c r="R39" s="445">
        <f t="shared" si="13"/>
      </c>
      <c r="S39" s="438">
        <f t="shared" si="14"/>
      </c>
      <c r="T39" s="105">
        <f t="shared" si="2"/>
        <v>6</v>
      </c>
      <c r="U39" s="228" t="str">
        <f t="shared" si="3"/>
        <v>--</v>
      </c>
      <c r="V39" s="229" t="str">
        <f t="shared" si="4"/>
        <v>--</v>
      </c>
      <c r="W39" s="230" t="str">
        <f t="shared" si="5"/>
        <v>--</v>
      </c>
      <c r="X39" s="231" t="str">
        <f t="shared" si="6"/>
        <v>--</v>
      </c>
      <c r="Y39" s="232" t="str">
        <f t="shared" si="7"/>
        <v>--</v>
      </c>
      <c r="Z39" s="233" t="str">
        <f t="shared" si="8"/>
        <v>--</v>
      </c>
      <c r="AA39" s="234" t="str">
        <f t="shared" si="9"/>
        <v>--</v>
      </c>
      <c r="AB39" s="235" t="str">
        <f t="shared" si="10"/>
        <v>--</v>
      </c>
      <c r="AC39" s="444">
        <f t="shared" si="15"/>
      </c>
      <c r="AD39" s="236">
        <f t="shared" si="11"/>
      </c>
      <c r="AE39" s="158"/>
    </row>
    <row r="40" spans="2:31" s="1" customFormat="1" ht="16.5" customHeight="1">
      <c r="B40" s="157"/>
      <c r="C40" s="415"/>
      <c r="D40" s="415"/>
      <c r="E40" s="415"/>
      <c r="F40" s="77"/>
      <c r="G40" s="79"/>
      <c r="H40" s="221"/>
      <c r="I40" s="413"/>
      <c r="J40" s="222"/>
      <c r="K40" s="416"/>
      <c r="L40" s="446"/>
      <c r="M40" s="446"/>
      <c r="N40" s="224">
        <f t="shared" si="0"/>
      </c>
      <c r="O40" s="225">
        <f t="shared" si="1"/>
      </c>
      <c r="P40" s="226"/>
      <c r="Q40" s="444">
        <f t="shared" si="12"/>
      </c>
      <c r="R40" s="445">
        <f t="shared" si="13"/>
      </c>
      <c r="S40" s="438">
        <f t="shared" si="14"/>
      </c>
      <c r="T40" s="105">
        <f t="shared" si="2"/>
        <v>6</v>
      </c>
      <c r="U40" s="228" t="str">
        <f t="shared" si="3"/>
        <v>--</v>
      </c>
      <c r="V40" s="229" t="str">
        <f t="shared" si="4"/>
        <v>--</v>
      </c>
      <c r="W40" s="230" t="str">
        <f t="shared" si="5"/>
        <v>--</v>
      </c>
      <c r="X40" s="231" t="str">
        <f t="shared" si="6"/>
        <v>--</v>
      </c>
      <c r="Y40" s="232" t="str">
        <f t="shared" si="7"/>
        <v>--</v>
      </c>
      <c r="Z40" s="233" t="str">
        <f t="shared" si="8"/>
        <v>--</v>
      </c>
      <c r="AA40" s="234" t="str">
        <f t="shared" si="9"/>
        <v>--</v>
      </c>
      <c r="AB40" s="235" t="str">
        <f t="shared" si="10"/>
        <v>--</v>
      </c>
      <c r="AC40" s="444">
        <f t="shared" si="15"/>
      </c>
      <c r="AD40" s="236">
        <f t="shared" si="11"/>
      </c>
      <c r="AE40" s="158"/>
    </row>
    <row r="41" spans="2:31" s="1" customFormat="1" ht="16.5" customHeight="1">
      <c r="B41" s="157"/>
      <c r="C41" s="415"/>
      <c r="D41" s="415"/>
      <c r="E41" s="415"/>
      <c r="F41" s="77"/>
      <c r="G41" s="79"/>
      <c r="H41" s="221"/>
      <c r="I41" s="413"/>
      <c r="J41" s="222"/>
      <c r="K41" s="416"/>
      <c r="L41" s="446"/>
      <c r="M41" s="446"/>
      <c r="N41" s="224">
        <f t="shared" si="0"/>
      </c>
      <c r="O41" s="225">
        <f t="shared" si="1"/>
      </c>
      <c r="P41" s="226"/>
      <c r="Q41" s="444">
        <f t="shared" si="12"/>
      </c>
      <c r="R41" s="445">
        <f t="shared" si="13"/>
      </c>
      <c r="S41" s="438">
        <f t="shared" si="14"/>
      </c>
      <c r="T41" s="105">
        <f t="shared" si="2"/>
        <v>6</v>
      </c>
      <c r="U41" s="228" t="str">
        <f t="shared" si="3"/>
        <v>--</v>
      </c>
      <c r="V41" s="229" t="str">
        <f t="shared" si="4"/>
        <v>--</v>
      </c>
      <c r="W41" s="230" t="str">
        <f t="shared" si="5"/>
        <v>--</v>
      </c>
      <c r="X41" s="231" t="str">
        <f t="shared" si="6"/>
        <v>--</v>
      </c>
      <c r="Y41" s="232" t="str">
        <f t="shared" si="7"/>
        <v>--</v>
      </c>
      <c r="Z41" s="233" t="str">
        <f t="shared" si="8"/>
        <v>--</v>
      </c>
      <c r="AA41" s="234" t="str">
        <f t="shared" si="9"/>
        <v>--</v>
      </c>
      <c r="AB41" s="235" t="str">
        <f t="shared" si="10"/>
        <v>--</v>
      </c>
      <c r="AC41" s="444">
        <f t="shared" si="15"/>
      </c>
      <c r="AD41" s="236">
        <f t="shared" si="11"/>
      </c>
      <c r="AE41" s="158"/>
    </row>
    <row r="42" spans="2:31" s="1" customFormat="1" ht="16.5" customHeight="1" thickBot="1">
      <c r="B42" s="157"/>
      <c r="C42" s="317"/>
      <c r="D42" s="317"/>
      <c r="E42" s="317"/>
      <c r="F42" s="317"/>
      <c r="G42" s="317"/>
      <c r="H42" s="317"/>
      <c r="I42" s="317"/>
      <c r="J42" s="317"/>
      <c r="K42" s="239"/>
      <c r="L42" s="407"/>
      <c r="M42" s="407"/>
      <c r="N42" s="238"/>
      <c r="O42" s="238"/>
      <c r="P42" s="317"/>
      <c r="Q42" s="317"/>
      <c r="R42" s="317"/>
      <c r="S42" s="317"/>
      <c r="T42" s="318"/>
      <c r="U42" s="319"/>
      <c r="V42" s="320"/>
      <c r="W42" s="321"/>
      <c r="X42" s="322"/>
      <c r="Y42" s="323"/>
      <c r="Z42" s="324"/>
      <c r="AA42" s="325"/>
      <c r="AB42" s="326"/>
      <c r="AC42" s="317"/>
      <c r="AD42" s="240"/>
      <c r="AE42" s="158"/>
    </row>
    <row r="43" spans="2:31" s="1" customFormat="1" ht="16.5" customHeight="1" thickBot="1" thickTop="1">
      <c r="B43" s="157"/>
      <c r="C43" s="452" t="s">
        <v>296</v>
      </c>
      <c r="D43" s="451" t="s">
        <v>295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41">
        <f>SUM(U19:U42)</f>
        <v>4.90971537</v>
      </c>
      <c r="V43" s="242">
        <f>SUM(V19:V42)</f>
        <v>0</v>
      </c>
      <c r="W43" s="243">
        <f>SUM(W19:W42)</f>
        <v>72.55737</v>
      </c>
      <c r="X43" s="244">
        <f>SUM(X21:X42)</f>
        <v>40.1484114</v>
      </c>
      <c r="Y43" s="245">
        <f>SUM(Y19:Y42)</f>
        <v>0</v>
      </c>
      <c r="Z43" s="245">
        <f>SUM(Z21:Z42)</f>
        <v>0</v>
      </c>
      <c r="AA43" s="246">
        <f>SUM(AA19:AA42)</f>
        <v>0</v>
      </c>
      <c r="AB43" s="247">
        <f>SUM(AB21:AB42)</f>
        <v>0</v>
      </c>
      <c r="AC43" s="248"/>
      <c r="AD43" s="414">
        <f>ROUND(SUM(AD19:AD42),2)</f>
        <v>117.62</v>
      </c>
      <c r="AE43" s="158"/>
    </row>
    <row r="44" spans="2:31" s="126" customFormat="1" ht="9.75" thickTop="1">
      <c r="B44" s="249"/>
      <c r="C44" s="128"/>
      <c r="D44" s="128"/>
      <c r="E44" s="128"/>
      <c r="F44" s="1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  <c r="V44" s="251"/>
      <c r="W44" s="251"/>
      <c r="X44" s="251"/>
      <c r="Y44" s="251"/>
      <c r="Z44" s="251"/>
      <c r="AA44" s="251"/>
      <c r="AB44" s="251"/>
      <c r="AC44" s="250"/>
      <c r="AD44" s="252"/>
      <c r="AE44" s="253"/>
    </row>
    <row r="45" spans="2:31" s="1" customFormat="1" ht="16.5" customHeight="1" thickBot="1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6"/>
    </row>
    <row r="46" spans="2:31" ht="16.5" customHeight="1" thickTop="1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&amp;L&amp;F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M197"/>
  <sheetViews>
    <sheetView zoomScale="50" zoomScaleNormal="50" workbookViewId="0" topLeftCell="A1">
      <selection activeCell="B36" sqref="B36"/>
    </sheetView>
  </sheetViews>
  <sheetFormatPr defaultColWidth="11.421875" defaultRowHeight="12.75"/>
  <cols>
    <col min="1" max="1" width="14.57421875" style="453" customWidth="1"/>
    <col min="2" max="2" width="11.421875" style="453" customWidth="1"/>
    <col min="3" max="3" width="7.7109375" style="453" customWidth="1"/>
    <col min="4" max="4" width="17.140625" style="453" customWidth="1"/>
    <col min="5" max="5" width="65.00390625" style="453" customWidth="1"/>
    <col min="6" max="6" width="15.8515625" style="453" bestFit="1" customWidth="1"/>
    <col min="7" max="8" width="10.7109375" style="453" customWidth="1"/>
    <col min="9" max="22" width="12.7109375" style="453" customWidth="1"/>
    <col min="23" max="16384" width="11.421875" style="453" customWidth="1"/>
  </cols>
  <sheetData>
    <row r="1" ht="36" customHeight="1">
      <c r="V1" s="454"/>
    </row>
    <row r="2" spans="2:22" s="455" customFormat="1" ht="31.5" customHeight="1">
      <c r="B2" s="456" t="str">
        <f>'TOT-0912'!B2</f>
        <v>ANEXO IV al Memorándum  D.T.E.E.  N°           /2014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2" s="459" customFormat="1" ht="11.25">
      <c r="A3" s="457" t="s">
        <v>3</v>
      </c>
      <c r="B3" s="458"/>
      <c r="V3" s="460"/>
    </row>
    <row r="4" spans="1:22" s="459" customFormat="1" ht="11.25">
      <c r="A4" s="457" t="s">
        <v>4</v>
      </c>
      <c r="B4" s="458"/>
      <c r="V4" s="460"/>
    </row>
    <row r="5" spans="2:179" s="461" customFormat="1" ht="20.25">
      <c r="B5" s="543" t="s">
        <v>306</v>
      </c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62"/>
      <c r="CL5" s="462"/>
      <c r="CM5" s="462"/>
      <c r="CN5" s="462"/>
      <c r="CO5" s="462"/>
      <c r="CP5" s="462"/>
      <c r="CQ5" s="462"/>
      <c r="CR5" s="462"/>
      <c r="CS5" s="462"/>
      <c r="CT5" s="462"/>
      <c r="CU5" s="462"/>
      <c r="CV5" s="462"/>
      <c r="CW5" s="462"/>
      <c r="CX5" s="462"/>
      <c r="CY5" s="462"/>
      <c r="CZ5" s="462"/>
      <c r="DA5" s="462"/>
      <c r="DB5" s="462"/>
      <c r="DC5" s="462"/>
      <c r="DD5" s="462"/>
      <c r="DE5" s="462"/>
      <c r="DF5" s="462"/>
      <c r="DG5" s="462"/>
      <c r="DH5" s="462"/>
      <c r="DI5" s="462"/>
      <c r="DJ5" s="462"/>
      <c r="DK5" s="462"/>
      <c r="DL5" s="462"/>
      <c r="DM5" s="462"/>
      <c r="DN5" s="462"/>
      <c r="DO5" s="462"/>
      <c r="DP5" s="462"/>
      <c r="DQ5" s="462"/>
      <c r="DR5" s="462"/>
      <c r="DS5" s="462"/>
      <c r="DT5" s="462"/>
      <c r="DU5" s="462"/>
      <c r="DV5" s="462"/>
      <c r="DW5" s="462"/>
      <c r="DX5" s="462"/>
      <c r="DY5" s="462"/>
      <c r="DZ5" s="462"/>
      <c r="EA5" s="462"/>
      <c r="EB5" s="462"/>
      <c r="EC5" s="462"/>
      <c r="ED5" s="462"/>
      <c r="EE5" s="462"/>
      <c r="EF5" s="462"/>
      <c r="EG5" s="462"/>
      <c r="EH5" s="462"/>
      <c r="EI5" s="462"/>
      <c r="EJ5" s="462"/>
      <c r="EK5" s="462"/>
      <c r="EL5" s="462"/>
      <c r="EM5" s="462"/>
      <c r="EN5" s="462"/>
      <c r="EO5" s="462"/>
      <c r="EP5" s="462"/>
      <c r="EQ5" s="462"/>
      <c r="ER5" s="462"/>
      <c r="ES5" s="462"/>
      <c r="ET5" s="462"/>
      <c r="EU5" s="462"/>
      <c r="EV5" s="462"/>
      <c r="EW5" s="462"/>
      <c r="EX5" s="462"/>
      <c r="EY5" s="462"/>
      <c r="EZ5" s="462"/>
      <c r="FA5" s="462"/>
      <c r="FB5" s="462"/>
      <c r="FC5" s="462"/>
      <c r="FD5" s="462"/>
      <c r="FE5" s="462"/>
      <c r="FF5" s="462"/>
      <c r="FG5" s="462"/>
      <c r="FH5" s="462"/>
      <c r="FI5" s="462"/>
      <c r="FJ5" s="462"/>
      <c r="FK5" s="462"/>
      <c r="FL5" s="462"/>
      <c r="FM5" s="462"/>
      <c r="FN5" s="462"/>
      <c r="FO5" s="462"/>
      <c r="FP5" s="462"/>
      <c r="FQ5" s="462"/>
      <c r="FR5" s="462"/>
      <c r="FS5" s="462"/>
      <c r="FT5" s="462"/>
      <c r="FU5" s="462"/>
      <c r="FV5" s="462"/>
      <c r="FW5" s="462"/>
    </row>
    <row r="6" spans="2:179" s="461" customFormat="1" ht="14.25" customHeight="1"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3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  <c r="BU6" s="462"/>
      <c r="BV6" s="462"/>
      <c r="BW6" s="462"/>
      <c r="BX6" s="462"/>
      <c r="BY6" s="462"/>
      <c r="BZ6" s="462"/>
      <c r="CA6" s="462"/>
      <c r="CB6" s="462"/>
      <c r="CC6" s="462"/>
      <c r="CD6" s="462"/>
      <c r="CE6" s="462"/>
      <c r="CF6" s="462"/>
      <c r="CG6" s="462"/>
      <c r="CH6" s="462"/>
      <c r="CI6" s="462"/>
      <c r="CJ6" s="462"/>
      <c r="CK6" s="462"/>
      <c r="CL6" s="462"/>
      <c r="CM6" s="462"/>
      <c r="CN6" s="462"/>
      <c r="CO6" s="462"/>
      <c r="CP6" s="462"/>
      <c r="CQ6" s="462"/>
      <c r="CR6" s="462"/>
      <c r="CS6" s="462"/>
      <c r="CT6" s="462"/>
      <c r="CU6" s="462"/>
      <c r="CV6" s="462"/>
      <c r="CW6" s="462"/>
      <c r="CX6" s="462"/>
      <c r="CY6" s="462"/>
      <c r="CZ6" s="462"/>
      <c r="DA6" s="462"/>
      <c r="DB6" s="462"/>
      <c r="DC6" s="462"/>
      <c r="DD6" s="462"/>
      <c r="DE6" s="462"/>
      <c r="DF6" s="462"/>
      <c r="DG6" s="462"/>
      <c r="DH6" s="462"/>
      <c r="DI6" s="462"/>
      <c r="DJ6" s="462"/>
      <c r="DK6" s="462"/>
      <c r="DL6" s="462"/>
      <c r="DM6" s="462"/>
      <c r="DN6" s="462"/>
      <c r="DO6" s="462"/>
      <c r="DP6" s="462"/>
      <c r="DQ6" s="462"/>
      <c r="DR6" s="462"/>
      <c r="DS6" s="462"/>
      <c r="DT6" s="462"/>
      <c r="DU6" s="462"/>
      <c r="DV6" s="462"/>
      <c r="DW6" s="462"/>
      <c r="DX6" s="462"/>
      <c r="DY6" s="462"/>
      <c r="DZ6" s="462"/>
      <c r="EA6" s="462"/>
      <c r="EB6" s="462"/>
      <c r="EC6" s="462"/>
      <c r="ED6" s="462"/>
      <c r="EE6" s="462"/>
      <c r="EF6" s="462"/>
      <c r="EG6" s="462"/>
      <c r="EH6" s="462"/>
      <c r="EI6" s="462"/>
      <c r="EJ6" s="462"/>
      <c r="EK6" s="462"/>
      <c r="EL6" s="462"/>
      <c r="EM6" s="462"/>
      <c r="EN6" s="462"/>
      <c r="EO6" s="462"/>
      <c r="EP6" s="462"/>
      <c r="EQ6" s="462"/>
      <c r="ER6" s="462"/>
      <c r="ES6" s="462"/>
      <c r="ET6" s="462"/>
      <c r="EU6" s="462"/>
      <c r="EV6" s="462"/>
      <c r="EW6" s="462"/>
      <c r="EX6" s="462"/>
      <c r="EY6" s="462"/>
      <c r="EZ6" s="462"/>
      <c r="FA6" s="462"/>
      <c r="FB6" s="462"/>
      <c r="FC6" s="462"/>
      <c r="FD6" s="462"/>
      <c r="FE6" s="462"/>
      <c r="FF6" s="462"/>
      <c r="FG6" s="462"/>
      <c r="FH6" s="462"/>
      <c r="FI6" s="462"/>
      <c r="FJ6" s="462"/>
      <c r="FK6" s="462"/>
      <c r="FL6" s="462"/>
      <c r="FM6" s="462"/>
      <c r="FN6" s="462"/>
      <c r="FO6" s="462"/>
      <c r="FP6" s="462"/>
      <c r="FQ6" s="462"/>
      <c r="FR6" s="462"/>
      <c r="FS6" s="462"/>
      <c r="FT6" s="462"/>
      <c r="FU6" s="462"/>
      <c r="FV6" s="462"/>
      <c r="FW6" s="462"/>
    </row>
    <row r="7" spans="2:179" s="464" customFormat="1" ht="18.75">
      <c r="B7" s="544" t="s">
        <v>0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5"/>
      <c r="EB7" s="465"/>
      <c r="EC7" s="465"/>
      <c r="ED7" s="465"/>
      <c r="EE7" s="465"/>
      <c r="EF7" s="465"/>
      <c r="EG7" s="465"/>
      <c r="EH7" s="465"/>
      <c r="EI7" s="465"/>
      <c r="EJ7" s="465"/>
      <c r="EK7" s="465"/>
      <c r="EL7" s="465"/>
      <c r="EM7" s="465"/>
      <c r="EN7" s="465"/>
      <c r="EO7" s="465"/>
      <c r="EP7" s="465"/>
      <c r="EQ7" s="465"/>
      <c r="ER7" s="465"/>
      <c r="ES7" s="465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5"/>
      <c r="FF7" s="465"/>
      <c r="FG7" s="465"/>
      <c r="FH7" s="465"/>
      <c r="FI7" s="465"/>
      <c r="FJ7" s="465"/>
      <c r="FK7" s="465"/>
      <c r="FL7" s="465"/>
      <c r="FM7" s="465"/>
      <c r="FN7" s="465"/>
      <c r="FO7" s="465"/>
      <c r="FP7" s="465"/>
      <c r="FQ7" s="465"/>
      <c r="FR7" s="465"/>
      <c r="FS7" s="465"/>
      <c r="FT7" s="465"/>
      <c r="FU7" s="465"/>
      <c r="FV7" s="465"/>
      <c r="FW7" s="465"/>
    </row>
    <row r="8" spans="2:179" ht="12.75"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7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/>
      <c r="CX8" s="466"/>
      <c r="CY8" s="466"/>
      <c r="CZ8" s="466"/>
      <c r="DA8" s="466"/>
      <c r="DB8" s="466"/>
      <c r="DC8" s="466"/>
      <c r="DD8" s="466"/>
      <c r="DE8" s="466"/>
      <c r="DF8" s="466"/>
      <c r="DG8" s="466"/>
      <c r="DH8" s="466"/>
      <c r="DI8" s="466"/>
      <c r="DJ8" s="466"/>
      <c r="DK8" s="466"/>
      <c r="DL8" s="466"/>
      <c r="DM8" s="466"/>
      <c r="DN8" s="466"/>
      <c r="DO8" s="466"/>
      <c r="DP8" s="466"/>
      <c r="DQ8" s="466"/>
      <c r="DR8" s="466"/>
      <c r="DS8" s="466"/>
      <c r="DT8" s="466"/>
      <c r="DU8" s="466"/>
      <c r="DV8" s="466"/>
      <c r="DW8" s="466"/>
      <c r="DX8" s="466"/>
      <c r="DY8" s="466"/>
      <c r="DZ8" s="466"/>
      <c r="EA8" s="466"/>
      <c r="EB8" s="466"/>
      <c r="EC8" s="466"/>
      <c r="ED8" s="466"/>
      <c r="EE8" s="466"/>
      <c r="EF8" s="466"/>
      <c r="EG8" s="466"/>
      <c r="EH8" s="466"/>
      <c r="EI8" s="466"/>
      <c r="EJ8" s="466"/>
      <c r="EK8" s="466"/>
      <c r="EL8" s="466"/>
      <c r="EM8" s="466"/>
      <c r="EN8" s="466"/>
      <c r="EO8" s="466"/>
      <c r="EP8" s="466"/>
      <c r="EQ8" s="466"/>
      <c r="ER8" s="466"/>
      <c r="ES8" s="466"/>
      <c r="ET8" s="466"/>
      <c r="EU8" s="466"/>
      <c r="EV8" s="466"/>
      <c r="EW8" s="466"/>
      <c r="EX8" s="466"/>
      <c r="EY8" s="466"/>
      <c r="EZ8" s="466"/>
      <c r="FA8" s="466"/>
      <c r="FB8" s="466"/>
      <c r="FC8" s="466"/>
      <c r="FD8" s="466"/>
      <c r="FE8" s="466"/>
      <c r="FF8" s="466"/>
      <c r="FG8" s="466"/>
      <c r="FH8" s="466"/>
      <c r="FI8" s="466"/>
      <c r="FJ8" s="466"/>
      <c r="FK8" s="466"/>
      <c r="FL8" s="466"/>
      <c r="FM8" s="466"/>
      <c r="FN8" s="466"/>
      <c r="FO8" s="466"/>
      <c r="FP8" s="466"/>
      <c r="FQ8" s="466"/>
      <c r="FR8" s="466"/>
      <c r="FS8" s="466"/>
      <c r="FT8" s="466"/>
      <c r="FU8" s="466"/>
      <c r="FV8" s="466"/>
      <c r="FW8" s="466"/>
    </row>
    <row r="9" spans="2:179" s="468" customFormat="1" ht="15.75">
      <c r="B9" s="545" t="s">
        <v>307</v>
      </c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</row>
    <row r="10" spans="2:179" ht="13.5" thickBot="1"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7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6"/>
      <c r="DL10" s="466"/>
      <c r="DM10" s="466"/>
      <c r="DN10" s="466"/>
      <c r="DO10" s="466"/>
      <c r="DP10" s="466"/>
      <c r="DQ10" s="466"/>
      <c r="DR10" s="466"/>
      <c r="DS10" s="466"/>
      <c r="DT10" s="466"/>
      <c r="DU10" s="466"/>
      <c r="DV10" s="466"/>
      <c r="DW10" s="466"/>
      <c r="DX10" s="466"/>
      <c r="DY10" s="466"/>
      <c r="DZ10" s="466"/>
      <c r="EA10" s="466"/>
      <c r="EB10" s="466"/>
      <c r="EC10" s="466"/>
      <c r="ED10" s="466"/>
      <c r="EE10" s="466"/>
      <c r="EF10" s="466"/>
      <c r="EG10" s="466"/>
      <c r="EH10" s="466"/>
      <c r="EI10" s="466"/>
      <c r="EJ10" s="466"/>
      <c r="EK10" s="466"/>
      <c r="EL10" s="466"/>
      <c r="EM10" s="466"/>
      <c r="EN10" s="466"/>
      <c r="EO10" s="466"/>
      <c r="EP10" s="466"/>
      <c r="EQ10" s="466"/>
      <c r="ER10" s="466"/>
      <c r="ES10" s="466"/>
      <c r="ET10" s="466"/>
      <c r="EU10" s="466"/>
      <c r="EV10" s="466"/>
      <c r="EW10" s="466"/>
      <c r="EX10" s="466"/>
      <c r="EY10" s="466"/>
      <c r="EZ10" s="466"/>
      <c r="FA10" s="466"/>
      <c r="FB10" s="466"/>
      <c r="FC10" s="466"/>
      <c r="FD10" s="466"/>
      <c r="FE10" s="466"/>
      <c r="FF10" s="466"/>
      <c r="FG10" s="466"/>
      <c r="FH10" s="466"/>
      <c r="FI10" s="466"/>
      <c r="FJ10" s="466"/>
      <c r="FK10" s="466"/>
      <c r="FL10" s="466"/>
      <c r="FM10" s="466"/>
      <c r="FN10" s="466"/>
      <c r="FO10" s="466"/>
      <c r="FP10" s="466"/>
      <c r="FQ10" s="466"/>
      <c r="FR10" s="466"/>
      <c r="FS10" s="466"/>
      <c r="FT10" s="466"/>
      <c r="FU10" s="466"/>
      <c r="FV10" s="466"/>
      <c r="FW10" s="466"/>
    </row>
    <row r="11" spans="2:179" ht="13.5" thickTop="1">
      <c r="B11" s="470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2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/>
      <c r="CX11" s="466"/>
      <c r="CY11" s="466"/>
      <c r="CZ11" s="466"/>
      <c r="DA11" s="466"/>
      <c r="DB11" s="466"/>
      <c r="DC11" s="466"/>
      <c r="DD11" s="466"/>
      <c r="DE11" s="466"/>
      <c r="DF11" s="466"/>
      <c r="DG11" s="466"/>
      <c r="DH11" s="466"/>
      <c r="DI11" s="466"/>
      <c r="DJ11" s="466"/>
      <c r="DK11" s="466"/>
      <c r="DL11" s="466"/>
      <c r="DM11" s="466"/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  <c r="DX11" s="466"/>
      <c r="DY11" s="466"/>
      <c r="DZ11" s="466"/>
      <c r="EA11" s="466"/>
      <c r="EB11" s="466"/>
      <c r="EC11" s="466"/>
      <c r="ED11" s="466"/>
      <c r="EE11" s="466"/>
      <c r="EF11" s="466"/>
      <c r="EG11" s="466"/>
      <c r="EH11" s="466"/>
      <c r="EI11" s="466"/>
      <c r="EJ11" s="466"/>
      <c r="EK11" s="466"/>
      <c r="EL11" s="466"/>
      <c r="EM11" s="466"/>
      <c r="EN11" s="466"/>
      <c r="EO11" s="466"/>
      <c r="EP11" s="466"/>
      <c r="EQ11" s="466"/>
      <c r="ER11" s="466"/>
      <c r="ES11" s="466"/>
      <c r="ET11" s="466"/>
      <c r="EU11" s="466"/>
      <c r="EV11" s="466"/>
      <c r="EW11" s="466"/>
      <c r="EX11" s="466"/>
      <c r="EY11" s="466"/>
      <c r="EZ11" s="466"/>
      <c r="FA11" s="466"/>
      <c r="FB11" s="466"/>
      <c r="FC11" s="466"/>
      <c r="FD11" s="466"/>
      <c r="FE11" s="466"/>
      <c r="FF11" s="466"/>
      <c r="FG11" s="466"/>
      <c r="FH11" s="466"/>
      <c r="FI11" s="466"/>
      <c r="FJ11" s="466"/>
      <c r="FK11" s="466"/>
      <c r="FL11" s="466"/>
      <c r="FM11" s="466"/>
      <c r="FN11" s="466"/>
      <c r="FO11" s="466"/>
      <c r="FP11" s="466"/>
      <c r="FQ11" s="466"/>
      <c r="FR11" s="466"/>
      <c r="FS11" s="466"/>
      <c r="FT11" s="466"/>
      <c r="FU11" s="466"/>
      <c r="FV11" s="466"/>
      <c r="FW11" s="466"/>
    </row>
    <row r="12" spans="2:179" s="468" customFormat="1" ht="15.75">
      <c r="B12" s="540" t="s">
        <v>323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2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9"/>
      <c r="DZ12" s="469"/>
      <c r="EA12" s="469"/>
      <c r="EB12" s="469"/>
      <c r="EC12" s="469"/>
      <c r="ED12" s="469"/>
      <c r="EE12" s="469"/>
      <c r="EF12" s="469"/>
      <c r="EG12" s="469"/>
      <c r="EH12" s="469"/>
      <c r="EI12" s="469"/>
      <c r="EJ12" s="469"/>
      <c r="EK12" s="469"/>
      <c r="EL12" s="469"/>
      <c r="EM12" s="469"/>
      <c r="EN12" s="469"/>
      <c r="EO12" s="469"/>
      <c r="EP12" s="469"/>
      <c r="EQ12" s="469"/>
      <c r="ER12" s="469"/>
      <c r="ES12" s="469"/>
      <c r="ET12" s="469"/>
      <c r="EU12" s="469"/>
      <c r="EV12" s="469"/>
      <c r="EW12" s="469"/>
      <c r="EX12" s="469"/>
      <c r="EY12" s="469"/>
      <c r="EZ12" s="469"/>
      <c r="FA12" s="469"/>
      <c r="FB12" s="469"/>
      <c r="FC12" s="469"/>
      <c r="FD12" s="469"/>
      <c r="FE12" s="469"/>
      <c r="FF12" s="469"/>
      <c r="FG12" s="469"/>
      <c r="FH12" s="469"/>
      <c r="FI12" s="469"/>
      <c r="FJ12" s="469"/>
      <c r="FK12" s="469"/>
      <c r="FL12" s="469"/>
      <c r="FM12" s="469"/>
      <c r="FN12" s="469"/>
      <c r="FO12" s="469"/>
      <c r="FP12" s="469"/>
      <c r="FQ12" s="469"/>
      <c r="FR12" s="469"/>
      <c r="FS12" s="469"/>
      <c r="FT12" s="469"/>
      <c r="FU12" s="469"/>
      <c r="FV12" s="469"/>
      <c r="FW12" s="469"/>
    </row>
    <row r="13" spans="2:22" ht="13.5" thickBot="1">
      <c r="B13" s="473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5"/>
    </row>
    <row r="14" spans="2:22" s="476" customFormat="1" ht="33.75" customHeight="1" thickBot="1" thickTop="1">
      <c r="B14" s="477"/>
      <c r="C14" s="478"/>
      <c r="D14" s="421" t="s">
        <v>308</v>
      </c>
      <c r="E14" s="421" t="s">
        <v>1</v>
      </c>
      <c r="F14" s="479" t="s">
        <v>14</v>
      </c>
      <c r="G14" s="479" t="s">
        <v>15</v>
      </c>
      <c r="H14" s="480" t="s">
        <v>2</v>
      </c>
      <c r="I14" s="481">
        <v>40787</v>
      </c>
      <c r="J14" s="481">
        <v>40817</v>
      </c>
      <c r="K14" s="481">
        <v>40848</v>
      </c>
      <c r="L14" s="481">
        <v>40878</v>
      </c>
      <c r="M14" s="481">
        <v>40909</v>
      </c>
      <c r="N14" s="481">
        <v>40940</v>
      </c>
      <c r="O14" s="481">
        <v>40969</v>
      </c>
      <c r="P14" s="481">
        <v>41000</v>
      </c>
      <c r="Q14" s="481">
        <v>41030</v>
      </c>
      <c r="R14" s="481">
        <v>41061</v>
      </c>
      <c r="S14" s="481">
        <v>41091</v>
      </c>
      <c r="T14" s="481">
        <v>41122</v>
      </c>
      <c r="U14" s="481">
        <v>41153</v>
      </c>
      <c r="V14" s="482"/>
    </row>
    <row r="15" spans="2:22" s="483" customFormat="1" ht="19.5" customHeight="1" thickTop="1">
      <c r="B15" s="484"/>
      <c r="C15" s="485"/>
      <c r="D15" s="486"/>
      <c r="E15" s="486"/>
      <c r="F15" s="486"/>
      <c r="G15" s="486"/>
      <c r="H15" s="485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8"/>
      <c r="V15" s="489"/>
    </row>
    <row r="16" spans="2:22" s="483" customFormat="1" ht="18">
      <c r="B16" s="484"/>
      <c r="C16" s="490">
        <f>IF('[3]BASE'!C17="","",'[3]BASE'!C17)</f>
        <v>1</v>
      </c>
      <c r="D16" s="490">
        <f>IF('[3]BASE'!D17="","",'[3]BASE'!D17)</f>
        <v>1403</v>
      </c>
      <c r="E16" s="490" t="str">
        <f>IF('[3]BASE'!E17="","",'[3]BASE'!E17)</f>
        <v>BRAGADO - HENDERSON</v>
      </c>
      <c r="F16" s="490">
        <f>IF('[3]BASE'!F17="","",'[3]BASE'!F17)</f>
        <v>220</v>
      </c>
      <c r="G16" s="490">
        <f>IF('[3]BASE'!G17="","",'[3]BASE'!G17)</f>
        <v>177</v>
      </c>
      <c r="H16" s="490" t="str">
        <f>IF('[3]BASE'!H17="","",'[3]BASE'!H17)</f>
        <v>A</v>
      </c>
      <c r="I16" s="491">
        <f>IF('[3]BASE'!FS17="","",'[3]BASE'!FS17)</f>
      </c>
      <c r="J16" s="491">
        <f>IF('[3]BASE'!FT17="","",'[3]BASE'!FT17)</f>
      </c>
      <c r="K16" s="491">
        <f>IF('[3]BASE'!FU17="","",'[3]BASE'!FU17)</f>
        <v>1</v>
      </c>
      <c r="L16" s="491">
        <f>IF('[3]BASE'!FV17="","",'[3]BASE'!FV17)</f>
      </c>
      <c r="M16" s="491">
        <f>IF('[3]BASE'!FW17="","",'[3]BASE'!FW17)</f>
      </c>
      <c r="N16" s="491">
        <f>IF('[3]BASE'!FX17="","",'[3]BASE'!FX17)</f>
      </c>
      <c r="O16" s="491">
        <f>IF('[3]BASE'!FY17="","",'[3]BASE'!FY17)</f>
      </c>
      <c r="P16" s="491">
        <f>IF('[3]BASE'!FZ17="","",'[3]BASE'!FZ17)</f>
      </c>
      <c r="Q16" s="491">
        <f>IF('[3]BASE'!GA17="","",'[3]BASE'!GA17)</f>
      </c>
      <c r="R16" s="491">
        <f>IF('[3]BASE'!GB17="","",'[3]BASE'!GB17)</f>
      </c>
      <c r="S16" s="491">
        <f>IF('[3]BASE'!GC17="","",'[3]BASE'!GC17)</f>
      </c>
      <c r="T16" s="491">
        <f>IF('[3]BASE'!GD17="","",'[3]BASE'!GD17)</f>
      </c>
      <c r="U16" s="492"/>
      <c r="V16" s="489"/>
    </row>
    <row r="17" spans="2:22" s="483" customFormat="1" ht="18">
      <c r="B17" s="484"/>
      <c r="C17" s="490">
        <f>IF('[3]BASE'!C18="","",'[3]BASE'!C18)</f>
        <v>2</v>
      </c>
      <c r="D17" s="490" t="str">
        <f>IF('[3]BASE'!D18="","",'[3]BASE'!D18)</f>
        <v>CE-000</v>
      </c>
      <c r="E17" s="490" t="str">
        <f>IF('[3]BASE'!E18="","",'[3]BASE'!E18)</f>
        <v>AZUL - LAS FLORES</v>
      </c>
      <c r="F17" s="490">
        <f>IF('[3]BASE'!F18="","",'[3]BASE'!F18)</f>
        <v>132</v>
      </c>
      <c r="G17" s="490">
        <f>IF('[3]BASE'!G18="","",'[3]BASE'!G18)</f>
        <v>107</v>
      </c>
      <c r="H17" s="490" t="str">
        <f>IF('[3]BASE'!H18="","",'[3]BASE'!H18)</f>
        <v>C</v>
      </c>
      <c r="I17" s="491" t="str">
        <f>IF('[3]BASE'!FS18="","",'[3]BASE'!FS18)</f>
        <v>XXXX</v>
      </c>
      <c r="J17" s="491" t="str">
        <f>IF('[3]BASE'!FT18="","",'[3]BASE'!FT18)</f>
        <v>XXXX</v>
      </c>
      <c r="K17" s="491" t="str">
        <f>IF('[3]BASE'!FU18="","",'[3]BASE'!FU18)</f>
        <v>XXXX</v>
      </c>
      <c r="L17" s="491" t="str">
        <f>IF('[3]BASE'!FV18="","",'[3]BASE'!FV18)</f>
        <v>XXXX</v>
      </c>
      <c r="M17" s="491" t="str">
        <f>IF('[3]BASE'!FW18="","",'[3]BASE'!FW18)</f>
        <v>XXXX</v>
      </c>
      <c r="N17" s="491" t="str">
        <f>IF('[3]BASE'!FX18="","",'[3]BASE'!FX18)</f>
        <v>XXXX</v>
      </c>
      <c r="O17" s="491" t="str">
        <f>IF('[3]BASE'!FY18="","",'[3]BASE'!FY18)</f>
        <v>XXXX</v>
      </c>
      <c r="P17" s="491" t="str">
        <f>IF('[3]BASE'!FZ18="","",'[3]BASE'!FZ18)</f>
        <v>XXXX</v>
      </c>
      <c r="Q17" s="491" t="str">
        <f>IF('[3]BASE'!GA18="","",'[3]BASE'!GA18)</f>
        <v>XXXX</v>
      </c>
      <c r="R17" s="491" t="str">
        <f>IF('[3]BASE'!GB18="","",'[3]BASE'!GB18)</f>
        <v>XXXX</v>
      </c>
      <c r="S17" s="491" t="str">
        <f>IF('[3]BASE'!GC18="","",'[3]BASE'!GC18)</f>
        <v>XXXX</v>
      </c>
      <c r="T17" s="491" t="str">
        <f>IF('[3]BASE'!GD18="","",'[3]BASE'!GD18)</f>
        <v>XXXX</v>
      </c>
      <c r="U17" s="492"/>
      <c r="V17" s="489"/>
    </row>
    <row r="18" spans="2:22" s="483" customFormat="1" ht="19.5" customHeight="1">
      <c r="B18" s="484"/>
      <c r="C18" s="490">
        <f>IF('[3]BASE'!C19="","",'[3]BASE'!C19)</f>
        <v>3</v>
      </c>
      <c r="D18" s="490">
        <f>IF('[3]BASE'!D19="","",'[3]BASE'!D19)</f>
        <v>1534</v>
      </c>
      <c r="E18" s="490" t="str">
        <f>IF('[3]BASE'!E19="","",'[3]BASE'!E19)</f>
        <v>BAHIA BLANCA - NORTE II</v>
      </c>
      <c r="F18" s="490">
        <f>IF('[3]BASE'!F19="","",'[3]BASE'!F19)</f>
        <v>132</v>
      </c>
      <c r="G18" s="490">
        <f>IF('[3]BASE'!G19="","",'[3]BASE'!G19)</f>
        <v>19</v>
      </c>
      <c r="H18" s="490" t="str">
        <f>IF('[3]BASE'!H19="","",'[3]BASE'!H19)</f>
        <v>C</v>
      </c>
      <c r="I18" s="491">
        <f>IF('[3]BASE'!FS19="","",'[3]BASE'!FS19)</f>
      </c>
      <c r="J18" s="491">
        <f>IF('[3]BASE'!FT19="","",'[3]BASE'!FT19)</f>
      </c>
      <c r="K18" s="491">
        <f>IF('[3]BASE'!FU19="","",'[3]BASE'!FU19)</f>
      </c>
      <c r="L18" s="491">
        <f>IF('[3]BASE'!FV19="","",'[3]BASE'!FV19)</f>
      </c>
      <c r="M18" s="491">
        <f>IF('[3]BASE'!FW19="","",'[3]BASE'!FW19)</f>
      </c>
      <c r="N18" s="491">
        <f>IF('[3]BASE'!FX19="","",'[3]BASE'!FX19)</f>
      </c>
      <c r="O18" s="491">
        <f>IF('[3]BASE'!FY19="","",'[3]BASE'!FY19)</f>
      </c>
      <c r="P18" s="491">
        <f>IF('[3]BASE'!FZ19="","",'[3]BASE'!FZ19)</f>
      </c>
      <c r="Q18" s="491">
        <f>IF('[3]BASE'!GA19="","",'[3]BASE'!GA19)</f>
      </c>
      <c r="R18" s="491">
        <f>IF('[3]BASE'!GB19="","",'[3]BASE'!GB19)</f>
      </c>
      <c r="S18" s="491">
        <f>IF('[3]BASE'!GC19="","",'[3]BASE'!GC19)</f>
      </c>
      <c r="T18" s="491">
        <f>IF('[3]BASE'!GD19="","",'[3]BASE'!GD19)</f>
      </c>
      <c r="U18" s="492"/>
      <c r="V18" s="489"/>
    </row>
    <row r="19" spans="2:22" s="483" customFormat="1" ht="19.5" customHeight="1">
      <c r="B19" s="484"/>
      <c r="C19" s="490">
        <f>IF('[3]BASE'!C20="","",'[3]BASE'!C20)</f>
        <v>4</v>
      </c>
      <c r="D19" s="490">
        <f>IF('[3]BASE'!D20="","",'[3]BASE'!D20)</f>
        <v>1532</v>
      </c>
      <c r="E19" s="490" t="str">
        <f>IF('[3]BASE'!E20="","",'[3]BASE'!E20)</f>
        <v>BAHIA BLANCA - P. LURO</v>
      </c>
      <c r="F19" s="490">
        <f>IF('[3]BASE'!F20="","",'[3]BASE'!F20)</f>
        <v>132</v>
      </c>
      <c r="G19" s="490">
        <f>IF('[3]BASE'!G20="","",'[3]BASE'!G20)</f>
        <v>141</v>
      </c>
      <c r="H19" s="490" t="str">
        <f>IF('[3]BASE'!H20="","",'[3]BASE'!H20)</f>
        <v>B</v>
      </c>
      <c r="I19" s="491">
        <f>IF('[3]BASE'!FS20="","",'[3]BASE'!FS20)</f>
      </c>
      <c r="J19" s="491">
        <f>IF('[3]BASE'!FT20="","",'[3]BASE'!FT20)</f>
      </c>
      <c r="K19" s="491">
        <f>IF('[3]BASE'!FU20="","",'[3]BASE'!FU20)</f>
      </c>
      <c r="L19" s="491">
        <f>IF('[3]BASE'!FV20="","",'[3]BASE'!FV20)</f>
      </c>
      <c r="M19" s="491">
        <f>IF('[3]BASE'!FW20="","",'[3]BASE'!FW20)</f>
      </c>
      <c r="N19" s="491">
        <f>IF('[3]BASE'!FX20="","",'[3]BASE'!FX20)</f>
      </c>
      <c r="O19" s="491">
        <f>IF('[3]BASE'!FY20="","",'[3]BASE'!FY20)</f>
      </c>
      <c r="P19" s="491">
        <f>IF('[3]BASE'!FZ20="","",'[3]BASE'!FZ20)</f>
      </c>
      <c r="Q19" s="491">
        <f>IF('[3]BASE'!GA20="","",'[3]BASE'!GA20)</f>
      </c>
      <c r="R19" s="491">
        <f>IF('[3]BASE'!GB20="","",'[3]BASE'!GB20)</f>
      </c>
      <c r="S19" s="491">
        <f>IF('[3]BASE'!GC20="","",'[3]BASE'!GC20)</f>
      </c>
      <c r="T19" s="491">
        <f>IF('[3]BASE'!GD20="","",'[3]BASE'!GD20)</f>
        <v>1</v>
      </c>
      <c r="U19" s="492"/>
      <c r="V19" s="489"/>
    </row>
    <row r="20" spans="2:22" s="483" customFormat="1" ht="19.5" customHeight="1">
      <c r="B20" s="484"/>
      <c r="C20" s="490">
        <f>IF('[3]BASE'!C21="","",'[3]BASE'!C21)</f>
        <v>5</v>
      </c>
      <c r="D20" s="490">
        <f>IF('[3]BASE'!D21="","",'[3]BASE'!D21)</f>
        <v>1535</v>
      </c>
      <c r="E20" s="490" t="str">
        <f>IF('[3]BASE'!E21="","",'[3]BASE'!E21)</f>
        <v>BAHIA BLANCA - PETROQ. BAHIA BLANCA 1</v>
      </c>
      <c r="F20" s="490">
        <f>IF('[3]BASE'!F21="","",'[3]BASE'!F21)</f>
        <v>132</v>
      </c>
      <c r="G20" s="490">
        <f>IF('[3]BASE'!G21="","",'[3]BASE'!G21)</f>
        <v>29.8</v>
      </c>
      <c r="H20" s="490" t="str">
        <f>IF('[3]BASE'!H21="","",'[3]BASE'!H21)</f>
        <v>C</v>
      </c>
      <c r="I20" s="491">
        <f>IF('[3]BASE'!FS21="","",'[3]BASE'!FS21)</f>
      </c>
      <c r="J20" s="491">
        <f>IF('[3]BASE'!FT21="","",'[3]BASE'!FT21)</f>
      </c>
      <c r="K20" s="491">
        <f>IF('[3]BASE'!FU21="","",'[3]BASE'!FU21)</f>
      </c>
      <c r="L20" s="491">
        <f>IF('[3]BASE'!FV21="","",'[3]BASE'!FV21)</f>
      </c>
      <c r="M20" s="491">
        <f>IF('[3]BASE'!FW21="","",'[3]BASE'!FW21)</f>
      </c>
      <c r="N20" s="491">
        <f>IF('[3]BASE'!FX21="","",'[3]BASE'!FX21)</f>
      </c>
      <c r="O20" s="491">
        <f>IF('[3]BASE'!FY21="","",'[3]BASE'!FY21)</f>
      </c>
      <c r="P20" s="491">
        <f>IF('[3]BASE'!FZ21="","",'[3]BASE'!FZ21)</f>
      </c>
      <c r="Q20" s="491">
        <f>IF('[3]BASE'!GA21="","",'[3]BASE'!GA21)</f>
      </c>
      <c r="R20" s="491">
        <f>IF('[3]BASE'!GB21="","",'[3]BASE'!GB21)</f>
      </c>
      <c r="S20" s="491">
        <f>IF('[3]BASE'!GC21="","",'[3]BASE'!GC21)</f>
      </c>
      <c r="T20" s="491">
        <f>IF('[3]BASE'!GD21="","",'[3]BASE'!GD21)</f>
      </c>
      <c r="U20" s="492"/>
      <c r="V20" s="489"/>
    </row>
    <row r="21" spans="2:22" s="483" customFormat="1" ht="19.5" customHeight="1">
      <c r="B21" s="484"/>
      <c r="C21" s="490">
        <f>IF('[3]BASE'!C22="","",'[3]BASE'!C22)</f>
        <v>6</v>
      </c>
      <c r="D21" s="490">
        <f>IF('[3]BASE'!D22="","",'[3]BASE'!D22)</f>
        <v>1531</v>
      </c>
      <c r="E21" s="490" t="str">
        <f>IF('[3]BASE'!E22="","",'[3]BASE'!E22)</f>
        <v>BAHIA BLANCA - PRINGLES</v>
      </c>
      <c r="F21" s="490">
        <f>IF('[3]BASE'!F22="","",'[3]BASE'!F22)</f>
        <v>132</v>
      </c>
      <c r="G21" s="490">
        <f>IF('[3]BASE'!G22="","",'[3]BASE'!G22)</f>
        <v>102.09</v>
      </c>
      <c r="H21" s="490" t="str">
        <f>IF('[3]BASE'!H22="","",'[3]BASE'!H22)</f>
        <v>C</v>
      </c>
      <c r="I21" s="491">
        <f>IF('[3]BASE'!FS22="","",'[3]BASE'!FS22)</f>
      </c>
      <c r="J21" s="491">
        <f>IF('[3]BASE'!FT22="","",'[3]BASE'!FT22)</f>
      </c>
      <c r="K21" s="491">
        <f>IF('[3]BASE'!FU22="","",'[3]BASE'!FU22)</f>
      </c>
      <c r="L21" s="491">
        <f>IF('[3]BASE'!FV22="","",'[3]BASE'!FV22)</f>
      </c>
      <c r="M21" s="491">
        <f>IF('[3]BASE'!FW22="","",'[3]BASE'!FW22)</f>
        <v>1</v>
      </c>
      <c r="N21" s="491">
        <f>IF('[3]BASE'!FX22="","",'[3]BASE'!FX22)</f>
      </c>
      <c r="O21" s="491">
        <f>IF('[3]BASE'!FY22="","",'[3]BASE'!FY22)</f>
      </c>
      <c r="P21" s="491">
        <f>IF('[3]BASE'!FZ22="","",'[3]BASE'!FZ22)</f>
      </c>
      <c r="Q21" s="491">
        <f>IF('[3]BASE'!GA22="","",'[3]BASE'!GA22)</f>
      </c>
      <c r="R21" s="491">
        <f>IF('[3]BASE'!GB22="","",'[3]BASE'!GB22)</f>
      </c>
      <c r="S21" s="491">
        <f>IF('[3]BASE'!GC22="","",'[3]BASE'!GC22)</f>
      </c>
      <c r="T21" s="491">
        <f>IF('[3]BASE'!GD22="","",'[3]BASE'!GD22)</f>
      </c>
      <c r="U21" s="492"/>
      <c r="V21" s="489"/>
    </row>
    <row r="22" spans="2:22" s="483" customFormat="1" ht="19.5" customHeight="1">
      <c r="B22" s="484"/>
      <c r="C22" s="490">
        <f>IF('[3]BASE'!C23="","",'[3]BASE'!C23)</f>
        <v>7</v>
      </c>
      <c r="D22" s="490">
        <f>IF('[3]BASE'!D23="","",'[3]BASE'!D23)</f>
        <v>1522</v>
      </c>
      <c r="E22" s="490" t="str">
        <f>IF('[3]BASE'!E23="","",'[3]BASE'!E23)</f>
        <v>BALCARCE - MAR DEL PLATA</v>
      </c>
      <c r="F22" s="490">
        <f>IF('[3]BASE'!F23="","",'[3]BASE'!F23)</f>
        <v>132</v>
      </c>
      <c r="G22" s="490">
        <f>IF('[3]BASE'!G23="","",'[3]BASE'!G23)</f>
        <v>62.9</v>
      </c>
      <c r="H22" s="490" t="str">
        <f>IF('[3]BASE'!H23="","",'[3]BASE'!H23)</f>
        <v>C</v>
      </c>
      <c r="I22" s="491">
        <f>IF('[3]BASE'!FS23="","",'[3]BASE'!FS23)</f>
      </c>
      <c r="J22" s="491">
        <f>IF('[3]BASE'!FT23="","",'[3]BASE'!FT23)</f>
      </c>
      <c r="K22" s="491">
        <f>IF('[3]BASE'!FU23="","",'[3]BASE'!FU23)</f>
      </c>
      <c r="L22" s="491">
        <f>IF('[3]BASE'!FV23="","",'[3]BASE'!FV23)</f>
        <v>1</v>
      </c>
      <c r="M22" s="491">
        <f>IF('[3]BASE'!FW23="","",'[3]BASE'!FW23)</f>
      </c>
      <c r="N22" s="491">
        <f>IF('[3]BASE'!FX23="","",'[3]BASE'!FX23)</f>
      </c>
      <c r="O22" s="491">
        <f>IF('[3]BASE'!FY23="","",'[3]BASE'!FY23)</f>
      </c>
      <c r="P22" s="491">
        <f>IF('[3]BASE'!FZ23="","",'[3]BASE'!FZ23)</f>
      </c>
      <c r="Q22" s="491">
        <f>IF('[3]BASE'!GA23="","",'[3]BASE'!GA23)</f>
      </c>
      <c r="R22" s="491">
        <f>IF('[3]BASE'!GB23="","",'[3]BASE'!GB23)</f>
        <v>1</v>
      </c>
      <c r="S22" s="491">
        <f>IF('[3]BASE'!GC23="","",'[3]BASE'!GC23)</f>
      </c>
      <c r="T22" s="491">
        <f>IF('[3]BASE'!GD23="","",'[3]BASE'!GD23)</f>
      </c>
      <c r="U22" s="492"/>
      <c r="V22" s="489"/>
    </row>
    <row r="23" spans="2:22" s="483" customFormat="1" ht="19.5" customHeight="1">
      <c r="B23" s="484"/>
      <c r="C23" s="490">
        <f>IF('[3]BASE'!C24="","",'[3]BASE'!C24)</f>
        <v>8</v>
      </c>
      <c r="D23" s="490">
        <f>IF('[3]BASE'!D24="","",'[3]BASE'!D24)</f>
        <v>1406</v>
      </c>
      <c r="E23" s="490" t="str">
        <f>IF('[3]BASE'!E24="","",'[3]BASE'!E24)</f>
        <v>BRAGADO - CHACABUCO</v>
      </c>
      <c r="F23" s="490">
        <f>IF('[3]BASE'!F24="","",'[3]BASE'!F24)</f>
        <v>132</v>
      </c>
      <c r="G23" s="490">
        <f>IF('[3]BASE'!G24="","",'[3]BASE'!G24)</f>
        <v>60.6</v>
      </c>
      <c r="H23" s="490" t="str">
        <f>IF('[3]BASE'!H24="","",'[3]BASE'!H24)</f>
        <v>B</v>
      </c>
      <c r="I23" s="491">
        <f>IF('[3]BASE'!FS24="","",'[3]BASE'!FS24)</f>
      </c>
      <c r="J23" s="491">
        <f>IF('[3]BASE'!FT24="","",'[3]BASE'!FT24)</f>
        <v>2</v>
      </c>
      <c r="K23" s="491">
        <f>IF('[3]BASE'!FU24="","",'[3]BASE'!FU24)</f>
        <v>1</v>
      </c>
      <c r="L23" s="491">
        <f>IF('[3]BASE'!FV24="","",'[3]BASE'!FV24)</f>
      </c>
      <c r="M23" s="491">
        <f>IF('[3]BASE'!FW24="","",'[3]BASE'!FW24)</f>
      </c>
      <c r="N23" s="491">
        <f>IF('[3]BASE'!FX24="","",'[3]BASE'!FX24)</f>
      </c>
      <c r="O23" s="491">
        <f>IF('[3]BASE'!FY24="","",'[3]BASE'!FY24)</f>
      </c>
      <c r="P23" s="491">
        <f>IF('[3]BASE'!FZ24="","",'[3]BASE'!FZ24)</f>
      </c>
      <c r="Q23" s="491">
        <f>IF('[3]BASE'!GA24="","",'[3]BASE'!GA24)</f>
      </c>
      <c r="R23" s="491">
        <f>IF('[3]BASE'!GB24="","",'[3]BASE'!GB24)</f>
      </c>
      <c r="S23" s="491">
        <f>IF('[3]BASE'!GC24="","",'[3]BASE'!GC24)</f>
        <v>2</v>
      </c>
      <c r="T23" s="491">
        <f>IF('[3]BASE'!GD24="","",'[3]BASE'!GD24)</f>
      </c>
      <c r="U23" s="492"/>
      <c r="V23" s="489"/>
    </row>
    <row r="24" spans="2:22" s="483" customFormat="1" ht="19.5" customHeight="1">
      <c r="B24" s="484"/>
      <c r="C24" s="490">
        <f>IF('[3]BASE'!C25="","",'[3]BASE'!C25)</f>
        <v>9</v>
      </c>
      <c r="D24" s="490">
        <f>IF('[3]BASE'!D25="","",'[3]BASE'!D25)</f>
        <v>1404</v>
      </c>
      <c r="E24" s="490" t="str">
        <f>IF('[3]BASE'!E25="","",'[3]BASE'!E25)</f>
        <v>BRAGADO - CHIVILCOY</v>
      </c>
      <c r="F24" s="490">
        <f>IF('[3]BASE'!F25="","",'[3]BASE'!F25)</f>
        <v>132</v>
      </c>
      <c r="G24" s="490">
        <f>IF('[3]BASE'!G25="","",'[3]BASE'!G25)</f>
        <v>49</v>
      </c>
      <c r="H24" s="490" t="str">
        <f>IF('[3]BASE'!H25="","",'[3]BASE'!H25)</f>
        <v>B</v>
      </c>
      <c r="I24" s="491">
        <f>IF('[3]BASE'!FS25="","",'[3]BASE'!FS25)</f>
      </c>
      <c r="J24" s="491">
        <f>IF('[3]BASE'!FT25="","",'[3]BASE'!FT25)</f>
        <v>1</v>
      </c>
      <c r="K24" s="491">
        <f>IF('[3]BASE'!FU25="","",'[3]BASE'!FU25)</f>
      </c>
      <c r="L24" s="491">
        <f>IF('[3]BASE'!FV25="","",'[3]BASE'!FV25)</f>
      </c>
      <c r="M24" s="491">
        <f>IF('[3]BASE'!FW25="","",'[3]BASE'!FW25)</f>
      </c>
      <c r="N24" s="491">
        <f>IF('[3]BASE'!FX25="","",'[3]BASE'!FX25)</f>
      </c>
      <c r="O24" s="491">
        <f>IF('[3]BASE'!FY25="","",'[3]BASE'!FY25)</f>
      </c>
      <c r="P24" s="491">
        <f>IF('[3]BASE'!FZ25="","",'[3]BASE'!FZ25)</f>
        <v>1</v>
      </c>
      <c r="Q24" s="491">
        <f>IF('[3]BASE'!GA25="","",'[3]BASE'!GA25)</f>
      </c>
      <c r="R24" s="491">
        <f>IF('[3]BASE'!GB25="","",'[3]BASE'!GB25)</f>
        <v>1</v>
      </c>
      <c r="S24" s="491">
        <f>IF('[3]BASE'!GC25="","",'[3]BASE'!GC25)</f>
      </c>
      <c r="T24" s="491">
        <f>IF('[3]BASE'!GD25="","",'[3]BASE'!GD25)</f>
        <v>1</v>
      </c>
      <c r="U24" s="492"/>
      <c r="V24" s="489"/>
    </row>
    <row r="25" spans="2:22" s="483" customFormat="1" ht="19.5" customHeight="1">
      <c r="B25" s="484"/>
      <c r="C25" s="490">
        <f>IF('[3]BASE'!C26="","",'[3]BASE'!C26)</f>
        <v>10</v>
      </c>
      <c r="D25" s="490">
        <f>IF('[3]BASE'!D26="","",'[3]BASE'!D26)</f>
        <v>1405</v>
      </c>
      <c r="E25" s="490" t="str">
        <f>IF('[3]BASE'!E26="","",'[3]BASE'!E26)</f>
        <v>BRAGADO - SALADILLO</v>
      </c>
      <c r="F25" s="490">
        <f>IF('[3]BASE'!F26="","",'[3]BASE'!F26)</f>
        <v>132</v>
      </c>
      <c r="G25" s="490">
        <f>IF('[3]BASE'!G26="","",'[3]BASE'!G26)</f>
        <v>83.8</v>
      </c>
      <c r="H25" s="490" t="str">
        <f>IF('[3]BASE'!H26="","",'[3]BASE'!H26)</f>
        <v>B</v>
      </c>
      <c r="I25" s="491">
        <f>IF('[3]BASE'!FS26="","",'[3]BASE'!FS26)</f>
      </c>
      <c r="J25" s="491">
        <f>IF('[3]BASE'!FT26="","",'[3]BASE'!FT26)</f>
      </c>
      <c r="K25" s="491">
        <f>IF('[3]BASE'!FU26="","",'[3]BASE'!FU26)</f>
      </c>
      <c r="L25" s="491">
        <f>IF('[3]BASE'!FV26="","",'[3]BASE'!FV26)</f>
      </c>
      <c r="M25" s="491">
        <f>IF('[3]BASE'!FW26="","",'[3]BASE'!FW26)</f>
      </c>
      <c r="N25" s="491">
        <f>IF('[3]BASE'!FX26="","",'[3]BASE'!FX26)</f>
      </c>
      <c r="O25" s="491">
        <f>IF('[3]BASE'!FY26="","",'[3]BASE'!FY26)</f>
      </c>
      <c r="P25" s="491">
        <f>IF('[3]BASE'!FZ26="","",'[3]BASE'!FZ26)</f>
      </c>
      <c r="Q25" s="491">
        <f>IF('[3]BASE'!GA26="","",'[3]BASE'!GA26)</f>
      </c>
      <c r="R25" s="491">
        <f>IF('[3]BASE'!GB26="","",'[3]BASE'!GB26)</f>
      </c>
      <c r="S25" s="491">
        <f>IF('[3]BASE'!GC26="","",'[3]BASE'!GC26)</f>
      </c>
      <c r="T25" s="491">
        <f>IF('[3]BASE'!GD26="","",'[3]BASE'!GD26)</f>
      </c>
      <c r="U25" s="492"/>
      <c r="V25" s="489"/>
    </row>
    <row r="26" spans="2:22" s="483" customFormat="1" ht="19.5" customHeight="1">
      <c r="B26" s="484"/>
      <c r="C26" s="490">
        <f>IF('[3]BASE'!C27="","",'[3]BASE'!C27)</f>
        <v>11</v>
      </c>
      <c r="D26" s="490">
        <f>IF('[3]BASE'!D27="","",'[3]BASE'!D27)</f>
        <v>1454</v>
      </c>
      <c r="E26" s="490" t="str">
        <f>IF('[3]BASE'!E27="","",'[3]BASE'!E27)</f>
        <v>C. AVELLANEDA - OLAVARRIA VIEJA</v>
      </c>
      <c r="F26" s="490">
        <f>IF('[3]BASE'!F27="","",'[3]BASE'!F27)</f>
        <v>132</v>
      </c>
      <c r="G26" s="490">
        <f>IF('[3]BASE'!G27="","",'[3]BASE'!G27)</f>
        <v>6.3</v>
      </c>
      <c r="H26" s="490" t="str">
        <f>IF('[3]BASE'!H27="","",'[3]BASE'!H27)</f>
        <v>C</v>
      </c>
      <c r="I26" s="491">
        <f>IF('[3]BASE'!FS27="","",'[3]BASE'!FS27)</f>
      </c>
      <c r="J26" s="491">
        <f>IF('[3]BASE'!FT27="","",'[3]BASE'!FT27)</f>
      </c>
      <c r="K26" s="491">
        <f>IF('[3]BASE'!FU27="","",'[3]BASE'!FU27)</f>
      </c>
      <c r="L26" s="491">
        <f>IF('[3]BASE'!FV27="","",'[3]BASE'!FV27)</f>
      </c>
      <c r="M26" s="491">
        <f>IF('[3]BASE'!FW27="","",'[3]BASE'!FW27)</f>
      </c>
      <c r="N26" s="491">
        <f>IF('[3]BASE'!FX27="","",'[3]BASE'!FX27)</f>
      </c>
      <c r="O26" s="491">
        <f>IF('[3]BASE'!FY27="","",'[3]BASE'!FY27)</f>
      </c>
      <c r="P26" s="491">
        <f>IF('[3]BASE'!FZ27="","",'[3]BASE'!FZ27)</f>
        <v>1</v>
      </c>
      <c r="Q26" s="491">
        <f>IF('[3]BASE'!GA27="","",'[3]BASE'!GA27)</f>
      </c>
      <c r="R26" s="491">
        <f>IF('[3]BASE'!GB27="","",'[3]BASE'!GB27)</f>
      </c>
      <c r="S26" s="491">
        <f>IF('[3]BASE'!GC27="","",'[3]BASE'!GC27)</f>
      </c>
      <c r="T26" s="491">
        <f>IF('[3]BASE'!GD27="","",'[3]BASE'!GD27)</f>
      </c>
      <c r="U26" s="492"/>
      <c r="V26" s="489"/>
    </row>
    <row r="27" spans="2:22" s="483" customFormat="1" ht="19.5" customHeight="1">
      <c r="B27" s="484"/>
      <c r="C27" s="490">
        <f>IF('[3]BASE'!C28="","",'[3]BASE'!C28)</f>
        <v>12</v>
      </c>
      <c r="D27" s="490">
        <f>IF('[3]BASE'!D28="","",'[3]BASE'!D28)</f>
        <v>2617</v>
      </c>
      <c r="E27" s="490" t="str">
        <f>IF('[3]BASE'!E28="","",'[3]BASE'!E28)</f>
        <v>C. PATAGONES - VIEDMA</v>
      </c>
      <c r="F27" s="490">
        <f>IF('[3]BASE'!F28="","",'[3]BASE'!F28)</f>
        <v>132</v>
      </c>
      <c r="G27" s="490">
        <f>IF('[3]BASE'!G28="","",'[3]BASE'!G28)</f>
        <v>2.7</v>
      </c>
      <c r="H27" s="490" t="str">
        <f>IF('[3]BASE'!H28="","",'[3]BASE'!H28)</f>
        <v>C</v>
      </c>
      <c r="I27" s="491">
        <f>IF('[3]BASE'!FS28="","",'[3]BASE'!FS28)</f>
      </c>
      <c r="J27" s="491">
        <f>IF('[3]BASE'!FT28="","",'[3]BASE'!FT28)</f>
      </c>
      <c r="K27" s="491">
        <f>IF('[3]BASE'!FU28="","",'[3]BASE'!FU28)</f>
      </c>
      <c r="L27" s="491">
        <f>IF('[3]BASE'!FV28="","",'[3]BASE'!FV28)</f>
      </c>
      <c r="M27" s="491">
        <f>IF('[3]BASE'!FW28="","",'[3]BASE'!FW28)</f>
      </c>
      <c r="N27" s="491">
        <f>IF('[3]BASE'!FX28="","",'[3]BASE'!FX28)</f>
      </c>
      <c r="O27" s="491">
        <f>IF('[3]BASE'!FY28="","",'[3]BASE'!FY28)</f>
      </c>
      <c r="P27" s="491">
        <f>IF('[3]BASE'!FZ28="","",'[3]BASE'!FZ28)</f>
        <v>1</v>
      </c>
      <c r="Q27" s="491">
        <f>IF('[3]BASE'!GA28="","",'[3]BASE'!GA28)</f>
      </c>
      <c r="R27" s="491">
        <f>IF('[3]BASE'!GB28="","",'[3]BASE'!GB28)</f>
      </c>
      <c r="S27" s="491">
        <f>IF('[3]BASE'!GC28="","",'[3]BASE'!GC28)</f>
        <v>1</v>
      </c>
      <c r="T27" s="491">
        <f>IF('[3]BASE'!GD28="","",'[3]BASE'!GD28)</f>
      </c>
      <c r="U27" s="492"/>
      <c r="V27" s="489"/>
    </row>
    <row r="28" spans="2:22" s="483" customFormat="1" ht="19.5" customHeight="1">
      <c r="B28" s="484"/>
      <c r="C28" s="490">
        <f>IF('[3]BASE'!C29="","",'[3]BASE'!C29)</f>
        <v>13</v>
      </c>
      <c r="D28" s="490" t="str">
        <f>IF('[3]BASE'!D29="","",'[3]BASE'!D29)</f>
        <v>CE-000</v>
      </c>
      <c r="E28" s="490" t="str">
        <f>IF('[3]BASE'!E29="","",'[3]BASE'!E29)</f>
        <v>CAMPANA - NUEVA CAMPANA</v>
      </c>
      <c r="F28" s="490">
        <f>IF('[3]BASE'!F29="","",'[3]BASE'!F29)</f>
        <v>132</v>
      </c>
      <c r="G28" s="490">
        <f>IF('[3]BASE'!G29="","",'[3]BASE'!G29)</f>
        <v>6.5</v>
      </c>
      <c r="H28" s="490" t="str">
        <f>IF('[3]BASE'!H29="","",'[3]BASE'!H29)</f>
        <v>C</v>
      </c>
      <c r="I28" s="491" t="str">
        <f>IF('[3]BASE'!FS29="","",'[3]BASE'!FS29)</f>
        <v>XXXX</v>
      </c>
      <c r="J28" s="491" t="str">
        <f>IF('[3]BASE'!FT29="","",'[3]BASE'!FT29)</f>
        <v>XXXX</v>
      </c>
      <c r="K28" s="491" t="str">
        <f>IF('[3]BASE'!FU29="","",'[3]BASE'!FU29)</f>
        <v>XXXX</v>
      </c>
      <c r="L28" s="491" t="str">
        <f>IF('[3]BASE'!FV29="","",'[3]BASE'!FV29)</f>
        <v>XXXX</v>
      </c>
      <c r="M28" s="491" t="str">
        <f>IF('[3]BASE'!FW29="","",'[3]BASE'!FW29)</f>
        <v>XXXX</v>
      </c>
      <c r="N28" s="491" t="str">
        <f>IF('[3]BASE'!FX29="","",'[3]BASE'!FX29)</f>
        <v>XXXX</v>
      </c>
      <c r="O28" s="491" t="str">
        <f>IF('[3]BASE'!FY29="","",'[3]BASE'!FY29)</f>
        <v>XXXX</v>
      </c>
      <c r="P28" s="491" t="str">
        <f>IF('[3]BASE'!FZ29="","",'[3]BASE'!FZ29)</f>
        <v>XXXX</v>
      </c>
      <c r="Q28" s="491" t="str">
        <f>IF('[3]BASE'!GA29="","",'[3]BASE'!GA29)</f>
        <v>XXXX</v>
      </c>
      <c r="R28" s="491" t="str">
        <f>IF('[3]BASE'!GB29="","",'[3]BASE'!GB29)</f>
        <v>XXXX</v>
      </c>
      <c r="S28" s="491" t="str">
        <f>IF('[3]BASE'!GC29="","",'[3]BASE'!GC29)</f>
        <v>XXXX</v>
      </c>
      <c r="T28" s="491" t="str">
        <f>IF('[3]BASE'!GD29="","",'[3]BASE'!GD29)</f>
        <v>XXXX</v>
      </c>
      <c r="U28" s="492"/>
      <c r="V28" s="489"/>
    </row>
    <row r="29" spans="2:22" s="483" customFormat="1" ht="19.5" customHeight="1">
      <c r="B29" s="484"/>
      <c r="C29" s="490">
        <f>IF('[3]BASE'!C30="","",'[3]BASE'!C30)</f>
        <v>14</v>
      </c>
      <c r="D29" s="490">
        <f>IF('[3]BASE'!D30="","",'[3]BASE'!D30)</f>
        <v>1432</v>
      </c>
      <c r="E29" s="490" t="str">
        <f>IF('[3]BASE'!E30="","",'[3]BASE'!E30)</f>
        <v>CAMPANA - SIDERCA</v>
      </c>
      <c r="F29" s="490">
        <f>IF('[3]BASE'!F30="","",'[3]BASE'!F30)</f>
        <v>132</v>
      </c>
      <c r="G29" s="490">
        <f>IF('[3]BASE'!G30="","",'[3]BASE'!G30)</f>
        <v>0.3</v>
      </c>
      <c r="H29" s="490" t="str">
        <f>IF('[3]BASE'!H30="","",'[3]BASE'!H30)</f>
        <v>C</v>
      </c>
      <c r="I29" s="491">
        <f>IF('[3]BASE'!FS30="","",'[3]BASE'!FS30)</f>
      </c>
      <c r="J29" s="491">
        <f>IF('[3]BASE'!FT30="","",'[3]BASE'!FT30)</f>
      </c>
      <c r="K29" s="491">
        <f>IF('[3]BASE'!FU30="","",'[3]BASE'!FU30)</f>
      </c>
      <c r="L29" s="491">
        <f>IF('[3]BASE'!FV30="","",'[3]BASE'!FV30)</f>
      </c>
      <c r="M29" s="491">
        <f>IF('[3]BASE'!FW30="","",'[3]BASE'!FW30)</f>
      </c>
      <c r="N29" s="491">
        <f>IF('[3]BASE'!FX30="","",'[3]BASE'!FX30)</f>
      </c>
      <c r="O29" s="491">
        <f>IF('[3]BASE'!FY30="","",'[3]BASE'!FY30)</f>
      </c>
      <c r="P29" s="491">
        <f>IF('[3]BASE'!FZ30="","",'[3]BASE'!FZ30)</f>
      </c>
      <c r="Q29" s="491">
        <f>IF('[3]BASE'!GA30="","",'[3]BASE'!GA30)</f>
      </c>
      <c r="R29" s="491">
        <f>IF('[3]BASE'!GB30="","",'[3]BASE'!GB30)</f>
      </c>
      <c r="S29" s="491">
        <f>IF('[3]BASE'!GC30="","",'[3]BASE'!GC30)</f>
      </c>
      <c r="T29" s="491">
        <f>IF('[3]BASE'!GD30="","",'[3]BASE'!GD30)</f>
      </c>
      <c r="U29" s="492"/>
      <c r="V29" s="489"/>
    </row>
    <row r="30" spans="2:22" s="483" customFormat="1" ht="19.5" customHeight="1">
      <c r="B30" s="484"/>
      <c r="C30" s="490">
        <f>IF('[3]BASE'!C31="","",'[3]BASE'!C31)</f>
        <v>15</v>
      </c>
      <c r="D30" s="490">
        <f>IF('[3]BASE'!D31="","",'[3]BASE'!D31)</f>
        <v>1428</v>
      </c>
      <c r="E30" s="490" t="str">
        <f>IF('[3]BASE'!E31="","",'[3]BASE'!E31)</f>
        <v>CAMPANA - ZARATE</v>
      </c>
      <c r="F30" s="490">
        <f>IF('[3]BASE'!F31="","",'[3]BASE'!F31)</f>
        <v>132</v>
      </c>
      <c r="G30" s="490">
        <f>IF('[3]BASE'!G31="","",'[3]BASE'!G31)</f>
        <v>9.4</v>
      </c>
      <c r="H30" s="490" t="str">
        <f>IF('[3]BASE'!H31="","",'[3]BASE'!H31)</f>
        <v>C</v>
      </c>
      <c r="I30" s="491">
        <f>IF('[3]BASE'!FS31="","",'[3]BASE'!FS31)</f>
      </c>
      <c r="J30" s="491">
        <f>IF('[3]BASE'!FT31="","",'[3]BASE'!FT31)</f>
      </c>
      <c r="K30" s="491">
        <f>IF('[3]BASE'!FU31="","",'[3]BASE'!FU31)</f>
      </c>
      <c r="L30" s="491">
        <f>IF('[3]BASE'!FV31="","",'[3]BASE'!FV31)</f>
      </c>
      <c r="M30" s="491">
        <f>IF('[3]BASE'!FW31="","",'[3]BASE'!FW31)</f>
      </c>
      <c r="N30" s="491">
        <f>IF('[3]BASE'!FX31="","",'[3]BASE'!FX31)</f>
      </c>
      <c r="O30" s="491">
        <f>IF('[3]BASE'!FY31="","",'[3]BASE'!FY31)</f>
      </c>
      <c r="P30" s="491">
        <f>IF('[3]BASE'!FZ31="","",'[3]BASE'!FZ31)</f>
      </c>
      <c r="Q30" s="491">
        <f>IF('[3]BASE'!GA31="","",'[3]BASE'!GA31)</f>
      </c>
      <c r="R30" s="491">
        <f>IF('[3]BASE'!GB31="","",'[3]BASE'!GB31)</f>
      </c>
      <c r="S30" s="491">
        <f>IF('[3]BASE'!GC31="","",'[3]BASE'!GC31)</f>
      </c>
      <c r="T30" s="491">
        <f>IF('[3]BASE'!GD31="","",'[3]BASE'!GD31)</f>
      </c>
      <c r="U30" s="492"/>
      <c r="V30" s="489"/>
    </row>
    <row r="31" spans="2:22" s="483" customFormat="1" ht="19.5" customHeight="1">
      <c r="B31" s="484"/>
      <c r="C31" s="490">
        <f>IF('[3]BASE'!C32="","",'[3]BASE'!C32)</f>
        <v>16</v>
      </c>
      <c r="D31" s="490">
        <f>IF('[3]BASE'!D32="","",'[3]BASE'!D32)</f>
        <v>1438</v>
      </c>
      <c r="E31" s="490" t="str">
        <f>IF('[3]BASE'!E32="","",'[3]BASE'!E32)</f>
        <v>CHASCOMUS - VERONICA</v>
      </c>
      <c r="F31" s="490">
        <f>IF('[3]BASE'!F32="","",'[3]BASE'!F32)</f>
        <v>132</v>
      </c>
      <c r="G31" s="490">
        <f>IF('[3]BASE'!G32="","",'[3]BASE'!G32)</f>
        <v>70.8</v>
      </c>
      <c r="H31" s="490" t="str">
        <f>IF('[3]BASE'!H32="","",'[3]BASE'!H32)</f>
        <v>B</v>
      </c>
      <c r="I31" s="491">
        <f>IF('[3]BASE'!FS32="","",'[3]BASE'!FS32)</f>
      </c>
      <c r="J31" s="491">
        <f>IF('[3]BASE'!FT32="","",'[3]BASE'!FT32)</f>
      </c>
      <c r="K31" s="491">
        <f>IF('[3]BASE'!FU32="","",'[3]BASE'!FU32)</f>
      </c>
      <c r="L31" s="491">
        <f>IF('[3]BASE'!FV32="","",'[3]BASE'!FV32)</f>
      </c>
      <c r="M31" s="491">
        <f>IF('[3]BASE'!FW32="","",'[3]BASE'!FW32)</f>
        <v>1</v>
      </c>
      <c r="N31" s="491">
        <f>IF('[3]BASE'!FX32="","",'[3]BASE'!FX32)</f>
      </c>
      <c r="O31" s="491">
        <f>IF('[3]BASE'!FY32="","",'[3]BASE'!FY32)</f>
      </c>
      <c r="P31" s="491">
        <f>IF('[3]BASE'!FZ32="","",'[3]BASE'!FZ32)</f>
      </c>
      <c r="Q31" s="491">
        <f>IF('[3]BASE'!GA32="","",'[3]BASE'!GA32)</f>
      </c>
      <c r="R31" s="491">
        <f>IF('[3]BASE'!GB32="","",'[3]BASE'!GB32)</f>
      </c>
      <c r="S31" s="491">
        <f>IF('[3]BASE'!GC32="","",'[3]BASE'!GC32)</f>
      </c>
      <c r="T31" s="491">
        <f>IF('[3]BASE'!GD32="","",'[3]BASE'!GD32)</f>
      </c>
      <c r="U31" s="492"/>
      <c r="V31" s="489"/>
    </row>
    <row r="32" spans="2:22" s="483" customFormat="1" ht="19.5" customHeight="1">
      <c r="B32" s="484"/>
      <c r="C32" s="490">
        <f>IF('[3]BASE'!C33="","",'[3]BASE'!C33)</f>
        <v>17</v>
      </c>
      <c r="D32" s="490">
        <f>IF('[3]BASE'!D33="","",'[3]BASE'!D33)</f>
        <v>1409</v>
      </c>
      <c r="E32" s="490" t="str">
        <f>IF('[3]BASE'!E33="","",'[3]BASE'!E33)</f>
        <v>CHIVILCOY - MERCEDES B.A.</v>
      </c>
      <c r="F32" s="490">
        <f>IF('[3]BASE'!F33="","",'[3]BASE'!F33)</f>
        <v>132</v>
      </c>
      <c r="G32" s="490">
        <f>IF('[3]BASE'!G33="","",'[3]BASE'!G33)</f>
        <v>69.1</v>
      </c>
      <c r="H32" s="490" t="str">
        <f>IF('[3]BASE'!H33="","",'[3]BASE'!H33)</f>
        <v>C</v>
      </c>
      <c r="I32" s="491">
        <f>IF('[3]BASE'!FS33="","",'[3]BASE'!FS33)</f>
      </c>
      <c r="J32" s="491">
        <f>IF('[3]BASE'!FT33="","",'[3]BASE'!FT33)</f>
      </c>
      <c r="K32" s="491">
        <f>IF('[3]BASE'!FU33="","",'[3]BASE'!FU33)</f>
      </c>
      <c r="L32" s="491">
        <f>IF('[3]BASE'!FV33="","",'[3]BASE'!FV33)</f>
        <v>1</v>
      </c>
      <c r="M32" s="491">
        <f>IF('[3]BASE'!FW33="","",'[3]BASE'!FW33)</f>
        <v>1</v>
      </c>
      <c r="N32" s="491">
        <f>IF('[3]BASE'!FX33="","",'[3]BASE'!FX33)</f>
      </c>
      <c r="O32" s="491">
        <f>IF('[3]BASE'!FY33="","",'[3]BASE'!FY33)</f>
      </c>
      <c r="P32" s="491">
        <f>IF('[3]BASE'!FZ33="","",'[3]BASE'!FZ33)</f>
      </c>
      <c r="Q32" s="491">
        <f>IF('[3]BASE'!GA33="","",'[3]BASE'!GA33)</f>
      </c>
      <c r="R32" s="491">
        <f>IF('[3]BASE'!GB33="","",'[3]BASE'!GB33)</f>
        <v>1</v>
      </c>
      <c r="S32" s="491">
        <f>IF('[3]BASE'!GC33="","",'[3]BASE'!GC33)</f>
      </c>
      <c r="T32" s="491">
        <f>IF('[3]BASE'!GD33="","",'[3]BASE'!GD33)</f>
      </c>
      <c r="U32" s="492"/>
      <c r="V32" s="489"/>
    </row>
    <row r="33" spans="2:22" s="483" customFormat="1" ht="19.5" customHeight="1">
      <c r="B33" s="484"/>
      <c r="C33" s="490">
        <f>IF('[3]BASE'!C34="","",'[3]BASE'!C34)</f>
        <v>18</v>
      </c>
      <c r="D33" s="490">
        <f>IF('[3]BASE'!D34="","",'[3]BASE'!D34)</f>
        <v>1539</v>
      </c>
      <c r="E33" s="490" t="str">
        <f>IF('[3]BASE'!E34="","",'[3]BASE'!E34)</f>
        <v>CNEL. DORREGO - BAHIA BLANCA</v>
      </c>
      <c r="F33" s="490">
        <f>IF('[3]BASE'!F34="","",'[3]BASE'!F34)</f>
        <v>132</v>
      </c>
      <c r="G33" s="490">
        <f>IF('[3]BASE'!G34="","",'[3]BASE'!G34)</f>
        <v>77.5</v>
      </c>
      <c r="H33" s="490" t="str">
        <f>IF('[3]BASE'!H34="","",'[3]BASE'!H34)</f>
        <v>C</v>
      </c>
      <c r="I33" s="491">
        <f>IF('[3]BASE'!FS34="","",'[3]BASE'!FS34)</f>
      </c>
      <c r="J33" s="491">
        <f>IF('[3]BASE'!FT34="","",'[3]BASE'!FT34)</f>
      </c>
      <c r="K33" s="491">
        <f>IF('[3]BASE'!FU34="","",'[3]BASE'!FU34)</f>
        <v>1</v>
      </c>
      <c r="L33" s="491">
        <f>IF('[3]BASE'!FV34="","",'[3]BASE'!FV34)</f>
      </c>
      <c r="M33" s="491">
        <f>IF('[3]BASE'!FW34="","",'[3]BASE'!FW34)</f>
      </c>
      <c r="N33" s="491">
        <f>IF('[3]BASE'!FX34="","",'[3]BASE'!FX34)</f>
      </c>
      <c r="O33" s="491">
        <f>IF('[3]BASE'!FY34="","",'[3]BASE'!FY34)</f>
      </c>
      <c r="P33" s="491">
        <f>IF('[3]BASE'!FZ34="","",'[3]BASE'!FZ34)</f>
      </c>
      <c r="Q33" s="491">
        <f>IF('[3]BASE'!GA34="","",'[3]BASE'!GA34)</f>
      </c>
      <c r="R33" s="491">
        <f>IF('[3]BASE'!GB34="","",'[3]BASE'!GB34)</f>
      </c>
      <c r="S33" s="491">
        <f>IF('[3]BASE'!GC34="","",'[3]BASE'!GC34)</f>
      </c>
      <c r="T33" s="491">
        <f>IF('[3]BASE'!GD34="","",'[3]BASE'!GD34)</f>
        <v>1</v>
      </c>
      <c r="U33" s="492"/>
      <c r="V33" s="489"/>
    </row>
    <row r="34" spans="2:22" s="483" customFormat="1" ht="19.5" customHeight="1">
      <c r="B34" s="484"/>
      <c r="C34" s="490">
        <f>IF('[3]BASE'!C35="","",'[3]BASE'!C35)</f>
        <v>19</v>
      </c>
      <c r="D34" s="490">
        <f>IF('[3]BASE'!D35="","",'[3]BASE'!D35)</f>
        <v>1538</v>
      </c>
      <c r="E34" s="490" t="str">
        <f>IF('[3]BASE'!E35="","",'[3]BASE'!E35)</f>
        <v>CNEL. DORREGO - TRES ARROYOS</v>
      </c>
      <c r="F34" s="490">
        <f>IF('[3]BASE'!F35="","",'[3]BASE'!F35)</f>
        <v>132</v>
      </c>
      <c r="G34" s="490">
        <f>IF('[3]BASE'!G35="","",'[3]BASE'!G35)</f>
        <v>99</v>
      </c>
      <c r="H34" s="490" t="str">
        <f>IF('[3]BASE'!H35="","",'[3]BASE'!H35)</f>
        <v>C</v>
      </c>
      <c r="I34" s="491">
        <f>IF('[3]BASE'!FS35="","",'[3]BASE'!FS35)</f>
      </c>
      <c r="J34" s="491">
        <f>IF('[3]BASE'!FT35="","",'[3]BASE'!FT35)</f>
      </c>
      <c r="K34" s="491">
        <f>IF('[3]BASE'!FU35="","",'[3]BASE'!FU35)</f>
      </c>
      <c r="L34" s="491">
        <f>IF('[3]BASE'!FV35="","",'[3]BASE'!FV35)</f>
      </c>
      <c r="M34" s="491">
        <f>IF('[3]BASE'!FW35="","",'[3]BASE'!FW35)</f>
      </c>
      <c r="N34" s="491">
        <f>IF('[3]BASE'!FX35="","",'[3]BASE'!FX35)</f>
      </c>
      <c r="O34" s="491">
        <f>IF('[3]BASE'!FY35="","",'[3]BASE'!FY35)</f>
      </c>
      <c r="P34" s="491">
        <f>IF('[3]BASE'!FZ35="","",'[3]BASE'!FZ35)</f>
      </c>
      <c r="Q34" s="491">
        <f>IF('[3]BASE'!GA35="","",'[3]BASE'!GA35)</f>
      </c>
      <c r="R34" s="491">
        <f>IF('[3]BASE'!GB35="","",'[3]BASE'!GB35)</f>
      </c>
      <c r="S34" s="491">
        <f>IF('[3]BASE'!GC35="","",'[3]BASE'!GC35)</f>
      </c>
      <c r="T34" s="491">
        <f>IF('[3]BASE'!GD35="","",'[3]BASE'!GD35)</f>
      </c>
      <c r="U34" s="492"/>
      <c r="V34" s="489"/>
    </row>
    <row r="35" spans="2:22" s="483" customFormat="1" ht="19.5" customHeight="1">
      <c r="B35" s="484"/>
      <c r="C35" s="490">
        <f>IF('[3]BASE'!C36="","",'[3]BASE'!C36)</f>
        <v>20</v>
      </c>
      <c r="D35" s="490">
        <f>IF('[3]BASE'!D36="","",'[3]BASE'!D36)</f>
        <v>1537</v>
      </c>
      <c r="E35" s="490" t="str">
        <f>IF('[3]BASE'!E36="","",'[3]BASE'!E36)</f>
        <v>CNEL. SUAREZ - PIGUE</v>
      </c>
      <c r="F35" s="490">
        <f>IF('[3]BASE'!F36="","",'[3]BASE'!F36)</f>
        <v>132</v>
      </c>
      <c r="G35" s="490">
        <f>IF('[3]BASE'!G36="","",'[3]BASE'!G36)</f>
        <v>47.6</v>
      </c>
      <c r="H35" s="490" t="str">
        <f>IF('[3]BASE'!H36="","",'[3]BASE'!H36)</f>
        <v>C</v>
      </c>
      <c r="I35" s="491">
        <f>IF('[3]BASE'!FS36="","",'[3]BASE'!FS36)</f>
        <v>1</v>
      </c>
      <c r="J35" s="491">
        <f>IF('[3]BASE'!FT36="","",'[3]BASE'!FT36)</f>
      </c>
      <c r="K35" s="491">
        <f>IF('[3]BASE'!FU36="","",'[3]BASE'!FU36)</f>
      </c>
      <c r="L35" s="491">
        <f>IF('[3]BASE'!FV36="","",'[3]BASE'!FV36)</f>
      </c>
      <c r="M35" s="491">
        <f>IF('[3]BASE'!FW36="","",'[3]BASE'!FW36)</f>
      </c>
      <c r="N35" s="491">
        <f>IF('[3]BASE'!FX36="","",'[3]BASE'!FX36)</f>
      </c>
      <c r="O35" s="491">
        <f>IF('[3]BASE'!FY36="","",'[3]BASE'!FY36)</f>
      </c>
      <c r="P35" s="491">
        <f>IF('[3]BASE'!FZ36="","",'[3]BASE'!FZ36)</f>
      </c>
      <c r="Q35" s="491">
        <f>IF('[3]BASE'!GA36="","",'[3]BASE'!GA36)</f>
      </c>
      <c r="R35" s="491">
        <f>IF('[3]BASE'!GB36="","",'[3]BASE'!GB36)</f>
      </c>
      <c r="S35" s="491">
        <f>IF('[3]BASE'!GC36="","",'[3]BASE'!GC36)</f>
      </c>
      <c r="T35" s="491">
        <f>IF('[3]BASE'!GD36="","",'[3]BASE'!GD36)</f>
        <v>1</v>
      </c>
      <c r="U35" s="492"/>
      <c r="V35" s="489"/>
    </row>
    <row r="36" spans="2:22" s="483" customFormat="1" ht="19.5" customHeight="1">
      <c r="B36" s="484"/>
      <c r="C36" s="490">
        <f>IF('[3]BASE'!C37="","",'[3]BASE'!C37)</f>
        <v>21</v>
      </c>
      <c r="D36" s="490">
        <f>IF('[3]BASE'!D37="","",'[3]BASE'!D37)</f>
        <v>1437</v>
      </c>
      <c r="E36" s="490" t="str">
        <f>IF('[3]BASE'!E37="","",'[3]BASE'!E37)</f>
        <v>DOLORES - CHASCOMUS</v>
      </c>
      <c r="F36" s="490">
        <f>IF('[3]BASE'!F37="","",'[3]BASE'!F37)</f>
        <v>132</v>
      </c>
      <c r="G36" s="490">
        <f>IF('[3]BASE'!G37="","",'[3]BASE'!G37)</f>
        <v>90.23</v>
      </c>
      <c r="H36" s="490" t="str">
        <f>IF('[3]BASE'!H37="","",'[3]BASE'!H37)</f>
        <v>C</v>
      </c>
      <c r="I36" s="491">
        <f>IF('[3]BASE'!FS37="","",'[3]BASE'!FS37)</f>
        <v>1</v>
      </c>
      <c r="J36" s="491">
        <f>IF('[3]BASE'!FT37="","",'[3]BASE'!FT37)</f>
      </c>
      <c r="K36" s="491">
        <f>IF('[3]BASE'!FU37="","",'[3]BASE'!FU37)</f>
      </c>
      <c r="L36" s="491">
        <f>IF('[3]BASE'!FV37="","",'[3]BASE'!FV37)</f>
      </c>
      <c r="M36" s="491">
        <f>IF('[3]BASE'!FW37="","",'[3]BASE'!FW37)</f>
      </c>
      <c r="N36" s="491">
        <f>IF('[3]BASE'!FX37="","",'[3]BASE'!FX37)</f>
      </c>
      <c r="O36" s="491">
        <f>IF('[3]BASE'!FY37="","",'[3]BASE'!FY37)</f>
      </c>
      <c r="P36" s="491">
        <f>IF('[3]BASE'!FZ37="","",'[3]BASE'!FZ37)</f>
      </c>
      <c r="Q36" s="491">
        <f>IF('[3]BASE'!GA37="","",'[3]BASE'!GA37)</f>
      </c>
      <c r="R36" s="491">
        <f>IF('[3]BASE'!GB37="","",'[3]BASE'!GB37)</f>
      </c>
      <c r="S36" s="491">
        <f>IF('[3]BASE'!GC37="","",'[3]BASE'!GC37)</f>
      </c>
      <c r="T36" s="491">
        <f>IF('[3]BASE'!GD37="","",'[3]BASE'!GD37)</f>
      </c>
      <c r="U36" s="492"/>
      <c r="V36" s="489"/>
    </row>
    <row r="37" spans="2:22" s="483" customFormat="1" ht="19.5" customHeight="1">
      <c r="B37" s="484"/>
      <c r="C37" s="490">
        <f>IF('[3]BASE'!C38="","",'[3]BASE'!C38)</f>
        <v>22</v>
      </c>
      <c r="D37" s="490" t="str">
        <f>IF('[3]BASE'!D38="","",'[3]BASE'!D38)</f>
        <v>CE-000</v>
      </c>
      <c r="E37" s="490" t="str">
        <f>IF('[3]BASE'!E38="","",'[3]BASE'!E38)</f>
        <v>EASTMAN T - EASTMAN</v>
      </c>
      <c r="F37" s="490">
        <f>IF('[3]BASE'!F38="","",'[3]BASE'!F38)</f>
        <v>132</v>
      </c>
      <c r="G37" s="490">
        <f>IF('[3]BASE'!G38="","",'[3]BASE'!G38)</f>
        <v>6.5</v>
      </c>
      <c r="H37" s="490" t="str">
        <f>IF('[3]BASE'!H38="","",'[3]BASE'!H38)</f>
        <v>C</v>
      </c>
      <c r="I37" s="491" t="str">
        <f>IF('[3]BASE'!FS38="","",'[3]BASE'!FS38)</f>
        <v>XXXX</v>
      </c>
      <c r="J37" s="491" t="str">
        <f>IF('[3]BASE'!FT38="","",'[3]BASE'!FT38)</f>
        <v>XXXX</v>
      </c>
      <c r="K37" s="491" t="str">
        <f>IF('[3]BASE'!FU38="","",'[3]BASE'!FU38)</f>
        <v>XXXX</v>
      </c>
      <c r="L37" s="491" t="str">
        <f>IF('[3]BASE'!FV38="","",'[3]BASE'!FV38)</f>
        <v>XXXX</v>
      </c>
      <c r="M37" s="491" t="str">
        <f>IF('[3]BASE'!FW38="","",'[3]BASE'!FW38)</f>
        <v>XXXX</v>
      </c>
      <c r="N37" s="491" t="str">
        <f>IF('[3]BASE'!FX38="","",'[3]BASE'!FX38)</f>
        <v>XXXX</v>
      </c>
      <c r="O37" s="491" t="str">
        <f>IF('[3]BASE'!FY38="","",'[3]BASE'!FY38)</f>
        <v>XXXX</v>
      </c>
      <c r="P37" s="491" t="str">
        <f>IF('[3]BASE'!FZ38="","",'[3]BASE'!FZ38)</f>
        <v>XXXX</v>
      </c>
      <c r="Q37" s="491" t="str">
        <f>IF('[3]BASE'!GA38="","",'[3]BASE'!GA38)</f>
        <v>XXXX</v>
      </c>
      <c r="R37" s="491" t="str">
        <f>IF('[3]BASE'!GB38="","",'[3]BASE'!GB38)</f>
        <v>XXXX</v>
      </c>
      <c r="S37" s="491" t="str">
        <f>IF('[3]BASE'!GC38="","",'[3]BASE'!GC38)</f>
        <v>XXXX</v>
      </c>
      <c r="T37" s="491" t="str">
        <f>IF('[3]BASE'!GD38="","",'[3]BASE'!GD38)</f>
        <v>XXXX</v>
      </c>
      <c r="U37" s="492"/>
      <c r="V37" s="489"/>
    </row>
    <row r="38" spans="2:22" s="483" customFormat="1" ht="19.5" customHeight="1">
      <c r="B38" s="484"/>
      <c r="C38" s="490">
        <f>IF('[3]BASE'!C39="","",'[3]BASE'!C39)</f>
        <v>23</v>
      </c>
      <c r="D38" s="490">
        <f>IF('[3]BASE'!D39="","",'[3]BASE'!D39)</f>
        <v>1516</v>
      </c>
      <c r="E38" s="490" t="str">
        <f>IF('[3]BASE'!E39="","",'[3]BASE'!E39)</f>
        <v>GONZALEZ CHAVEZ - NECOCHEA</v>
      </c>
      <c r="F38" s="490">
        <f>IF('[3]BASE'!F39="","",'[3]BASE'!F39)</f>
        <v>132</v>
      </c>
      <c r="G38" s="490">
        <f>IF('[3]BASE'!G39="","",'[3]BASE'!G39)</f>
        <v>138.86</v>
      </c>
      <c r="H38" s="490" t="str">
        <f>IF('[3]BASE'!H39="","",'[3]BASE'!H39)</f>
        <v>A</v>
      </c>
      <c r="I38" s="491">
        <f>IF('[3]BASE'!FS39="","",'[3]BASE'!FS39)</f>
        <v>1</v>
      </c>
      <c r="J38" s="491">
        <f>IF('[3]BASE'!FT39="","",'[3]BASE'!FT39)</f>
      </c>
      <c r="K38" s="491">
        <f>IF('[3]BASE'!FU39="","",'[3]BASE'!FU39)</f>
        <v>1</v>
      </c>
      <c r="L38" s="491">
        <f>IF('[3]BASE'!FV39="","",'[3]BASE'!FV39)</f>
      </c>
      <c r="M38" s="491">
        <f>IF('[3]BASE'!FW39="","",'[3]BASE'!FW39)</f>
        <v>1</v>
      </c>
      <c r="N38" s="491">
        <f>IF('[3]BASE'!FX39="","",'[3]BASE'!FX39)</f>
      </c>
      <c r="O38" s="491">
        <f>IF('[3]BASE'!FY39="","",'[3]BASE'!FY39)</f>
      </c>
      <c r="P38" s="491">
        <f>IF('[3]BASE'!FZ39="","",'[3]BASE'!FZ39)</f>
      </c>
      <c r="Q38" s="491">
        <f>IF('[3]BASE'!GA39="","",'[3]BASE'!GA39)</f>
      </c>
      <c r="R38" s="491">
        <f>IF('[3]BASE'!GB39="","",'[3]BASE'!GB39)</f>
      </c>
      <c r="S38" s="491">
        <f>IF('[3]BASE'!GC39="","",'[3]BASE'!GC39)</f>
      </c>
      <c r="T38" s="491">
        <f>IF('[3]BASE'!GD39="","",'[3]BASE'!GD39)</f>
      </c>
      <c r="U38" s="492"/>
      <c r="V38" s="489"/>
    </row>
    <row r="39" spans="2:22" s="483" customFormat="1" ht="19.5" customHeight="1">
      <c r="B39" s="484"/>
      <c r="C39" s="490">
        <f>IF('[3]BASE'!C40="","",'[3]BASE'!C40)</f>
        <v>24</v>
      </c>
      <c r="D39" s="490">
        <f>IF('[3]BASE'!D40="","",'[3]BASE'!D40)</f>
        <v>1515</v>
      </c>
      <c r="E39" s="490" t="str">
        <f>IF('[3]BASE'!E40="","",'[3]BASE'!E40)</f>
        <v>GONZALEZ CHAVEZ - TRES ARROYOS</v>
      </c>
      <c r="F39" s="490">
        <f>IF('[3]BASE'!F40="","",'[3]BASE'!F40)</f>
        <v>132</v>
      </c>
      <c r="G39" s="490">
        <f>IF('[3]BASE'!G40="","",'[3]BASE'!G40)</f>
        <v>40.22</v>
      </c>
      <c r="H39" s="490" t="str">
        <f>IF('[3]BASE'!H40="","",'[3]BASE'!H40)</f>
        <v>C</v>
      </c>
      <c r="I39" s="491">
        <f>IF('[3]BASE'!FS40="","",'[3]BASE'!FS40)</f>
        <v>2</v>
      </c>
      <c r="J39" s="491">
        <f>IF('[3]BASE'!FT40="","",'[3]BASE'!FT40)</f>
      </c>
      <c r="K39" s="491">
        <f>IF('[3]BASE'!FU40="","",'[3]BASE'!FU40)</f>
      </c>
      <c r="L39" s="491">
        <f>IF('[3]BASE'!FV40="","",'[3]BASE'!FV40)</f>
      </c>
      <c r="M39" s="491">
        <f>IF('[3]BASE'!FW40="","",'[3]BASE'!FW40)</f>
      </c>
      <c r="N39" s="491">
        <f>IF('[3]BASE'!FX40="","",'[3]BASE'!FX40)</f>
      </c>
      <c r="O39" s="491">
        <f>IF('[3]BASE'!FY40="","",'[3]BASE'!FY40)</f>
      </c>
      <c r="P39" s="491">
        <f>IF('[3]BASE'!FZ40="","",'[3]BASE'!FZ40)</f>
        <v>1</v>
      </c>
      <c r="Q39" s="491">
        <f>IF('[3]BASE'!GA40="","",'[3]BASE'!GA40)</f>
        <v>1</v>
      </c>
      <c r="R39" s="491">
        <f>IF('[3]BASE'!GB40="","",'[3]BASE'!GB40)</f>
      </c>
      <c r="S39" s="491">
        <f>IF('[3]BASE'!GC40="","",'[3]BASE'!GC40)</f>
      </c>
      <c r="T39" s="491">
        <f>IF('[3]BASE'!GD40="","",'[3]BASE'!GD40)</f>
      </c>
      <c r="U39" s="492"/>
      <c r="V39" s="489"/>
    </row>
    <row r="40" spans="2:22" s="483" customFormat="1" ht="19.5" customHeight="1">
      <c r="B40" s="484"/>
      <c r="C40" s="490">
        <f>IF('[3]BASE'!C41="","",'[3]BASE'!C41)</f>
        <v>25</v>
      </c>
      <c r="D40" s="490">
        <f>IF('[3]BASE'!D41="","",'[3]BASE'!D41)</f>
        <v>1444</v>
      </c>
      <c r="E40" s="490" t="str">
        <f>IF('[3]BASE'!E41="","",'[3]BASE'!E41)</f>
        <v>GRAL. MADARIAGA - LAS ARMAS</v>
      </c>
      <c r="F40" s="490">
        <f>IF('[3]BASE'!F41="","",'[3]BASE'!F41)</f>
        <v>132</v>
      </c>
      <c r="G40" s="490">
        <f>IF('[3]BASE'!G41="","",'[3]BASE'!G41)</f>
        <v>64.4</v>
      </c>
      <c r="H40" s="490" t="str">
        <f>IF('[3]BASE'!H41="","",'[3]BASE'!H41)</f>
        <v>C</v>
      </c>
      <c r="I40" s="491">
        <f>IF('[3]BASE'!FS41="","",'[3]BASE'!FS41)</f>
      </c>
      <c r="J40" s="491">
        <f>IF('[3]BASE'!FT41="","",'[3]BASE'!FT41)</f>
      </c>
      <c r="K40" s="491">
        <f>IF('[3]BASE'!FU41="","",'[3]BASE'!FU41)</f>
      </c>
      <c r="L40" s="491">
        <f>IF('[3]BASE'!FV41="","",'[3]BASE'!FV41)</f>
      </c>
      <c r="M40" s="491">
        <f>IF('[3]BASE'!FW41="","",'[3]BASE'!FW41)</f>
      </c>
      <c r="N40" s="491">
        <f>IF('[3]BASE'!FX41="","",'[3]BASE'!FX41)</f>
      </c>
      <c r="O40" s="491">
        <f>IF('[3]BASE'!FY41="","",'[3]BASE'!FY41)</f>
      </c>
      <c r="P40" s="491">
        <f>IF('[3]BASE'!FZ41="","",'[3]BASE'!FZ41)</f>
      </c>
      <c r="Q40" s="491">
        <f>IF('[3]BASE'!GA41="","",'[3]BASE'!GA41)</f>
      </c>
      <c r="R40" s="491">
        <f>IF('[3]BASE'!GB41="","",'[3]BASE'!GB41)</f>
      </c>
      <c r="S40" s="491">
        <f>IF('[3]BASE'!GC41="","",'[3]BASE'!GC41)</f>
      </c>
      <c r="T40" s="491">
        <f>IF('[3]BASE'!GD41="","",'[3]BASE'!GD41)</f>
      </c>
      <c r="U40" s="492"/>
      <c r="V40" s="489"/>
    </row>
    <row r="41" spans="2:22" s="483" customFormat="1" ht="19.5" customHeight="1">
      <c r="B41" s="484"/>
      <c r="C41" s="490">
        <f>IF('[3]BASE'!C42="","",'[3]BASE'!C42)</f>
        <v>26</v>
      </c>
      <c r="D41" s="490">
        <f>IF('[3]BASE'!D42="","",'[3]BASE'!D42)</f>
        <v>1401</v>
      </c>
      <c r="E41" s="490" t="str">
        <f>IF('[3]BASE'!E42="","",'[3]BASE'!E42)</f>
        <v>HENDERSON - CNEL. SUAREZ</v>
      </c>
      <c r="F41" s="490">
        <f>IF('[3]BASE'!F42="","",'[3]BASE'!F42)</f>
        <v>132</v>
      </c>
      <c r="G41" s="490">
        <f>IF('[3]BASE'!G42="","",'[3]BASE'!G42)</f>
        <v>126.9</v>
      </c>
      <c r="H41" s="490" t="str">
        <f>IF('[3]BASE'!H42="","",'[3]BASE'!H42)</f>
        <v>C</v>
      </c>
      <c r="I41" s="491">
        <f>IF('[3]BASE'!FS42="","",'[3]BASE'!FS42)</f>
      </c>
      <c r="J41" s="491">
        <f>IF('[3]BASE'!FT42="","",'[3]BASE'!FT42)</f>
      </c>
      <c r="K41" s="491">
        <f>IF('[3]BASE'!FU42="","",'[3]BASE'!FU42)</f>
      </c>
      <c r="L41" s="491">
        <f>IF('[3]BASE'!FV42="","",'[3]BASE'!FV42)</f>
      </c>
      <c r="M41" s="491">
        <f>IF('[3]BASE'!FW42="","",'[3]BASE'!FW42)</f>
      </c>
      <c r="N41" s="491">
        <f>IF('[3]BASE'!FX42="","",'[3]BASE'!FX42)</f>
      </c>
      <c r="O41" s="491">
        <f>IF('[3]BASE'!FY42="","",'[3]BASE'!FY42)</f>
      </c>
      <c r="P41" s="491">
        <f>IF('[3]BASE'!FZ42="","",'[3]BASE'!FZ42)</f>
      </c>
      <c r="Q41" s="491">
        <f>IF('[3]BASE'!GA42="","",'[3]BASE'!GA42)</f>
      </c>
      <c r="R41" s="491">
        <f>IF('[3]BASE'!GB42="","",'[3]BASE'!GB42)</f>
      </c>
      <c r="S41" s="491">
        <f>IF('[3]BASE'!GC42="","",'[3]BASE'!GC42)</f>
      </c>
      <c r="T41" s="491">
        <f>IF('[3]BASE'!GD42="","",'[3]BASE'!GD42)</f>
      </c>
      <c r="U41" s="492"/>
      <c r="V41" s="489"/>
    </row>
    <row r="42" spans="2:22" s="483" customFormat="1" ht="19.5" customHeight="1">
      <c r="B42" s="484"/>
      <c r="C42" s="490">
        <f>IF('[3]BASE'!C43="","",'[3]BASE'!C43)</f>
        <v>27</v>
      </c>
      <c r="D42" s="490" t="str">
        <f>IF('[3]BASE'!D43="","",'[3]BASE'!D43)</f>
        <v>C-001</v>
      </c>
      <c r="E42" s="490" t="str">
        <f>IF('[3]BASE'!E43="","",'[3]BASE'!E43)</f>
        <v>JUNIN - IMSA - LINCOLN</v>
      </c>
      <c r="F42" s="490">
        <f>IF('[3]BASE'!F43="","",'[3]BASE'!F43)</f>
        <v>132</v>
      </c>
      <c r="G42" s="490">
        <f>IF('[3]BASE'!G43="","",'[3]BASE'!G43)</f>
        <v>70</v>
      </c>
      <c r="H42" s="490" t="str">
        <f>IF('[3]BASE'!H43="","",'[3]BASE'!H43)</f>
        <v>B</v>
      </c>
      <c r="I42" s="491">
        <f>IF('[3]BASE'!FS43="","",'[3]BASE'!FS43)</f>
      </c>
      <c r="J42" s="491">
        <f>IF('[3]BASE'!FT43="","",'[3]BASE'!FT43)</f>
      </c>
      <c r="K42" s="491">
        <f>IF('[3]BASE'!FU43="","",'[3]BASE'!FU43)</f>
      </c>
      <c r="L42" s="491">
        <f>IF('[3]BASE'!FV43="","",'[3]BASE'!FV43)</f>
        <v>1</v>
      </c>
      <c r="M42" s="491">
        <f>IF('[3]BASE'!FW43="","",'[3]BASE'!FW43)</f>
      </c>
      <c r="N42" s="491">
        <f>IF('[3]BASE'!FX43="","",'[3]BASE'!FX43)</f>
      </c>
      <c r="O42" s="491">
        <f>IF('[3]BASE'!FY43="","",'[3]BASE'!FY43)</f>
      </c>
      <c r="P42" s="491">
        <f>IF('[3]BASE'!FZ43="","",'[3]BASE'!FZ43)</f>
      </c>
      <c r="Q42" s="491">
        <f>IF('[3]BASE'!GA43="","",'[3]BASE'!GA43)</f>
      </c>
      <c r="R42" s="491">
        <f>IF('[3]BASE'!GB43="","",'[3]BASE'!GB43)</f>
      </c>
      <c r="S42" s="491">
        <f>IF('[3]BASE'!GC43="","",'[3]BASE'!GC43)</f>
        <v>1</v>
      </c>
      <c r="T42" s="491">
        <f>IF('[3]BASE'!GD43="","",'[3]BASE'!GD43)</f>
      </c>
      <c r="U42" s="492"/>
      <c r="V42" s="489"/>
    </row>
    <row r="43" spans="2:22" s="483" customFormat="1" ht="19.5" customHeight="1">
      <c r="B43" s="484"/>
      <c r="C43" s="490">
        <f>IF('[3]BASE'!C44="","",'[3]BASE'!C44)</f>
        <v>28</v>
      </c>
      <c r="D43" s="490">
        <f>IF('[3]BASE'!D44="","",'[3]BASE'!D44)</f>
        <v>1456</v>
      </c>
      <c r="E43" s="490" t="str">
        <f>IF('[3]BASE'!E44="","",'[3]BASE'!E44)</f>
        <v>LAPRIDA - PRINGLES</v>
      </c>
      <c r="F43" s="490">
        <f>IF('[3]BASE'!F44="","",'[3]BASE'!F44)</f>
        <v>132</v>
      </c>
      <c r="G43" s="490">
        <f>IF('[3]BASE'!G44="","",'[3]BASE'!G44)</f>
        <v>71.5</v>
      </c>
      <c r="H43" s="490" t="str">
        <f>IF('[3]BASE'!H44="","",'[3]BASE'!H44)</f>
        <v>C</v>
      </c>
      <c r="I43" s="491">
        <f>IF('[3]BASE'!FS44="","",'[3]BASE'!FS44)</f>
      </c>
      <c r="J43" s="491">
        <f>IF('[3]BASE'!FT44="","",'[3]BASE'!FT44)</f>
      </c>
      <c r="K43" s="491">
        <f>IF('[3]BASE'!FU44="","",'[3]BASE'!FU44)</f>
      </c>
      <c r="L43" s="491">
        <f>IF('[3]BASE'!FV44="","",'[3]BASE'!FV44)</f>
      </c>
      <c r="M43" s="491">
        <f>IF('[3]BASE'!FW44="","",'[3]BASE'!FW44)</f>
      </c>
      <c r="N43" s="491">
        <f>IF('[3]BASE'!FX44="","",'[3]BASE'!FX44)</f>
      </c>
      <c r="O43" s="491">
        <f>IF('[3]BASE'!FY44="","",'[3]BASE'!FY44)</f>
        <v>1</v>
      </c>
      <c r="P43" s="491">
        <f>IF('[3]BASE'!FZ44="","",'[3]BASE'!FZ44)</f>
      </c>
      <c r="Q43" s="491">
        <f>IF('[3]BASE'!GA44="","",'[3]BASE'!GA44)</f>
      </c>
      <c r="R43" s="491">
        <f>IF('[3]BASE'!GB44="","",'[3]BASE'!GB44)</f>
        <v>1</v>
      </c>
      <c r="S43" s="491">
        <f>IF('[3]BASE'!GC44="","",'[3]BASE'!GC44)</f>
      </c>
      <c r="T43" s="491">
        <f>IF('[3]BASE'!GD44="","",'[3]BASE'!GD44)</f>
      </c>
      <c r="U43" s="492"/>
      <c r="V43" s="489"/>
    </row>
    <row r="44" spans="2:22" s="483" customFormat="1" ht="19.5" customHeight="1">
      <c r="B44" s="484"/>
      <c r="C44" s="490">
        <f>IF('[3]BASE'!C45="","",'[3]BASE'!C45)</f>
        <v>29</v>
      </c>
      <c r="D44" s="490">
        <f>IF('[3]BASE'!D45="","",'[3]BASE'!D45)</f>
        <v>1520</v>
      </c>
      <c r="E44" s="490" t="str">
        <f>IF('[3]BASE'!E45="","",'[3]BASE'!E45)</f>
        <v>LAS ARMAS - DOLORES</v>
      </c>
      <c r="F44" s="490">
        <f>IF('[3]BASE'!F45="","",'[3]BASE'!F45)</f>
        <v>132</v>
      </c>
      <c r="G44" s="490">
        <f>IF('[3]BASE'!G45="","",'[3]BASE'!G45)</f>
        <v>88.2</v>
      </c>
      <c r="H44" s="490" t="str">
        <f>IF('[3]BASE'!H45="","",'[3]BASE'!H45)</f>
        <v>C</v>
      </c>
      <c r="I44" s="491">
        <f>IF('[3]BASE'!FS45="","",'[3]BASE'!FS45)</f>
      </c>
      <c r="J44" s="491">
        <f>IF('[3]BASE'!FT45="","",'[3]BASE'!FT45)</f>
      </c>
      <c r="K44" s="491">
        <f>IF('[3]BASE'!FU45="","",'[3]BASE'!FU45)</f>
      </c>
      <c r="L44" s="491">
        <f>IF('[3]BASE'!FV45="","",'[3]BASE'!FV45)</f>
      </c>
      <c r="M44" s="491">
        <f>IF('[3]BASE'!FW45="","",'[3]BASE'!FW45)</f>
      </c>
      <c r="N44" s="491">
        <f>IF('[3]BASE'!FX45="","",'[3]BASE'!FX45)</f>
      </c>
      <c r="O44" s="491">
        <f>IF('[3]BASE'!FY45="","",'[3]BASE'!FY45)</f>
      </c>
      <c r="P44" s="491">
        <f>IF('[3]BASE'!FZ45="","",'[3]BASE'!FZ45)</f>
      </c>
      <c r="Q44" s="491">
        <f>IF('[3]BASE'!GA45="","",'[3]BASE'!GA45)</f>
      </c>
      <c r="R44" s="491">
        <f>IF('[3]BASE'!GB45="","",'[3]BASE'!GB45)</f>
      </c>
      <c r="S44" s="491">
        <f>IF('[3]BASE'!GC45="","",'[3]BASE'!GC45)</f>
      </c>
      <c r="T44" s="491">
        <f>IF('[3]BASE'!GD45="","",'[3]BASE'!GD45)</f>
      </c>
      <c r="U44" s="492"/>
      <c r="V44" s="489"/>
    </row>
    <row r="45" spans="2:22" s="483" customFormat="1" ht="19.5" customHeight="1">
      <c r="B45" s="484"/>
      <c r="C45" s="490">
        <f>IF('[3]BASE'!C46="","",'[3]BASE'!C46)</f>
        <v>30</v>
      </c>
      <c r="D45" s="490">
        <f>IF('[3]BASE'!D46="","",'[3]BASE'!D46)</f>
        <v>1521</v>
      </c>
      <c r="E45" s="490" t="str">
        <f>IF('[3]BASE'!E46="","",'[3]BASE'!E46)</f>
        <v>LAS ARMAS - TANDIL</v>
      </c>
      <c r="F45" s="490">
        <f>IF('[3]BASE'!F46="","",'[3]BASE'!F46)</f>
        <v>132</v>
      </c>
      <c r="G45" s="490">
        <f>IF('[3]BASE'!G46="","",'[3]BASE'!G46)</f>
        <v>122.2</v>
      </c>
      <c r="H45" s="490" t="str">
        <f>IF('[3]BASE'!H46="","",'[3]BASE'!H46)</f>
        <v>C</v>
      </c>
      <c r="I45" s="491">
        <f>IF('[3]BASE'!FS46="","",'[3]BASE'!FS46)</f>
      </c>
      <c r="J45" s="491">
        <f>IF('[3]BASE'!FT46="","",'[3]BASE'!FT46)</f>
      </c>
      <c r="K45" s="491">
        <f>IF('[3]BASE'!FU46="","",'[3]BASE'!FU46)</f>
      </c>
      <c r="L45" s="491">
        <f>IF('[3]BASE'!FV46="","",'[3]BASE'!FV46)</f>
      </c>
      <c r="M45" s="491">
        <f>IF('[3]BASE'!FW46="","",'[3]BASE'!FW46)</f>
      </c>
      <c r="N45" s="491">
        <f>IF('[3]BASE'!FX46="","",'[3]BASE'!FX46)</f>
      </c>
      <c r="O45" s="491">
        <f>IF('[3]BASE'!FY46="","",'[3]BASE'!FY46)</f>
      </c>
      <c r="P45" s="491">
        <f>IF('[3]BASE'!FZ46="","",'[3]BASE'!FZ46)</f>
      </c>
      <c r="Q45" s="491">
        <f>IF('[3]BASE'!GA46="","",'[3]BASE'!GA46)</f>
      </c>
      <c r="R45" s="491">
        <f>IF('[3]BASE'!GB46="","",'[3]BASE'!GB46)</f>
      </c>
      <c r="S45" s="491">
        <f>IF('[3]BASE'!GC46="","",'[3]BASE'!GC46)</f>
      </c>
      <c r="T45" s="491">
        <f>IF('[3]BASE'!GD46="","",'[3]BASE'!GD46)</f>
      </c>
      <c r="U45" s="492"/>
      <c r="V45" s="489"/>
    </row>
    <row r="46" spans="2:22" s="483" customFormat="1" ht="19.5" customHeight="1">
      <c r="B46" s="484"/>
      <c r="C46" s="490">
        <f>IF('[3]BASE'!C47="","",'[3]BASE'!C47)</f>
        <v>31</v>
      </c>
      <c r="D46" s="490" t="str">
        <f>IF('[3]BASE'!D47="","",'[3]BASE'!D47)</f>
        <v>CE-000</v>
      </c>
      <c r="E46" s="490" t="str">
        <f>IF('[3]BASE'!E47="","",'[3]BASE'!E47)</f>
        <v>LAS FLORES - MONTE</v>
      </c>
      <c r="F46" s="490">
        <f>IF('[3]BASE'!F47="","",'[3]BASE'!F47)</f>
        <v>132</v>
      </c>
      <c r="G46" s="490">
        <f>IF('[3]BASE'!G47="","",'[3]BASE'!G47)</f>
        <v>86.8</v>
      </c>
      <c r="H46" s="490" t="str">
        <f>IF('[3]BASE'!H47="","",'[3]BASE'!H47)</f>
        <v>C</v>
      </c>
      <c r="I46" s="491" t="str">
        <f>IF('[3]BASE'!FS47="","",'[3]BASE'!FS47)</f>
        <v>XXXX</v>
      </c>
      <c r="J46" s="491" t="str">
        <f>IF('[3]BASE'!FT47="","",'[3]BASE'!FT47)</f>
        <v>XXXX</v>
      </c>
      <c r="K46" s="491" t="str">
        <f>IF('[3]BASE'!FU47="","",'[3]BASE'!FU47)</f>
        <v>XXXX</v>
      </c>
      <c r="L46" s="491" t="str">
        <f>IF('[3]BASE'!FV47="","",'[3]BASE'!FV47)</f>
        <v>XXXX</v>
      </c>
      <c r="M46" s="491" t="str">
        <f>IF('[3]BASE'!FW47="","",'[3]BASE'!FW47)</f>
        <v>XXXX</v>
      </c>
      <c r="N46" s="491" t="str">
        <f>IF('[3]BASE'!FX47="","",'[3]BASE'!FX47)</f>
        <v>XXXX</v>
      </c>
      <c r="O46" s="491" t="str">
        <f>IF('[3]BASE'!FY47="","",'[3]BASE'!FY47)</f>
        <v>XXXX</v>
      </c>
      <c r="P46" s="491" t="str">
        <f>IF('[3]BASE'!FZ47="","",'[3]BASE'!FZ47)</f>
        <v>XXXX</v>
      </c>
      <c r="Q46" s="491" t="str">
        <f>IF('[3]BASE'!GA47="","",'[3]BASE'!GA47)</f>
        <v>XXXX</v>
      </c>
      <c r="R46" s="491" t="str">
        <f>IF('[3]BASE'!GB47="","",'[3]BASE'!GB47)</f>
        <v>XXXX</v>
      </c>
      <c r="S46" s="491" t="str">
        <f>IF('[3]BASE'!GC47="","",'[3]BASE'!GC47)</f>
        <v>XXXX</v>
      </c>
      <c r="T46" s="491" t="str">
        <f>IF('[3]BASE'!GD47="","",'[3]BASE'!GD47)</f>
        <v>XXXX</v>
      </c>
      <c r="U46" s="492"/>
      <c r="V46" s="489"/>
    </row>
    <row r="47" spans="2:22" s="483" customFormat="1" ht="19.5" customHeight="1">
      <c r="B47" s="484"/>
      <c r="C47" s="490">
        <f>IF('[3]BASE'!C48="","",'[3]BASE'!C48)</f>
        <v>32</v>
      </c>
      <c r="D47" s="490">
        <f>IF('[3]BASE'!D48="","",'[3]BASE'!D48)</f>
        <v>1416</v>
      </c>
      <c r="E47" s="490" t="str">
        <f>IF('[3]BASE'!E48="","",'[3]BASE'!E48)</f>
        <v>LINCOLN - BRAGADO</v>
      </c>
      <c r="F47" s="490">
        <f>IF('[3]BASE'!F48="","",'[3]BASE'!F48)</f>
        <v>132</v>
      </c>
      <c r="G47" s="490">
        <f>IF('[3]BASE'!G48="","",'[3]BASE'!G48)</f>
        <v>109.4</v>
      </c>
      <c r="H47" s="490" t="str">
        <f>IF('[3]BASE'!H48="","",'[3]BASE'!H48)</f>
        <v>C</v>
      </c>
      <c r="I47" s="491">
        <f>IF('[3]BASE'!FS48="","",'[3]BASE'!FS48)</f>
      </c>
      <c r="J47" s="491">
        <f>IF('[3]BASE'!FT48="","",'[3]BASE'!FT48)</f>
      </c>
      <c r="K47" s="491">
        <f>IF('[3]BASE'!FU48="","",'[3]BASE'!FU48)</f>
      </c>
      <c r="L47" s="491">
        <f>IF('[3]BASE'!FV48="","",'[3]BASE'!FV48)</f>
      </c>
      <c r="M47" s="491">
        <f>IF('[3]BASE'!FW48="","",'[3]BASE'!FW48)</f>
      </c>
      <c r="N47" s="491">
        <f>IF('[3]BASE'!FX48="","",'[3]BASE'!FX48)</f>
      </c>
      <c r="O47" s="491">
        <f>IF('[3]BASE'!FY48="","",'[3]BASE'!FY48)</f>
        <v>1</v>
      </c>
      <c r="P47" s="491">
        <f>IF('[3]BASE'!FZ48="","",'[3]BASE'!FZ48)</f>
      </c>
      <c r="Q47" s="491">
        <f>IF('[3]BASE'!GA48="","",'[3]BASE'!GA48)</f>
      </c>
      <c r="R47" s="491">
        <f>IF('[3]BASE'!GB48="","",'[3]BASE'!GB48)</f>
      </c>
      <c r="S47" s="491">
        <f>IF('[3]BASE'!GC48="","",'[3]BASE'!GC48)</f>
      </c>
      <c r="T47" s="491">
        <f>IF('[3]BASE'!GD48="","",'[3]BASE'!GD48)</f>
        <v>1</v>
      </c>
      <c r="U47" s="492"/>
      <c r="V47" s="489"/>
    </row>
    <row r="48" spans="2:22" s="483" customFormat="1" ht="19.5" customHeight="1">
      <c r="B48" s="484"/>
      <c r="C48" s="490">
        <f>IF('[3]BASE'!C49="","",'[3]BASE'!C49)</f>
        <v>33</v>
      </c>
      <c r="D48" s="490">
        <f>IF('[3]BASE'!D49="","",'[3]BASE'!D49)</f>
        <v>1453</v>
      </c>
      <c r="E48" s="490" t="str">
        <f>IF('[3]BASE'!E49="","",'[3]BASE'!E49)</f>
        <v>LOMA NEGRA - C. AVELLANEDA</v>
      </c>
      <c r="F48" s="490">
        <f>IF('[3]BASE'!F49="","",'[3]BASE'!F49)</f>
        <v>132</v>
      </c>
      <c r="G48" s="490">
        <f>IF('[3]BASE'!G49="","",'[3]BASE'!G49)</f>
        <v>5.3</v>
      </c>
      <c r="H48" s="490" t="str">
        <f>IF('[3]BASE'!H49="","",'[3]BASE'!H49)</f>
        <v>C</v>
      </c>
      <c r="I48" s="491">
        <f>IF('[3]BASE'!FS49="","",'[3]BASE'!FS49)</f>
      </c>
      <c r="J48" s="491">
        <f>IF('[3]BASE'!FT49="","",'[3]BASE'!FT49)</f>
      </c>
      <c r="K48" s="491">
        <f>IF('[3]BASE'!FU49="","",'[3]BASE'!FU49)</f>
      </c>
      <c r="L48" s="491">
        <f>IF('[3]BASE'!FV49="","",'[3]BASE'!FV49)</f>
      </c>
      <c r="M48" s="491">
        <f>IF('[3]BASE'!FW49="","",'[3]BASE'!FW49)</f>
      </c>
      <c r="N48" s="491">
        <f>IF('[3]BASE'!FX49="","",'[3]BASE'!FX49)</f>
      </c>
      <c r="O48" s="491">
        <f>IF('[3]BASE'!FY49="","",'[3]BASE'!FY49)</f>
      </c>
      <c r="P48" s="491">
        <f>IF('[3]BASE'!FZ49="","",'[3]BASE'!FZ49)</f>
      </c>
      <c r="Q48" s="491">
        <f>IF('[3]BASE'!GA49="","",'[3]BASE'!GA49)</f>
      </c>
      <c r="R48" s="491">
        <f>IF('[3]BASE'!GB49="","",'[3]BASE'!GB49)</f>
      </c>
      <c r="S48" s="491">
        <f>IF('[3]BASE'!GC49="","",'[3]BASE'!GC49)</f>
      </c>
      <c r="T48" s="491">
        <f>IF('[3]BASE'!GD49="","",'[3]BASE'!GD49)</f>
      </c>
      <c r="U48" s="492"/>
      <c r="V48" s="489"/>
    </row>
    <row r="49" spans="2:22" s="483" customFormat="1" ht="19.5" customHeight="1">
      <c r="B49" s="484"/>
      <c r="C49" s="490">
        <f>IF('[3]BASE'!C50="","",'[3]BASE'!C50)</f>
        <v>34</v>
      </c>
      <c r="D49" s="490">
        <f>IF('[3]BASE'!D50="","",'[3]BASE'!D50)</f>
        <v>1452</v>
      </c>
      <c r="E49" s="490" t="str">
        <f>IF('[3]BASE'!E50="","",'[3]BASE'!E50)</f>
        <v>LOMA NEGRA - OLAVARRIA</v>
      </c>
      <c r="F49" s="490">
        <f>IF('[3]BASE'!F50="","",'[3]BASE'!F50)</f>
        <v>132</v>
      </c>
      <c r="G49" s="490">
        <f>IF('[3]BASE'!G50="","",'[3]BASE'!G50)</f>
        <v>51.51</v>
      </c>
      <c r="H49" s="490" t="str">
        <f>IF('[3]BASE'!H50="","",'[3]BASE'!H50)</f>
        <v>C</v>
      </c>
      <c r="I49" s="491">
        <f>IF('[3]BASE'!FS50="","",'[3]BASE'!FS50)</f>
      </c>
      <c r="J49" s="491">
        <f>IF('[3]BASE'!FT50="","",'[3]BASE'!FT50)</f>
      </c>
      <c r="K49" s="491">
        <f>IF('[3]BASE'!FU50="","",'[3]BASE'!FU50)</f>
      </c>
      <c r="L49" s="491">
        <f>IF('[3]BASE'!FV50="","",'[3]BASE'!FV50)</f>
      </c>
      <c r="M49" s="491">
        <f>IF('[3]BASE'!FW50="","",'[3]BASE'!FW50)</f>
        <v>1</v>
      </c>
      <c r="N49" s="491">
        <f>IF('[3]BASE'!FX50="","",'[3]BASE'!FX50)</f>
      </c>
      <c r="O49" s="491">
        <f>IF('[3]BASE'!FY50="","",'[3]BASE'!FY50)</f>
      </c>
      <c r="P49" s="491">
        <f>IF('[3]BASE'!FZ50="","",'[3]BASE'!FZ50)</f>
      </c>
      <c r="Q49" s="491">
        <f>IF('[3]BASE'!GA50="","",'[3]BASE'!GA50)</f>
      </c>
      <c r="R49" s="491">
        <f>IF('[3]BASE'!GB50="","",'[3]BASE'!GB50)</f>
      </c>
      <c r="S49" s="491">
        <f>IF('[3]BASE'!GC50="","",'[3]BASE'!GC50)</f>
      </c>
      <c r="T49" s="491">
        <f>IF('[3]BASE'!GD50="","",'[3]BASE'!GD50)</f>
      </c>
      <c r="U49" s="492"/>
      <c r="V49" s="489"/>
    </row>
    <row r="50" spans="2:22" s="483" customFormat="1" ht="18">
      <c r="B50" s="484"/>
      <c r="C50" s="490">
        <f>IF('[3]BASE'!C51="","",'[3]BASE'!C51)</f>
        <v>35</v>
      </c>
      <c r="D50" s="490">
        <f>IF('[3]BASE'!D51="","",'[3]BASE'!D51)</f>
        <v>2620</v>
      </c>
      <c r="E50" s="490" t="str">
        <f>IF('[3]BASE'!E51="","",'[3]BASE'!E51)</f>
        <v>LUJAN  - MALV.1 - CATONAS 1 - MORÓN 1</v>
      </c>
      <c r="F50" s="490">
        <f>IF('[3]BASE'!F51="","",'[3]BASE'!F51)</f>
        <v>132</v>
      </c>
      <c r="G50" s="490">
        <f>IF('[3]BASE'!G51="","",'[3]BASE'!G51)</f>
        <v>38.29</v>
      </c>
      <c r="H50" s="490" t="str">
        <f>IF('[3]BASE'!H51="","",'[3]BASE'!H51)</f>
        <v>A</v>
      </c>
      <c r="I50" s="491" t="str">
        <f>IF('[3]BASE'!FS51="","",'[3]BASE'!FS51)</f>
        <v>XXXX</v>
      </c>
      <c r="J50" s="491" t="str">
        <f>IF('[3]BASE'!FT51="","",'[3]BASE'!FT51)</f>
        <v>XXXX</v>
      </c>
      <c r="K50" s="491" t="str">
        <f>IF('[3]BASE'!FU51="","",'[3]BASE'!FU51)</f>
        <v>XXXX</v>
      </c>
      <c r="L50" s="491" t="str">
        <f>IF('[3]BASE'!FV51="","",'[3]BASE'!FV51)</f>
        <v>XXXX</v>
      </c>
      <c r="M50" s="491" t="str">
        <f>IF('[3]BASE'!FW51="","",'[3]BASE'!FW51)</f>
        <v>XXXX</v>
      </c>
      <c r="N50" s="491" t="str">
        <f>IF('[3]BASE'!FX51="","",'[3]BASE'!FX51)</f>
        <v>XXXX</v>
      </c>
      <c r="O50" s="491" t="str">
        <f>IF('[3]BASE'!FY51="","",'[3]BASE'!FY51)</f>
        <v>XXXX</v>
      </c>
      <c r="P50" s="491" t="str">
        <f>IF('[3]BASE'!FZ51="","",'[3]BASE'!FZ51)</f>
        <v>XXXX</v>
      </c>
      <c r="Q50" s="491" t="str">
        <f>IF('[3]BASE'!GA51="","",'[3]BASE'!GA51)</f>
        <v>XXXX</v>
      </c>
      <c r="R50" s="491" t="str">
        <f>IF('[3]BASE'!GB51="","",'[3]BASE'!GB51)</f>
        <v>XXXX</v>
      </c>
      <c r="S50" s="491" t="str">
        <f>IF('[3]BASE'!GC51="","",'[3]BASE'!GC51)</f>
        <v>XXXX</v>
      </c>
      <c r="T50" s="491" t="str">
        <f>IF('[3]BASE'!GD51="","",'[3]BASE'!GD51)</f>
        <v>XXXX</v>
      </c>
      <c r="U50" s="492"/>
      <c r="V50" s="489"/>
    </row>
    <row r="51" spans="2:22" s="483" customFormat="1" ht="19.5" customHeight="1">
      <c r="B51" s="484"/>
      <c r="C51" s="490">
        <f>IF('[3]BASE'!C52="","",'[3]BASE'!C52)</f>
        <v>36</v>
      </c>
      <c r="D51" s="490">
        <f>IF('[3]BASE'!D52="","",'[3]BASE'!D52)</f>
        <v>2621</v>
      </c>
      <c r="E51" s="490" t="str">
        <f>IF('[3]BASE'!E52="","",'[3]BASE'!E52)</f>
        <v>LUJAN - MALV.2 - CATONAS 2 - MORÓN 2</v>
      </c>
      <c r="F51" s="490">
        <f>IF('[3]BASE'!F52="","",'[3]BASE'!F52)</f>
        <v>132</v>
      </c>
      <c r="G51" s="490">
        <f>IF('[3]BASE'!G52="","",'[3]BASE'!G52)</f>
        <v>44.56</v>
      </c>
      <c r="H51" s="490" t="str">
        <f>IF('[3]BASE'!H52="","",'[3]BASE'!H52)</f>
        <v>A</v>
      </c>
      <c r="I51" s="491">
        <f>IF('[3]BASE'!FS52="","",'[3]BASE'!FS52)</f>
      </c>
      <c r="J51" s="491">
        <f>IF('[3]BASE'!FT52="","",'[3]BASE'!FT52)</f>
      </c>
      <c r="K51" s="491">
        <f>IF('[3]BASE'!FU52="","",'[3]BASE'!FU52)</f>
        <v>1</v>
      </c>
      <c r="L51" s="491">
        <f>IF('[3]BASE'!FV52="","",'[3]BASE'!FV52)</f>
      </c>
      <c r="M51" s="491">
        <f>IF('[3]BASE'!FW52="","",'[3]BASE'!FW52)</f>
      </c>
      <c r="N51" s="491">
        <f>IF('[3]BASE'!FX52="","",'[3]BASE'!FX52)</f>
      </c>
      <c r="O51" s="491">
        <f>IF('[3]BASE'!FY52="","",'[3]BASE'!FY52)</f>
      </c>
      <c r="P51" s="491">
        <f>IF('[3]BASE'!FZ52="","",'[3]BASE'!FZ52)</f>
      </c>
      <c r="Q51" s="491">
        <f>IF('[3]BASE'!GA52="","",'[3]BASE'!GA52)</f>
      </c>
      <c r="R51" s="491">
        <f>IF('[3]BASE'!GB52="","",'[3]BASE'!GB52)</f>
      </c>
      <c r="S51" s="491">
        <f>IF('[3]BASE'!GC52="","",'[3]BASE'!GC52)</f>
      </c>
      <c r="T51" s="491">
        <f>IF('[3]BASE'!GD52="","",'[3]BASE'!GD52)</f>
      </c>
      <c r="U51" s="492"/>
      <c r="V51" s="489"/>
    </row>
    <row r="52" spans="2:22" s="483" customFormat="1" ht="19.5" customHeight="1">
      <c r="B52" s="484"/>
      <c r="C52" s="490">
        <f>IF('[3]BASE'!C53="","",'[3]BASE'!C53)</f>
        <v>37</v>
      </c>
      <c r="D52" s="490">
        <f>IF('[3]BASE'!D53="","",'[3]BASE'!D53)</f>
        <v>1442</v>
      </c>
      <c r="E52" s="490" t="str">
        <f>IF('[3]BASE'!E53="","",'[3]BASE'!E53)</f>
        <v>MAR DE AJO - PINAMAR</v>
      </c>
      <c r="F52" s="490">
        <f>IF('[3]BASE'!F53="","",'[3]BASE'!F53)</f>
        <v>132</v>
      </c>
      <c r="G52" s="490">
        <f>IF('[3]BASE'!G53="","",'[3]BASE'!G53)</f>
        <v>46.4</v>
      </c>
      <c r="H52" s="490" t="str">
        <f>IF('[3]BASE'!H53="","",'[3]BASE'!H53)</f>
        <v>C</v>
      </c>
      <c r="I52" s="491">
        <f>IF('[3]BASE'!FS53="","",'[3]BASE'!FS53)</f>
      </c>
      <c r="J52" s="491">
        <f>IF('[3]BASE'!FT53="","",'[3]BASE'!FT53)</f>
        <v>1</v>
      </c>
      <c r="K52" s="491">
        <f>IF('[3]BASE'!FU53="","",'[3]BASE'!FU53)</f>
      </c>
      <c r="L52" s="491">
        <f>IF('[3]BASE'!FV53="","",'[3]BASE'!FV53)</f>
      </c>
      <c r="M52" s="491">
        <f>IF('[3]BASE'!FW53="","",'[3]BASE'!FW53)</f>
      </c>
      <c r="N52" s="491">
        <f>IF('[3]BASE'!FX53="","",'[3]BASE'!FX53)</f>
      </c>
      <c r="O52" s="491">
        <f>IF('[3]BASE'!FY53="","",'[3]BASE'!FY53)</f>
      </c>
      <c r="P52" s="491">
        <f>IF('[3]BASE'!FZ53="","",'[3]BASE'!FZ53)</f>
      </c>
      <c r="Q52" s="491">
        <f>IF('[3]BASE'!GA53="","",'[3]BASE'!GA53)</f>
      </c>
      <c r="R52" s="491">
        <f>IF('[3]BASE'!GB53="","",'[3]BASE'!GB53)</f>
      </c>
      <c r="S52" s="491">
        <f>IF('[3]BASE'!GC53="","",'[3]BASE'!GC53)</f>
      </c>
      <c r="T52" s="491">
        <f>IF('[3]BASE'!GD53="","",'[3]BASE'!GD53)</f>
      </c>
      <c r="U52" s="492"/>
      <c r="V52" s="489"/>
    </row>
    <row r="53" spans="2:22" s="483" customFormat="1" ht="19.5" customHeight="1">
      <c r="B53" s="484"/>
      <c r="C53" s="490">
        <f>IF('[3]BASE'!C54="","",'[3]BASE'!C54)</f>
        <v>38</v>
      </c>
      <c r="D53" s="490">
        <f>IF('[3]BASE'!D54="","",'[3]BASE'!D54)</f>
        <v>1525</v>
      </c>
      <c r="E53" s="490" t="str">
        <f>IF('[3]BASE'!E54="","",'[3]BASE'!E54)</f>
        <v>MAR DEL PLATA - MIRAMAR</v>
      </c>
      <c r="F53" s="490">
        <f>IF('[3]BASE'!F54="","",'[3]BASE'!F54)</f>
        <v>132</v>
      </c>
      <c r="G53" s="490">
        <f>IF('[3]BASE'!G54="","",'[3]BASE'!G54)</f>
        <v>39.29</v>
      </c>
      <c r="H53" s="490" t="str">
        <f>IF('[3]BASE'!H54="","",'[3]BASE'!H54)</f>
        <v>C</v>
      </c>
      <c r="I53" s="491">
        <f>IF('[3]BASE'!FS54="","",'[3]BASE'!FS54)</f>
      </c>
      <c r="J53" s="491">
        <f>IF('[3]BASE'!FT54="","",'[3]BASE'!FT54)</f>
      </c>
      <c r="K53" s="491">
        <f>IF('[3]BASE'!FU54="","",'[3]BASE'!FU54)</f>
      </c>
      <c r="L53" s="491">
        <f>IF('[3]BASE'!FV54="","",'[3]BASE'!FV54)</f>
      </c>
      <c r="M53" s="491">
        <f>IF('[3]BASE'!FW54="","",'[3]BASE'!FW54)</f>
      </c>
      <c r="N53" s="491">
        <f>IF('[3]BASE'!FX54="","",'[3]BASE'!FX54)</f>
      </c>
      <c r="O53" s="491">
        <f>IF('[3]BASE'!FY54="","",'[3]BASE'!FY54)</f>
      </c>
      <c r="P53" s="491">
        <f>IF('[3]BASE'!FZ54="","",'[3]BASE'!FZ54)</f>
      </c>
      <c r="Q53" s="491">
        <f>IF('[3]BASE'!GA54="","",'[3]BASE'!GA54)</f>
      </c>
      <c r="R53" s="491">
        <f>IF('[3]BASE'!GB54="","",'[3]BASE'!GB54)</f>
      </c>
      <c r="S53" s="491">
        <f>IF('[3]BASE'!GC54="","",'[3]BASE'!GC54)</f>
      </c>
      <c r="T53" s="491">
        <f>IF('[3]BASE'!GD54="","",'[3]BASE'!GD54)</f>
      </c>
      <c r="U53" s="492"/>
      <c r="V53" s="489"/>
    </row>
    <row r="54" spans="2:22" s="483" customFormat="1" ht="19.5" customHeight="1">
      <c r="B54" s="484"/>
      <c r="C54" s="490">
        <f>IF('[3]BASE'!C55="","",'[3]BASE'!C55)</f>
        <v>39</v>
      </c>
      <c r="D54" s="490" t="str">
        <f>IF('[3]BASE'!D55="","",'[3]BASE'!D55)</f>
        <v>CE-002</v>
      </c>
      <c r="E54" s="490" t="str">
        <f>IF('[3]BASE'!E55="","",'[3]BASE'!E55)</f>
        <v>MAR DEL PLATA - QUEQUEN -NECOCHEA</v>
      </c>
      <c r="F54" s="490">
        <f>IF('[3]BASE'!F55="","",'[3]BASE'!F55)</f>
        <v>132</v>
      </c>
      <c r="G54" s="490">
        <f>IF('[3]BASE'!G55="","",'[3]BASE'!G55)</f>
        <v>129</v>
      </c>
      <c r="H54" s="490" t="str">
        <f>IF('[3]BASE'!H55="","",'[3]BASE'!H55)</f>
        <v>B</v>
      </c>
      <c r="I54" s="491">
        <f>IF('[3]BASE'!FS55="","",'[3]BASE'!FS55)</f>
      </c>
      <c r="J54" s="491">
        <f>IF('[3]BASE'!FT55="","",'[3]BASE'!FT55)</f>
      </c>
      <c r="K54" s="491">
        <f>IF('[3]BASE'!FU55="","",'[3]BASE'!FU55)</f>
      </c>
      <c r="L54" s="491">
        <f>IF('[3]BASE'!FV55="","",'[3]BASE'!FV55)</f>
      </c>
      <c r="M54" s="491">
        <f>IF('[3]BASE'!FW55="","",'[3]BASE'!FW55)</f>
      </c>
      <c r="N54" s="491">
        <f>IF('[3]BASE'!FX55="","",'[3]BASE'!FX55)</f>
      </c>
      <c r="O54" s="491">
        <f>IF('[3]BASE'!FY55="","",'[3]BASE'!FY55)</f>
      </c>
      <c r="P54" s="491">
        <f>IF('[3]BASE'!FZ55="","",'[3]BASE'!FZ55)</f>
      </c>
      <c r="Q54" s="491">
        <f>IF('[3]BASE'!GA55="","",'[3]BASE'!GA55)</f>
      </c>
      <c r="R54" s="491">
        <f>IF('[3]BASE'!GB55="","",'[3]BASE'!GB55)</f>
      </c>
      <c r="S54" s="491">
        <f>IF('[3]BASE'!GC55="","",'[3]BASE'!GC55)</f>
      </c>
      <c r="T54" s="491">
        <f>IF('[3]BASE'!GD55="","",'[3]BASE'!GD55)</f>
      </c>
      <c r="U54" s="492"/>
      <c r="V54" s="489"/>
    </row>
    <row r="55" spans="2:22" s="483" customFormat="1" ht="19.5" customHeight="1">
      <c r="B55" s="484"/>
      <c r="C55" s="490">
        <f>IF('[3]BASE'!C56="","",'[3]BASE'!C56)</f>
        <v>40</v>
      </c>
      <c r="D55" s="490">
        <f>IF('[3]BASE'!D56="","",'[3]BASE'!D56)</f>
        <v>1410</v>
      </c>
      <c r="E55" s="490" t="str">
        <f>IF('[3]BASE'!E56="","",'[3]BASE'!E56)</f>
        <v>MERCEDES B.A. - LUJAN</v>
      </c>
      <c r="F55" s="490">
        <f>IF('[3]BASE'!F56="","",'[3]BASE'!F56)</f>
        <v>132</v>
      </c>
      <c r="G55" s="490">
        <f>IF('[3]BASE'!G56="","",'[3]BASE'!G56)</f>
        <v>41.3</v>
      </c>
      <c r="H55" s="490" t="str">
        <f>IF('[3]BASE'!H56="","",'[3]BASE'!H56)</f>
        <v>B</v>
      </c>
      <c r="I55" s="491">
        <f>IF('[3]BASE'!FS56="","",'[3]BASE'!FS56)</f>
      </c>
      <c r="J55" s="491">
        <f>IF('[3]BASE'!FT56="","",'[3]BASE'!FT56)</f>
      </c>
      <c r="K55" s="491">
        <f>IF('[3]BASE'!FU56="","",'[3]BASE'!FU56)</f>
      </c>
      <c r="L55" s="491">
        <f>IF('[3]BASE'!FV56="","",'[3]BASE'!FV56)</f>
      </c>
      <c r="M55" s="491">
        <f>IF('[3]BASE'!FW56="","",'[3]BASE'!FW56)</f>
      </c>
      <c r="N55" s="491">
        <f>IF('[3]BASE'!FX56="","",'[3]BASE'!FX56)</f>
      </c>
      <c r="O55" s="491">
        <f>IF('[3]BASE'!FY56="","",'[3]BASE'!FY56)</f>
      </c>
      <c r="P55" s="491">
        <f>IF('[3]BASE'!FZ56="","",'[3]BASE'!FZ56)</f>
      </c>
      <c r="Q55" s="491">
        <f>IF('[3]BASE'!GA56="","",'[3]BASE'!GA56)</f>
      </c>
      <c r="R55" s="491">
        <f>IF('[3]BASE'!GB56="","",'[3]BASE'!GB56)</f>
      </c>
      <c r="S55" s="491">
        <f>IF('[3]BASE'!GC56="","",'[3]BASE'!GC56)</f>
      </c>
      <c r="T55" s="491">
        <f>IF('[3]BASE'!GD56="","",'[3]BASE'!GD56)</f>
      </c>
      <c r="U55" s="492"/>
      <c r="V55" s="489"/>
    </row>
    <row r="56" spans="2:22" s="483" customFormat="1" ht="19.5" customHeight="1">
      <c r="B56" s="484"/>
      <c r="C56" s="490">
        <f>IF('[3]BASE'!C57="","",'[3]BASE'!C57)</f>
        <v>41</v>
      </c>
      <c r="D56" s="490">
        <f>IF('[3]BASE'!D57="","",'[3]BASE'!D57)</f>
        <v>1529</v>
      </c>
      <c r="E56" s="490" t="str">
        <f>IF('[3]BASE'!E57="","",'[3]BASE'!E57)</f>
        <v>MIRAMAR - NECOCHEA</v>
      </c>
      <c r="F56" s="490">
        <f>IF('[3]BASE'!F57="","",'[3]BASE'!F57)</f>
        <v>132</v>
      </c>
      <c r="G56" s="490">
        <f>IF('[3]BASE'!G57="","",'[3]BASE'!G57)</f>
        <v>103.29</v>
      </c>
      <c r="H56" s="490" t="str">
        <f>IF('[3]BASE'!H57="","",'[3]BASE'!H57)</f>
        <v>A</v>
      </c>
      <c r="I56" s="491">
        <f>IF('[3]BASE'!FS57="","",'[3]BASE'!FS57)</f>
      </c>
      <c r="J56" s="491">
        <f>IF('[3]BASE'!FT57="","",'[3]BASE'!FT57)</f>
      </c>
      <c r="K56" s="491">
        <f>IF('[3]BASE'!FU57="","",'[3]BASE'!FU57)</f>
      </c>
      <c r="L56" s="491">
        <f>IF('[3]BASE'!FV57="","",'[3]BASE'!FV57)</f>
      </c>
      <c r="M56" s="491">
        <f>IF('[3]BASE'!FW57="","",'[3]BASE'!FW57)</f>
      </c>
      <c r="N56" s="491">
        <f>IF('[3]BASE'!FX57="","",'[3]BASE'!FX57)</f>
      </c>
      <c r="O56" s="491">
        <f>IF('[3]BASE'!FY57="","",'[3]BASE'!FY57)</f>
      </c>
      <c r="P56" s="491">
        <f>IF('[3]BASE'!FZ57="","",'[3]BASE'!FZ57)</f>
      </c>
      <c r="Q56" s="491">
        <f>IF('[3]BASE'!GA57="","",'[3]BASE'!GA57)</f>
      </c>
      <c r="R56" s="491">
        <f>IF('[3]BASE'!GB57="","",'[3]BASE'!GB57)</f>
      </c>
      <c r="S56" s="491">
        <f>IF('[3]BASE'!GC57="","",'[3]BASE'!GC57)</f>
      </c>
      <c r="T56" s="491">
        <f>IF('[3]BASE'!GD57="","",'[3]BASE'!GD57)</f>
        <v>1</v>
      </c>
      <c r="U56" s="492"/>
      <c r="V56" s="489"/>
    </row>
    <row r="57" spans="2:22" s="483" customFormat="1" ht="19.5" customHeight="1">
      <c r="B57" s="484"/>
      <c r="C57" s="490">
        <f>IF('[3]BASE'!C58="","",'[3]BASE'!C58)</f>
        <v>42</v>
      </c>
      <c r="D57" s="490">
        <f>IF('[3]BASE'!D58="","",'[3]BASE'!D58)</f>
        <v>1417</v>
      </c>
      <c r="E57" s="490" t="str">
        <f>IF('[3]BASE'!E58="","",'[3]BASE'!E58)</f>
        <v>MONTE - CHASCOMUS</v>
      </c>
      <c r="F57" s="490">
        <f>IF('[3]BASE'!F58="","",'[3]BASE'!F58)</f>
        <v>132</v>
      </c>
      <c r="G57" s="490">
        <f>IF('[3]BASE'!G58="","",'[3]BASE'!G58)</f>
        <v>114</v>
      </c>
      <c r="H57" s="490" t="str">
        <f>IF('[3]BASE'!H58="","",'[3]BASE'!H58)</f>
        <v>C</v>
      </c>
      <c r="I57" s="491">
        <f>IF('[3]BASE'!FS58="","",'[3]BASE'!FS58)</f>
        <v>2</v>
      </c>
      <c r="J57" s="491">
        <f>IF('[3]BASE'!FT58="","",'[3]BASE'!FT58)</f>
        <v>1</v>
      </c>
      <c r="K57" s="491">
        <f>IF('[3]BASE'!FU58="","",'[3]BASE'!FU58)</f>
      </c>
      <c r="L57" s="491">
        <f>IF('[3]BASE'!FV58="","",'[3]BASE'!FV58)</f>
      </c>
      <c r="M57" s="491">
        <f>IF('[3]BASE'!FW58="","",'[3]BASE'!FW58)</f>
      </c>
      <c r="N57" s="491">
        <f>IF('[3]BASE'!FX58="","",'[3]BASE'!FX58)</f>
      </c>
      <c r="O57" s="491">
        <f>IF('[3]BASE'!FY58="","",'[3]BASE'!FY58)</f>
      </c>
      <c r="P57" s="491">
        <f>IF('[3]BASE'!FZ58="","",'[3]BASE'!FZ58)</f>
      </c>
      <c r="Q57" s="491">
        <f>IF('[3]BASE'!GA58="","",'[3]BASE'!GA58)</f>
      </c>
      <c r="R57" s="491">
        <f>IF('[3]BASE'!GB58="","",'[3]BASE'!GB58)</f>
      </c>
      <c r="S57" s="491">
        <f>IF('[3]BASE'!GC58="","",'[3]BASE'!GC58)</f>
        <v>1</v>
      </c>
      <c r="T57" s="491">
        <f>IF('[3]BASE'!GD58="","",'[3]BASE'!GD58)</f>
      </c>
      <c r="U57" s="492"/>
      <c r="V57" s="489"/>
    </row>
    <row r="58" spans="2:22" s="483" customFormat="1" ht="19.5" customHeight="1">
      <c r="B58" s="484"/>
      <c r="C58" s="490">
        <f>IF('[3]BASE'!C59="","",'[3]BASE'!C59)</f>
        <v>43</v>
      </c>
      <c r="D58" s="490">
        <f>IF('[3]BASE'!D59="","",'[3]BASE'!D59)</f>
        <v>1545</v>
      </c>
      <c r="E58" s="490" t="str">
        <f>IF('[3]BASE'!E59="","",'[3]BASE'!E59)</f>
        <v>NORTE II - PETROQ. BAHIA BLANCA</v>
      </c>
      <c r="F58" s="490">
        <f>IF('[3]BASE'!F59="","",'[3]BASE'!F59)</f>
        <v>132</v>
      </c>
      <c r="G58" s="490">
        <f>IF('[3]BASE'!G59="","",'[3]BASE'!G59)</f>
        <v>30</v>
      </c>
      <c r="H58" s="490" t="str">
        <f>IF('[3]BASE'!H59="","",'[3]BASE'!H59)</f>
        <v>C</v>
      </c>
      <c r="I58" s="491" t="str">
        <f>IF('[3]BASE'!FS59="","",'[3]BASE'!FS59)</f>
        <v>XXXX</v>
      </c>
      <c r="J58" s="491" t="str">
        <f>IF('[3]BASE'!FT59="","",'[3]BASE'!FT59)</f>
        <v>XXXX</v>
      </c>
      <c r="K58" s="491" t="str">
        <f>IF('[3]BASE'!FU59="","",'[3]BASE'!FU59)</f>
        <v>XXXX</v>
      </c>
      <c r="L58" s="491" t="str">
        <f>IF('[3]BASE'!FV59="","",'[3]BASE'!FV59)</f>
        <v>XXXX</v>
      </c>
      <c r="M58" s="491" t="str">
        <f>IF('[3]BASE'!FW59="","",'[3]BASE'!FW59)</f>
        <v>XXXX</v>
      </c>
      <c r="N58" s="491" t="str">
        <f>IF('[3]BASE'!FX59="","",'[3]BASE'!FX59)</f>
        <v>XXXX</v>
      </c>
      <c r="O58" s="491" t="str">
        <f>IF('[3]BASE'!FY59="","",'[3]BASE'!FY59)</f>
        <v>XXXX</v>
      </c>
      <c r="P58" s="491" t="str">
        <f>IF('[3]BASE'!FZ59="","",'[3]BASE'!FZ59)</f>
        <v>XXXX</v>
      </c>
      <c r="Q58" s="491" t="str">
        <f>IF('[3]BASE'!GA59="","",'[3]BASE'!GA59)</f>
        <v>XXXX</v>
      </c>
      <c r="R58" s="491" t="str">
        <f>IF('[3]BASE'!GB59="","",'[3]BASE'!GB59)</f>
        <v>XXXX</v>
      </c>
      <c r="S58" s="491" t="str">
        <f>IF('[3]BASE'!GC59="","",'[3]BASE'!GC59)</f>
        <v>XXXX</v>
      </c>
      <c r="T58" s="491" t="str">
        <f>IF('[3]BASE'!GD59="","",'[3]BASE'!GD59)</f>
        <v>XXXX</v>
      </c>
      <c r="U58" s="492"/>
      <c r="V58" s="489"/>
    </row>
    <row r="59" spans="2:22" s="483" customFormat="1" ht="19.5" customHeight="1">
      <c r="B59" s="484"/>
      <c r="C59" s="490">
        <f>IF('[3]BASE'!C60="","",'[3]BASE'!C60)</f>
        <v>44</v>
      </c>
      <c r="D59" s="490">
        <f>IF('[3]BASE'!D60="","",'[3]BASE'!D60)</f>
        <v>2648</v>
      </c>
      <c r="E59" s="490" t="str">
        <f>IF('[3]BASE'!E60="","",'[3]BASE'!E60)</f>
        <v>NUEVA CAMPANA - SIDERCA 1</v>
      </c>
      <c r="F59" s="490">
        <f>IF('[3]BASE'!F60="","",'[3]BASE'!F60)</f>
        <v>132</v>
      </c>
      <c r="G59" s="490">
        <f>IF('[3]BASE'!G60="","",'[3]BASE'!G60)</f>
        <v>3.2</v>
      </c>
      <c r="H59" s="490" t="str">
        <f>IF('[3]BASE'!H60="","",'[3]BASE'!H60)</f>
        <v>C</v>
      </c>
      <c r="I59" s="491">
        <f>IF('[3]BASE'!FS60="","",'[3]BASE'!FS60)</f>
      </c>
      <c r="J59" s="491">
        <f>IF('[3]BASE'!FT60="","",'[3]BASE'!FT60)</f>
      </c>
      <c r="K59" s="491">
        <f>IF('[3]BASE'!FU60="","",'[3]BASE'!FU60)</f>
      </c>
      <c r="L59" s="491">
        <f>IF('[3]BASE'!FV60="","",'[3]BASE'!FV60)</f>
      </c>
      <c r="M59" s="491">
        <f>IF('[3]BASE'!FW60="","",'[3]BASE'!FW60)</f>
      </c>
      <c r="N59" s="491">
        <f>IF('[3]BASE'!FX60="","",'[3]BASE'!FX60)</f>
      </c>
      <c r="O59" s="491">
        <f>IF('[3]BASE'!FY60="","",'[3]BASE'!FY60)</f>
      </c>
      <c r="P59" s="491">
        <f>IF('[3]BASE'!FZ60="","",'[3]BASE'!FZ60)</f>
      </c>
      <c r="Q59" s="491">
        <f>IF('[3]BASE'!GA60="","",'[3]BASE'!GA60)</f>
      </c>
      <c r="R59" s="491">
        <f>IF('[3]BASE'!GB60="","",'[3]BASE'!GB60)</f>
      </c>
      <c r="S59" s="491">
        <f>IF('[3]BASE'!GC60="","",'[3]BASE'!GC60)</f>
      </c>
      <c r="T59" s="491">
        <f>IF('[3]BASE'!GD60="","",'[3]BASE'!GD60)</f>
      </c>
      <c r="U59" s="492"/>
      <c r="V59" s="489"/>
    </row>
    <row r="60" spans="2:22" s="483" customFormat="1" ht="19.5" customHeight="1">
      <c r="B60" s="484"/>
      <c r="C60" s="490">
        <f>IF('[3]BASE'!C61="","",'[3]BASE'!C61)</f>
        <v>45</v>
      </c>
      <c r="D60" s="490" t="str">
        <f>IF('[3]BASE'!D61="","",'[3]BASE'!D61)</f>
        <v>CE-000</v>
      </c>
      <c r="E60" s="490" t="str">
        <f>IF('[3]BASE'!E61="","",'[3]BASE'!E61)</f>
        <v>NUEVA CAMPANA - ZARATE</v>
      </c>
      <c r="F60" s="490">
        <f>IF('[3]BASE'!F61="","",'[3]BASE'!F61)</f>
        <v>132</v>
      </c>
      <c r="G60" s="490">
        <f>IF('[3]BASE'!G61="","",'[3]BASE'!G61)</f>
        <v>10.6</v>
      </c>
      <c r="H60" s="490" t="str">
        <f>IF('[3]BASE'!H61="","",'[3]BASE'!H61)</f>
        <v>C</v>
      </c>
      <c r="I60" s="491" t="str">
        <f>IF('[3]BASE'!FS61="","",'[3]BASE'!FS61)</f>
        <v>XXXX</v>
      </c>
      <c r="J60" s="491" t="str">
        <f>IF('[3]BASE'!FT61="","",'[3]BASE'!FT61)</f>
        <v>XXXX</v>
      </c>
      <c r="K60" s="491" t="str">
        <f>IF('[3]BASE'!FU61="","",'[3]BASE'!FU61)</f>
        <v>XXXX</v>
      </c>
      <c r="L60" s="491" t="str">
        <f>IF('[3]BASE'!FV61="","",'[3]BASE'!FV61)</f>
        <v>XXXX</v>
      </c>
      <c r="M60" s="491" t="str">
        <f>IF('[3]BASE'!FW61="","",'[3]BASE'!FW61)</f>
        <v>XXXX</v>
      </c>
      <c r="N60" s="491" t="str">
        <f>IF('[3]BASE'!FX61="","",'[3]BASE'!FX61)</f>
        <v>XXXX</v>
      </c>
      <c r="O60" s="491" t="str">
        <f>IF('[3]BASE'!FY61="","",'[3]BASE'!FY61)</f>
        <v>XXXX</v>
      </c>
      <c r="P60" s="491" t="str">
        <f>IF('[3]BASE'!FZ61="","",'[3]BASE'!FZ61)</f>
        <v>XXXX</v>
      </c>
      <c r="Q60" s="491" t="str">
        <f>IF('[3]BASE'!GA61="","",'[3]BASE'!GA61)</f>
        <v>XXXX</v>
      </c>
      <c r="R60" s="491" t="str">
        <f>IF('[3]BASE'!GB61="","",'[3]BASE'!GB61)</f>
        <v>XXXX</v>
      </c>
      <c r="S60" s="491" t="str">
        <f>IF('[3]BASE'!GC61="","",'[3]BASE'!GC61)</f>
        <v>XXXX</v>
      </c>
      <c r="T60" s="491" t="str">
        <f>IF('[3]BASE'!GD61="","",'[3]BASE'!GD61)</f>
        <v>XXXX</v>
      </c>
      <c r="U60" s="492"/>
      <c r="V60" s="489"/>
    </row>
    <row r="61" spans="2:22" s="483" customFormat="1" ht="19.5" customHeight="1">
      <c r="B61" s="484"/>
      <c r="C61" s="490">
        <f>IF('[3]BASE'!C62="","",'[3]BASE'!C62)</f>
        <v>46</v>
      </c>
      <c r="D61" s="490">
        <f>IF('[3]BASE'!D62="","",'[3]BASE'!D62)</f>
        <v>1433</v>
      </c>
      <c r="E61" s="490" t="str">
        <f>IF('[3]BASE'!E62="","",'[3]BASE'!E62)</f>
        <v>NUEVA CAMPANA - SIDERCA "0"</v>
      </c>
      <c r="F61" s="490">
        <f>IF('[3]BASE'!F62="","",'[3]BASE'!F62)</f>
        <v>132</v>
      </c>
      <c r="G61" s="490">
        <f>IF('[3]BASE'!G62="","",'[3]BASE'!G62)</f>
        <v>2.2</v>
      </c>
      <c r="H61" s="490" t="str">
        <f>IF('[3]BASE'!H62="","",'[3]BASE'!H62)</f>
        <v>C</v>
      </c>
      <c r="I61" s="491">
        <f>IF('[3]BASE'!FS62="","",'[3]BASE'!FS62)</f>
      </c>
      <c r="J61" s="491">
        <f>IF('[3]BASE'!FT62="","",'[3]BASE'!FT62)</f>
      </c>
      <c r="K61" s="491">
        <f>IF('[3]BASE'!FU62="","",'[3]BASE'!FU62)</f>
      </c>
      <c r="L61" s="491">
        <f>IF('[3]BASE'!FV62="","",'[3]BASE'!FV62)</f>
      </c>
      <c r="M61" s="491">
        <f>IF('[3]BASE'!FW62="","",'[3]BASE'!FW62)</f>
      </c>
      <c r="N61" s="491">
        <f>IF('[3]BASE'!FX62="","",'[3]BASE'!FX62)</f>
      </c>
      <c r="O61" s="491">
        <f>IF('[3]BASE'!FY62="","",'[3]BASE'!FY62)</f>
      </c>
      <c r="P61" s="491">
        <f>IF('[3]BASE'!FZ62="","",'[3]BASE'!FZ62)</f>
      </c>
      <c r="Q61" s="491">
        <f>IF('[3]BASE'!GA62="","",'[3]BASE'!GA62)</f>
      </c>
      <c r="R61" s="491">
        <f>IF('[3]BASE'!GB62="","",'[3]BASE'!GB62)</f>
      </c>
      <c r="S61" s="491">
        <f>IF('[3]BASE'!GC62="","",'[3]BASE'!GC62)</f>
      </c>
      <c r="T61" s="491">
        <f>IF('[3]BASE'!GD62="","",'[3]BASE'!GD62)</f>
      </c>
      <c r="U61" s="492"/>
      <c r="V61" s="489"/>
    </row>
    <row r="62" spans="2:22" s="483" customFormat="1" ht="19.5" customHeight="1">
      <c r="B62" s="484"/>
      <c r="C62" s="490">
        <f>IF('[3]BASE'!C63="","",'[3]BASE'!C63)</f>
        <v>47</v>
      </c>
      <c r="D62" s="490">
        <f>IF('[3]BASE'!D63="","",'[3]BASE'!D63)</f>
        <v>1450</v>
      </c>
      <c r="E62" s="490" t="str">
        <f>IF('[3]BASE'!E63="","",'[3]BASE'!E63)</f>
        <v>OLAVARRIA - AZUL</v>
      </c>
      <c r="F62" s="490">
        <f>IF('[3]BASE'!F63="","",'[3]BASE'!F63)</f>
        <v>132</v>
      </c>
      <c r="G62" s="490">
        <f>IF('[3]BASE'!G63="","",'[3]BASE'!G63)</f>
        <v>51.4</v>
      </c>
      <c r="H62" s="490" t="str">
        <f>IF('[3]BASE'!H63="","",'[3]BASE'!H63)</f>
        <v>C</v>
      </c>
      <c r="I62" s="491">
        <f>IF('[3]BASE'!FS63="","",'[3]BASE'!FS63)</f>
      </c>
      <c r="J62" s="491">
        <f>IF('[3]BASE'!FT63="","",'[3]BASE'!FT63)</f>
      </c>
      <c r="K62" s="491">
        <f>IF('[3]BASE'!FU63="","",'[3]BASE'!FU63)</f>
      </c>
      <c r="L62" s="491">
        <f>IF('[3]BASE'!FV63="","",'[3]BASE'!FV63)</f>
      </c>
      <c r="M62" s="491">
        <f>IF('[3]BASE'!FW63="","",'[3]BASE'!FW63)</f>
      </c>
      <c r="N62" s="491">
        <f>IF('[3]BASE'!FX63="","",'[3]BASE'!FX63)</f>
      </c>
      <c r="O62" s="491">
        <f>IF('[3]BASE'!FY63="","",'[3]BASE'!FY63)</f>
      </c>
      <c r="P62" s="491">
        <f>IF('[3]BASE'!FZ63="","",'[3]BASE'!FZ63)</f>
      </c>
      <c r="Q62" s="491">
        <f>IF('[3]BASE'!GA63="","",'[3]BASE'!GA63)</f>
        <v>1</v>
      </c>
      <c r="R62" s="491">
        <f>IF('[3]BASE'!GB63="","",'[3]BASE'!GB63)</f>
      </c>
      <c r="S62" s="491">
        <f>IF('[3]BASE'!GC63="","",'[3]BASE'!GC63)</f>
      </c>
      <c r="T62" s="491">
        <f>IF('[3]BASE'!GD63="","",'[3]BASE'!GD63)</f>
      </c>
      <c r="U62" s="492"/>
      <c r="V62" s="489"/>
    </row>
    <row r="63" spans="2:22" s="483" customFormat="1" ht="19.5" customHeight="1">
      <c r="B63" s="484"/>
      <c r="C63" s="490">
        <f>IF('[3]BASE'!C64="","",'[3]BASE'!C64)</f>
        <v>48</v>
      </c>
      <c r="D63" s="490" t="str">
        <f>IF('[3]BASE'!D64="","",'[3]BASE'!D64)</f>
        <v>CE-000</v>
      </c>
      <c r="E63" s="490" t="str">
        <f>IF('[3]BASE'!E64="","",'[3]BASE'!E64)</f>
        <v>OLAVARRIA - GONZALEZ CHAVEZ</v>
      </c>
      <c r="F63" s="490">
        <f>IF('[3]BASE'!F64="","",'[3]BASE'!F64)</f>
        <v>132</v>
      </c>
      <c r="G63" s="490">
        <f>IF('[3]BASE'!G64="","",'[3]BASE'!G64)</f>
        <v>152</v>
      </c>
      <c r="H63" s="490" t="str">
        <f>IF('[3]BASE'!H64="","",'[3]BASE'!H64)</f>
        <v>C</v>
      </c>
      <c r="I63" s="491" t="str">
        <f>IF('[3]BASE'!FS64="","",'[3]BASE'!FS64)</f>
        <v>XXXX</v>
      </c>
      <c r="J63" s="491" t="str">
        <f>IF('[3]BASE'!FT64="","",'[3]BASE'!FT64)</f>
        <v>XXXX</v>
      </c>
      <c r="K63" s="491" t="str">
        <f>IF('[3]BASE'!FU64="","",'[3]BASE'!FU64)</f>
        <v>XXXX</v>
      </c>
      <c r="L63" s="491" t="str">
        <f>IF('[3]BASE'!FV64="","",'[3]BASE'!FV64)</f>
        <v>XXXX</v>
      </c>
      <c r="M63" s="491" t="str">
        <f>IF('[3]BASE'!FW64="","",'[3]BASE'!FW64)</f>
        <v>XXXX</v>
      </c>
      <c r="N63" s="491" t="str">
        <f>IF('[3]BASE'!FX64="","",'[3]BASE'!FX64)</f>
        <v>XXXX</v>
      </c>
      <c r="O63" s="491" t="str">
        <f>IF('[3]BASE'!FY64="","",'[3]BASE'!FY64)</f>
        <v>XXXX</v>
      </c>
      <c r="P63" s="491" t="str">
        <f>IF('[3]BASE'!FZ64="","",'[3]BASE'!FZ64)</f>
        <v>XXXX</v>
      </c>
      <c r="Q63" s="491" t="str">
        <f>IF('[3]BASE'!GA64="","",'[3]BASE'!GA64)</f>
        <v>XXXX</v>
      </c>
      <c r="R63" s="491" t="str">
        <f>IF('[3]BASE'!GB64="","",'[3]BASE'!GB64)</f>
        <v>XXXX</v>
      </c>
      <c r="S63" s="491" t="str">
        <f>IF('[3]BASE'!GC64="","",'[3]BASE'!GC64)</f>
        <v>XXXX</v>
      </c>
      <c r="T63" s="491" t="str">
        <f>IF('[3]BASE'!GD64="","",'[3]BASE'!GD64)</f>
        <v>XXXX</v>
      </c>
      <c r="U63" s="492"/>
      <c r="V63" s="489"/>
    </row>
    <row r="64" spans="2:22" s="483" customFormat="1" ht="19.5" customHeight="1">
      <c r="B64" s="484"/>
      <c r="C64" s="490">
        <f>IF('[3]BASE'!C65="","",'[3]BASE'!C65)</f>
        <v>49</v>
      </c>
      <c r="D64" s="490">
        <f>IF('[3]BASE'!D65="","",'[3]BASE'!D65)</f>
        <v>1446</v>
      </c>
      <c r="E64" s="490" t="str">
        <f>IF('[3]BASE'!E65="","",'[3]BASE'!E65)</f>
        <v>OLAVARRIA - HENDERSON</v>
      </c>
      <c r="F64" s="490">
        <f>IF('[3]BASE'!F65="","",'[3]BASE'!F65)</f>
        <v>132</v>
      </c>
      <c r="G64" s="490">
        <f>IF('[3]BASE'!G65="","",'[3]BASE'!G65)</f>
        <v>139.9</v>
      </c>
      <c r="H64" s="490" t="str">
        <f>IF('[3]BASE'!H65="","",'[3]BASE'!H65)</f>
        <v>C</v>
      </c>
      <c r="I64" s="491">
        <f>IF('[3]BASE'!FS65="","",'[3]BASE'!FS65)</f>
      </c>
      <c r="J64" s="491">
        <f>IF('[3]BASE'!FT65="","",'[3]BASE'!FT65)</f>
      </c>
      <c r="K64" s="491">
        <f>IF('[3]BASE'!FU65="","",'[3]BASE'!FU65)</f>
        <v>1</v>
      </c>
      <c r="L64" s="491">
        <f>IF('[3]BASE'!FV65="","",'[3]BASE'!FV65)</f>
      </c>
      <c r="M64" s="491">
        <f>IF('[3]BASE'!FW65="","",'[3]BASE'!FW65)</f>
      </c>
      <c r="N64" s="491">
        <f>IF('[3]BASE'!FX65="","",'[3]BASE'!FX65)</f>
      </c>
      <c r="O64" s="491">
        <f>IF('[3]BASE'!FY65="","",'[3]BASE'!FY65)</f>
      </c>
      <c r="P64" s="491">
        <f>IF('[3]BASE'!FZ65="","",'[3]BASE'!FZ65)</f>
      </c>
      <c r="Q64" s="491">
        <f>IF('[3]BASE'!GA65="","",'[3]BASE'!GA65)</f>
      </c>
      <c r="R64" s="491">
        <f>IF('[3]BASE'!GB65="","",'[3]BASE'!GB65)</f>
      </c>
      <c r="S64" s="491">
        <f>IF('[3]BASE'!GC65="","",'[3]BASE'!GC65)</f>
      </c>
      <c r="T64" s="491">
        <f>IF('[3]BASE'!GD65="","",'[3]BASE'!GD65)</f>
      </c>
      <c r="U64" s="492"/>
      <c r="V64" s="489"/>
    </row>
    <row r="65" spans="2:22" s="483" customFormat="1" ht="19.5" customHeight="1">
      <c r="B65" s="484"/>
      <c r="C65" s="490">
        <f>IF('[3]BASE'!C66="","",'[3]BASE'!C66)</f>
        <v>50</v>
      </c>
      <c r="D65" s="490" t="str">
        <f>IF('[3]BASE'!D66="","",'[3]BASE'!D66)</f>
        <v>CE-000</v>
      </c>
      <c r="E65" s="490" t="str">
        <f>IF('[3]BASE'!E66="","",'[3]BASE'!E66)</f>
        <v>OLAVARRIA - LAPRIDA</v>
      </c>
      <c r="F65" s="490">
        <f>IF('[3]BASE'!F66="","",'[3]BASE'!F66)</f>
        <v>132</v>
      </c>
      <c r="G65" s="490">
        <f>IF('[3]BASE'!G66="","",'[3]BASE'!G66)</f>
        <v>99.7</v>
      </c>
      <c r="H65" s="490" t="str">
        <f>IF('[3]BASE'!H66="","",'[3]BASE'!H66)</f>
        <v>C</v>
      </c>
      <c r="I65" s="491" t="str">
        <f>IF('[3]BASE'!FS66="","",'[3]BASE'!FS66)</f>
        <v>XXXX</v>
      </c>
      <c r="J65" s="491" t="str">
        <f>IF('[3]BASE'!FT66="","",'[3]BASE'!FT66)</f>
        <v>XXXX</v>
      </c>
      <c r="K65" s="491" t="str">
        <f>IF('[3]BASE'!FU66="","",'[3]BASE'!FU66)</f>
        <v>XXXX</v>
      </c>
      <c r="L65" s="491" t="str">
        <f>IF('[3]BASE'!FV66="","",'[3]BASE'!FV66)</f>
        <v>XXXX</v>
      </c>
      <c r="M65" s="491" t="str">
        <f>IF('[3]BASE'!FW66="","",'[3]BASE'!FW66)</f>
        <v>XXXX</v>
      </c>
      <c r="N65" s="491" t="str">
        <f>IF('[3]BASE'!FX66="","",'[3]BASE'!FX66)</f>
        <v>XXXX</v>
      </c>
      <c r="O65" s="491" t="str">
        <f>IF('[3]BASE'!FY66="","",'[3]BASE'!FY66)</f>
        <v>XXXX</v>
      </c>
      <c r="P65" s="491" t="str">
        <f>IF('[3]BASE'!FZ66="","",'[3]BASE'!FZ66)</f>
        <v>XXXX</v>
      </c>
      <c r="Q65" s="491" t="str">
        <f>IF('[3]BASE'!GA66="","",'[3]BASE'!GA66)</f>
        <v>XXXX</v>
      </c>
      <c r="R65" s="491" t="str">
        <f>IF('[3]BASE'!GB66="","",'[3]BASE'!GB66)</f>
        <v>XXXX</v>
      </c>
      <c r="S65" s="491" t="str">
        <f>IF('[3]BASE'!GC66="","",'[3]BASE'!GC66)</f>
        <v>XXXX</v>
      </c>
      <c r="T65" s="491" t="str">
        <f>IF('[3]BASE'!GD66="","",'[3]BASE'!GD66)</f>
        <v>XXXX</v>
      </c>
      <c r="U65" s="492"/>
      <c r="V65" s="489"/>
    </row>
    <row r="66" spans="2:22" s="483" customFormat="1" ht="19.5" customHeight="1">
      <c r="B66" s="484"/>
      <c r="C66" s="490">
        <f>IF('[3]BASE'!C67="","",'[3]BASE'!C67)</f>
        <v>51</v>
      </c>
      <c r="D66" s="490">
        <f>IF('[3]BASE'!D67="","",'[3]BASE'!D67)</f>
        <v>1449</v>
      </c>
      <c r="E66" s="490" t="str">
        <f>IF('[3]BASE'!E67="","",'[3]BASE'!E67)</f>
        <v>OLAVARRIA - TANDIL</v>
      </c>
      <c r="F66" s="490">
        <f>IF('[3]BASE'!F67="","",'[3]BASE'!F67)</f>
        <v>132</v>
      </c>
      <c r="G66" s="490">
        <f>IF('[3]BASE'!G67="","",'[3]BASE'!G67)</f>
        <v>133.2</v>
      </c>
      <c r="H66" s="490" t="str">
        <f>IF('[3]BASE'!H67="","",'[3]BASE'!H67)</f>
        <v>A</v>
      </c>
      <c r="I66" s="491">
        <f>IF('[3]BASE'!FS67="","",'[3]BASE'!FS67)</f>
      </c>
      <c r="J66" s="491">
        <f>IF('[3]BASE'!FT67="","",'[3]BASE'!FT67)</f>
      </c>
      <c r="K66" s="491">
        <f>IF('[3]BASE'!FU67="","",'[3]BASE'!FU67)</f>
      </c>
      <c r="L66" s="491">
        <f>IF('[3]BASE'!FV67="","",'[3]BASE'!FV67)</f>
      </c>
      <c r="M66" s="491">
        <f>IF('[3]BASE'!FW67="","",'[3]BASE'!FW67)</f>
      </c>
      <c r="N66" s="491">
        <f>IF('[3]BASE'!FX67="","",'[3]BASE'!FX67)</f>
      </c>
      <c r="O66" s="491">
        <f>IF('[3]BASE'!FY67="","",'[3]BASE'!FY67)</f>
      </c>
      <c r="P66" s="491">
        <f>IF('[3]BASE'!FZ67="","",'[3]BASE'!FZ67)</f>
      </c>
      <c r="Q66" s="491">
        <f>IF('[3]BASE'!GA67="","",'[3]BASE'!GA67)</f>
      </c>
      <c r="R66" s="491">
        <f>IF('[3]BASE'!GB67="","",'[3]BASE'!GB67)</f>
      </c>
      <c r="S66" s="491">
        <f>IF('[3]BASE'!GC67="","",'[3]BASE'!GC67)</f>
      </c>
      <c r="T66" s="491">
        <f>IF('[3]BASE'!GD67="","",'[3]BASE'!GD67)</f>
      </c>
      <c r="U66" s="492"/>
      <c r="V66" s="489"/>
    </row>
    <row r="67" spans="2:22" s="483" customFormat="1" ht="19.5" customHeight="1">
      <c r="B67" s="484"/>
      <c r="C67" s="490">
        <f>IF('[3]BASE'!C68="","",'[3]BASE'!C68)</f>
        <v>52</v>
      </c>
      <c r="D67" s="490">
        <f>IF('[3]BASE'!D68="","",'[3]BASE'!D68)</f>
        <v>1451</v>
      </c>
      <c r="E67" s="490" t="str">
        <f>IF('[3]BASE'!E68="","",'[3]BASE'!E68)</f>
        <v>OLAVARRIA VIEJA - OLAVARRIA</v>
      </c>
      <c r="F67" s="490">
        <f>IF('[3]BASE'!F68="","",'[3]BASE'!F68)</f>
        <v>132</v>
      </c>
      <c r="G67" s="490">
        <f>IF('[3]BASE'!G68="","",'[3]BASE'!G68)</f>
        <v>35.59</v>
      </c>
      <c r="H67" s="490" t="str">
        <f>IF('[3]BASE'!H68="","",'[3]BASE'!H68)</f>
        <v>C</v>
      </c>
      <c r="I67" s="491">
        <f>IF('[3]BASE'!FS68="","",'[3]BASE'!FS68)</f>
      </c>
      <c r="J67" s="491">
        <f>IF('[3]BASE'!FT68="","",'[3]BASE'!FT68)</f>
      </c>
      <c r="K67" s="491">
        <f>IF('[3]BASE'!FU68="","",'[3]BASE'!FU68)</f>
      </c>
      <c r="L67" s="491">
        <f>IF('[3]BASE'!FV68="","",'[3]BASE'!FV68)</f>
      </c>
      <c r="M67" s="491">
        <f>IF('[3]BASE'!FW68="","",'[3]BASE'!FW68)</f>
      </c>
      <c r="N67" s="491">
        <f>IF('[3]BASE'!FX68="","",'[3]BASE'!FX68)</f>
      </c>
      <c r="O67" s="491">
        <f>IF('[3]BASE'!FY68="","",'[3]BASE'!FY68)</f>
      </c>
      <c r="P67" s="491">
        <f>IF('[3]BASE'!FZ68="","",'[3]BASE'!FZ68)</f>
      </c>
      <c r="Q67" s="491">
        <f>IF('[3]BASE'!GA68="","",'[3]BASE'!GA68)</f>
      </c>
      <c r="R67" s="491">
        <f>IF('[3]BASE'!GB68="","",'[3]BASE'!GB68)</f>
      </c>
      <c r="S67" s="491">
        <f>IF('[3]BASE'!GC68="","",'[3]BASE'!GC68)</f>
      </c>
      <c r="T67" s="491">
        <f>IF('[3]BASE'!GD68="","",'[3]BASE'!GD68)</f>
      </c>
      <c r="U67" s="492"/>
      <c r="V67" s="489"/>
    </row>
    <row r="68" spans="2:22" s="483" customFormat="1" ht="19.5" customHeight="1">
      <c r="B68" s="484"/>
      <c r="C68" s="490">
        <f>IF('[3]BASE'!C69="","",'[3]BASE'!C69)</f>
        <v>53</v>
      </c>
      <c r="D68" s="490">
        <f>IF('[3]BASE'!D69="","",'[3]BASE'!D69)</f>
        <v>1533</v>
      </c>
      <c r="E68" s="490" t="str">
        <f>IF('[3]BASE'!E69="","",'[3]BASE'!E69)</f>
        <v>P. LURO - C. PATAGONES</v>
      </c>
      <c r="F68" s="490">
        <f>IF('[3]BASE'!F69="","",'[3]BASE'!F69)</f>
        <v>132</v>
      </c>
      <c r="G68" s="490">
        <f>IF('[3]BASE'!G69="","",'[3]BASE'!G69)</f>
        <v>151</v>
      </c>
      <c r="H68" s="490" t="str">
        <f>IF('[3]BASE'!H69="","",'[3]BASE'!H69)</f>
        <v>C</v>
      </c>
      <c r="I68" s="491">
        <f>IF('[3]BASE'!FS69="","",'[3]BASE'!FS69)</f>
      </c>
      <c r="J68" s="491">
        <f>IF('[3]BASE'!FT69="","",'[3]BASE'!FT69)</f>
      </c>
      <c r="K68" s="491">
        <f>IF('[3]BASE'!FU69="","",'[3]BASE'!FU69)</f>
      </c>
      <c r="L68" s="491">
        <f>IF('[3]BASE'!FV69="","",'[3]BASE'!FV69)</f>
      </c>
      <c r="M68" s="491">
        <f>IF('[3]BASE'!FW69="","",'[3]BASE'!FW69)</f>
      </c>
      <c r="N68" s="491">
        <f>IF('[3]BASE'!FX69="","",'[3]BASE'!FX69)</f>
      </c>
      <c r="O68" s="491">
        <f>IF('[3]BASE'!FY69="","",'[3]BASE'!FY69)</f>
      </c>
      <c r="P68" s="491">
        <f>IF('[3]BASE'!FZ69="","",'[3]BASE'!FZ69)</f>
        <v>1</v>
      </c>
      <c r="Q68" s="491">
        <f>IF('[3]BASE'!GA69="","",'[3]BASE'!GA69)</f>
      </c>
      <c r="R68" s="491">
        <f>IF('[3]BASE'!GB69="","",'[3]BASE'!GB69)</f>
      </c>
      <c r="S68" s="491">
        <f>IF('[3]BASE'!GC69="","",'[3]BASE'!GC69)</f>
      </c>
      <c r="T68" s="491">
        <f>IF('[3]BASE'!GD69="","",'[3]BASE'!GD69)</f>
      </c>
      <c r="U68" s="492"/>
      <c r="V68" s="489"/>
    </row>
    <row r="69" spans="2:22" s="483" customFormat="1" ht="19.5" customHeight="1">
      <c r="B69" s="484"/>
      <c r="C69" s="490">
        <f>IF('[3]BASE'!C70="","",'[3]BASE'!C70)</f>
        <v>54</v>
      </c>
      <c r="D69" s="490">
        <f>IF('[3]BASE'!D70="","",'[3]BASE'!D70)</f>
        <v>2740</v>
      </c>
      <c r="E69" s="490" t="str">
        <f>IF('[3]BASE'!E70="","",'[3]BASE'!E70)</f>
        <v>PERGAMINO - RAMALLO</v>
      </c>
      <c r="F69" s="490">
        <f>IF('[3]BASE'!F70="","",'[3]BASE'!F70)</f>
        <v>132</v>
      </c>
      <c r="G69" s="490">
        <f>IF('[3]BASE'!G70="","",'[3]BASE'!G70)</f>
        <v>66.8</v>
      </c>
      <c r="H69" s="490" t="str">
        <f>IF('[3]BASE'!H70="","",'[3]BASE'!H70)</f>
        <v>C</v>
      </c>
      <c r="I69" s="491">
        <f>IF('[3]BASE'!FS70="","",'[3]BASE'!FS70)</f>
      </c>
      <c r="J69" s="491">
        <f>IF('[3]BASE'!FT70="","",'[3]BASE'!FT70)</f>
      </c>
      <c r="K69" s="491">
        <f>IF('[3]BASE'!FU70="","",'[3]BASE'!FU70)</f>
      </c>
      <c r="L69" s="491">
        <f>IF('[3]BASE'!FV70="","",'[3]BASE'!FV70)</f>
      </c>
      <c r="M69" s="491">
        <f>IF('[3]BASE'!FW70="","",'[3]BASE'!FW70)</f>
      </c>
      <c r="N69" s="491">
        <f>IF('[3]BASE'!FX70="","",'[3]BASE'!FX70)</f>
      </c>
      <c r="O69" s="491">
        <f>IF('[3]BASE'!FY70="","",'[3]BASE'!FY70)</f>
      </c>
      <c r="P69" s="491">
        <f>IF('[3]BASE'!FZ70="","",'[3]BASE'!FZ70)</f>
      </c>
      <c r="Q69" s="491">
        <f>IF('[3]BASE'!GA70="","",'[3]BASE'!GA70)</f>
      </c>
      <c r="R69" s="491">
        <f>IF('[3]BASE'!GB70="","",'[3]BASE'!GB70)</f>
      </c>
      <c r="S69" s="491">
        <f>IF('[3]BASE'!GC70="","",'[3]BASE'!GC70)</f>
      </c>
      <c r="T69" s="491">
        <f>IF('[3]BASE'!GD70="","",'[3]BASE'!GD70)</f>
      </c>
      <c r="U69" s="492"/>
      <c r="V69" s="489"/>
    </row>
    <row r="70" spans="2:22" s="483" customFormat="1" ht="19.5" customHeight="1">
      <c r="B70" s="484"/>
      <c r="C70" s="490">
        <f>IF('[3]BASE'!C71="","",'[3]BASE'!C71)</f>
        <v>55</v>
      </c>
      <c r="D70" s="490">
        <f>IF('[3]BASE'!D71="","",'[3]BASE'!D71)</f>
        <v>1420</v>
      </c>
      <c r="E70" s="490" t="str">
        <f>IF('[3]BASE'!E71="","",'[3]BASE'!E71)</f>
        <v>PERGAMINO - ROJAS</v>
      </c>
      <c r="F70" s="490">
        <f>IF('[3]BASE'!F71="","",'[3]BASE'!F71)</f>
        <v>132</v>
      </c>
      <c r="G70" s="490">
        <f>IF('[3]BASE'!G71="","",'[3]BASE'!G71)</f>
        <v>36</v>
      </c>
      <c r="H70" s="490" t="str">
        <f>IF('[3]BASE'!H71="","",'[3]BASE'!H71)</f>
        <v>C</v>
      </c>
      <c r="I70" s="491">
        <f>IF('[3]BASE'!FS71="","",'[3]BASE'!FS71)</f>
      </c>
      <c r="J70" s="491">
        <f>IF('[3]BASE'!FT71="","",'[3]BASE'!FT71)</f>
      </c>
      <c r="K70" s="491">
        <f>IF('[3]BASE'!FU71="","",'[3]BASE'!FU71)</f>
      </c>
      <c r="L70" s="491">
        <f>IF('[3]BASE'!FV71="","",'[3]BASE'!FV71)</f>
      </c>
      <c r="M70" s="491">
        <f>IF('[3]BASE'!FW71="","",'[3]BASE'!FW71)</f>
      </c>
      <c r="N70" s="491">
        <f>IF('[3]BASE'!FX71="","",'[3]BASE'!FX71)</f>
      </c>
      <c r="O70" s="491">
        <f>IF('[3]BASE'!FY71="","",'[3]BASE'!FY71)</f>
      </c>
      <c r="P70" s="491">
        <f>IF('[3]BASE'!FZ71="","",'[3]BASE'!FZ71)</f>
      </c>
      <c r="Q70" s="491">
        <f>IF('[3]BASE'!GA71="","",'[3]BASE'!GA71)</f>
      </c>
      <c r="R70" s="491">
        <f>IF('[3]BASE'!GB71="","",'[3]BASE'!GB71)</f>
      </c>
      <c r="S70" s="491">
        <f>IF('[3]BASE'!GC71="","",'[3]BASE'!GC71)</f>
      </c>
      <c r="T70" s="491">
        <f>IF('[3]BASE'!GD71="","",'[3]BASE'!GD71)</f>
      </c>
      <c r="U70" s="492"/>
      <c r="V70" s="489"/>
    </row>
    <row r="71" spans="2:22" s="483" customFormat="1" ht="19.5" customHeight="1">
      <c r="B71" s="484"/>
      <c r="C71" s="490">
        <f>IF('[3]BASE'!C72="","",'[3]BASE'!C72)</f>
        <v>56</v>
      </c>
      <c r="D71" s="490">
        <f>IF('[3]BASE'!D72="","",'[3]BASE'!D72)</f>
        <v>1419</v>
      </c>
      <c r="E71" s="490" t="str">
        <f>IF('[3]BASE'!E72="","",'[3]BASE'!E72)</f>
        <v>PERGAMINO - SAN NICOLAS</v>
      </c>
      <c r="F71" s="490">
        <f>IF('[3]BASE'!F72="","",'[3]BASE'!F72)</f>
        <v>132</v>
      </c>
      <c r="G71" s="490">
        <f>IF('[3]BASE'!G72="","",'[3]BASE'!G72)</f>
        <v>70.8</v>
      </c>
      <c r="H71" s="490" t="str">
        <f>IF('[3]BASE'!H72="","",'[3]BASE'!H72)</f>
        <v>C</v>
      </c>
      <c r="I71" s="491">
        <f>IF('[3]BASE'!FS72="","",'[3]BASE'!FS72)</f>
      </c>
      <c r="J71" s="491">
        <f>IF('[3]BASE'!FT72="","",'[3]BASE'!FT72)</f>
      </c>
      <c r="K71" s="491">
        <f>IF('[3]BASE'!FU72="","",'[3]BASE'!FU72)</f>
      </c>
      <c r="L71" s="491">
        <f>IF('[3]BASE'!FV72="","",'[3]BASE'!FV72)</f>
      </c>
      <c r="M71" s="491">
        <f>IF('[3]BASE'!FW72="","",'[3]BASE'!FW72)</f>
      </c>
      <c r="N71" s="491">
        <f>IF('[3]BASE'!FX72="","",'[3]BASE'!FX72)</f>
      </c>
      <c r="O71" s="491">
        <f>IF('[3]BASE'!FY72="","",'[3]BASE'!FY72)</f>
      </c>
      <c r="P71" s="491">
        <f>IF('[3]BASE'!FZ72="","",'[3]BASE'!FZ72)</f>
      </c>
      <c r="Q71" s="491">
        <f>IF('[3]BASE'!GA72="","",'[3]BASE'!GA72)</f>
      </c>
      <c r="R71" s="491">
        <f>IF('[3]BASE'!GB72="","",'[3]BASE'!GB72)</f>
      </c>
      <c r="S71" s="491">
        <f>IF('[3]BASE'!GC72="","",'[3]BASE'!GC72)</f>
      </c>
      <c r="T71" s="491">
        <f>IF('[3]BASE'!GD72="","",'[3]BASE'!GD72)</f>
      </c>
      <c r="U71" s="492"/>
      <c r="V71" s="489"/>
    </row>
    <row r="72" spans="2:22" s="483" customFormat="1" ht="19.5" customHeight="1">
      <c r="B72" s="484"/>
      <c r="C72" s="490">
        <f>IF('[3]BASE'!C73="","",'[3]BASE'!C73)</f>
        <v>57</v>
      </c>
      <c r="D72" s="490">
        <f>IF('[3]BASE'!D73="","",'[3]BASE'!D73)</f>
        <v>1546</v>
      </c>
      <c r="E72" s="490" t="str">
        <f>IF('[3]BASE'!E73="","",'[3]BASE'!E73)</f>
        <v>PETROQ. BAHIA BLANCA - URBANA BB</v>
      </c>
      <c r="F72" s="490">
        <f>IF('[3]BASE'!F73="","",'[3]BASE'!F73)</f>
        <v>132</v>
      </c>
      <c r="G72" s="490">
        <f>IF('[3]BASE'!G73="","",'[3]BASE'!G73)</f>
        <v>3.2</v>
      </c>
      <c r="H72" s="490" t="str">
        <f>IF('[3]BASE'!H73="","",'[3]BASE'!H73)</f>
        <v>C</v>
      </c>
      <c r="I72" s="491">
        <f>IF('[3]BASE'!FS73="","",'[3]BASE'!FS73)</f>
      </c>
      <c r="J72" s="491">
        <f>IF('[3]BASE'!FT73="","",'[3]BASE'!FT73)</f>
      </c>
      <c r="K72" s="491">
        <f>IF('[3]BASE'!FU73="","",'[3]BASE'!FU73)</f>
      </c>
      <c r="L72" s="491">
        <f>IF('[3]BASE'!FV73="","",'[3]BASE'!FV73)</f>
      </c>
      <c r="M72" s="491">
        <f>IF('[3]BASE'!FW73="","",'[3]BASE'!FW73)</f>
      </c>
      <c r="N72" s="491">
        <f>IF('[3]BASE'!FX73="","",'[3]BASE'!FX73)</f>
      </c>
      <c r="O72" s="491">
        <f>IF('[3]BASE'!FY73="","",'[3]BASE'!FY73)</f>
      </c>
      <c r="P72" s="491">
        <f>IF('[3]BASE'!FZ73="","",'[3]BASE'!FZ73)</f>
      </c>
      <c r="Q72" s="491">
        <f>IF('[3]BASE'!GA73="","",'[3]BASE'!GA73)</f>
      </c>
      <c r="R72" s="491">
        <f>IF('[3]BASE'!GB73="","",'[3]BASE'!GB73)</f>
      </c>
      <c r="S72" s="491">
        <f>IF('[3]BASE'!GC73="","",'[3]BASE'!GC73)</f>
      </c>
      <c r="T72" s="491">
        <f>IF('[3]BASE'!GD73="","",'[3]BASE'!GD73)</f>
      </c>
      <c r="U72" s="492"/>
      <c r="V72" s="489"/>
    </row>
    <row r="73" spans="2:22" s="483" customFormat="1" ht="19.5" customHeight="1">
      <c r="B73" s="484"/>
      <c r="C73" s="490">
        <f>IF('[3]BASE'!C74="","",'[3]BASE'!C74)</f>
        <v>58</v>
      </c>
      <c r="D73" s="490">
        <f>IF('[3]BASE'!D74="","",'[3]BASE'!D74)</f>
      </c>
      <c r="E73" s="490" t="str">
        <f>IF('[3]BASE'!E74="","",'[3]BASE'!E74)</f>
        <v>C. PIEDRABUENA - ING. WHITE</v>
      </c>
      <c r="F73" s="490">
        <f>IF('[3]BASE'!F74="","",'[3]BASE'!F74)</f>
        <v>132</v>
      </c>
      <c r="G73" s="490">
        <f>IF('[3]BASE'!G74="","",'[3]BASE'!G74)</f>
        <v>1.1</v>
      </c>
      <c r="H73" s="490" t="str">
        <f>IF('[3]BASE'!H74="","",'[3]BASE'!H74)</f>
        <v>C</v>
      </c>
      <c r="I73" s="491">
        <f>IF('[3]BASE'!FS74="","",'[3]BASE'!FS74)</f>
      </c>
      <c r="J73" s="491">
        <f>IF('[3]BASE'!FT74="","",'[3]BASE'!FT74)</f>
      </c>
      <c r="K73" s="491">
        <f>IF('[3]BASE'!FU74="","",'[3]BASE'!FU74)</f>
      </c>
      <c r="L73" s="491">
        <f>IF('[3]BASE'!FV74="","",'[3]BASE'!FV74)</f>
      </c>
      <c r="M73" s="491">
        <f>IF('[3]BASE'!FW74="","",'[3]BASE'!FW74)</f>
      </c>
      <c r="N73" s="491">
        <f>IF('[3]BASE'!FX74="","",'[3]BASE'!FX74)</f>
      </c>
      <c r="O73" s="491">
        <f>IF('[3]BASE'!FY74="","",'[3]BASE'!FY74)</f>
      </c>
      <c r="P73" s="491">
        <f>IF('[3]BASE'!FZ74="","",'[3]BASE'!FZ74)</f>
      </c>
      <c r="Q73" s="491">
        <f>IF('[3]BASE'!GA74="","",'[3]BASE'!GA74)</f>
      </c>
      <c r="R73" s="491">
        <f>IF('[3]BASE'!GB74="","",'[3]BASE'!GB74)</f>
      </c>
      <c r="S73" s="491">
        <f>IF('[3]BASE'!GC74="","",'[3]BASE'!GC74)</f>
      </c>
      <c r="T73" s="491">
        <f>IF('[3]BASE'!GD74="","",'[3]BASE'!GD74)</f>
      </c>
      <c r="U73" s="492"/>
      <c r="V73" s="489"/>
    </row>
    <row r="74" spans="2:22" s="483" customFormat="1" ht="19.5" customHeight="1">
      <c r="B74" s="484"/>
      <c r="C74" s="490">
        <f>IF('[3]BASE'!C75="","",'[3]BASE'!C75)</f>
        <v>59</v>
      </c>
      <c r="D74" s="490">
        <f>IF('[3]BASE'!D75="","",'[3]BASE'!D75)</f>
        <v>2616</v>
      </c>
      <c r="E74" s="490" t="str">
        <f>IF('[3]BASE'!E75="","",'[3]BASE'!E75)</f>
        <v>PIGUE - GUATRACHE</v>
      </c>
      <c r="F74" s="490">
        <f>IF('[3]BASE'!F75="","",'[3]BASE'!F75)</f>
        <v>132</v>
      </c>
      <c r="G74" s="490">
        <f>IF('[3]BASE'!G75="","",'[3]BASE'!G75)</f>
        <v>102</v>
      </c>
      <c r="H74" s="490" t="str">
        <f>IF('[3]BASE'!H75="","",'[3]BASE'!H75)</f>
        <v>C</v>
      </c>
      <c r="I74" s="491">
        <f>IF('[3]BASE'!FS75="","",'[3]BASE'!FS75)</f>
      </c>
      <c r="J74" s="491">
        <f>IF('[3]BASE'!FT75="","",'[3]BASE'!FT75)</f>
      </c>
      <c r="K74" s="491">
        <f>IF('[3]BASE'!FU75="","",'[3]BASE'!FU75)</f>
      </c>
      <c r="L74" s="491">
        <f>IF('[3]BASE'!FV75="","",'[3]BASE'!FV75)</f>
      </c>
      <c r="M74" s="491">
        <f>IF('[3]BASE'!FW75="","",'[3]BASE'!FW75)</f>
      </c>
      <c r="N74" s="491">
        <f>IF('[3]BASE'!FX75="","",'[3]BASE'!FX75)</f>
      </c>
      <c r="O74" s="491">
        <f>IF('[3]BASE'!FY75="","",'[3]BASE'!FY75)</f>
      </c>
      <c r="P74" s="491">
        <f>IF('[3]BASE'!FZ75="","",'[3]BASE'!FZ75)</f>
      </c>
      <c r="Q74" s="491">
        <f>IF('[3]BASE'!GA75="","",'[3]BASE'!GA75)</f>
      </c>
      <c r="R74" s="491">
        <f>IF('[3]BASE'!GB75="","",'[3]BASE'!GB75)</f>
      </c>
      <c r="S74" s="491">
        <f>IF('[3]BASE'!GC75="","",'[3]BASE'!GC75)</f>
        <v>1</v>
      </c>
      <c r="T74" s="491">
        <f>IF('[3]BASE'!GD75="","",'[3]BASE'!GD75)</f>
      </c>
      <c r="U74" s="492"/>
      <c r="V74" s="489"/>
    </row>
    <row r="75" spans="2:22" s="483" customFormat="1" ht="19.5" customHeight="1">
      <c r="B75" s="484"/>
      <c r="C75" s="490">
        <f>IF('[3]BASE'!C76="","",'[3]BASE'!C76)</f>
        <v>60</v>
      </c>
      <c r="D75" s="490" t="str">
        <f>IF('[3]BASE'!D76="","",'[3]BASE'!D76)</f>
        <v>CE-004</v>
      </c>
      <c r="E75" s="490" t="str">
        <f>IF('[3]BASE'!E76="","",'[3]BASE'!E76)</f>
        <v>PIGÜE - TORNQUIST - BAHIA BLANCA</v>
      </c>
      <c r="F75" s="490">
        <f>IF('[3]BASE'!F76="","",'[3]BASE'!F76)</f>
        <v>132</v>
      </c>
      <c r="G75" s="490">
        <f>IF('[3]BASE'!G76="","",'[3]BASE'!G76)</f>
        <v>132.3</v>
      </c>
      <c r="H75" s="490" t="str">
        <f>IF('[3]BASE'!H76="","",'[3]BASE'!H76)</f>
        <v>C</v>
      </c>
      <c r="I75" s="491">
        <f>IF('[3]BASE'!FS76="","",'[3]BASE'!FS76)</f>
      </c>
      <c r="J75" s="491">
        <f>IF('[3]BASE'!FT76="","",'[3]BASE'!FT76)</f>
      </c>
      <c r="K75" s="491">
        <f>IF('[3]BASE'!FU76="","",'[3]BASE'!FU76)</f>
      </c>
      <c r="L75" s="491">
        <f>IF('[3]BASE'!FV76="","",'[3]BASE'!FV76)</f>
      </c>
      <c r="M75" s="491">
        <f>IF('[3]BASE'!FW76="","",'[3]BASE'!FW76)</f>
      </c>
      <c r="N75" s="491">
        <f>IF('[3]BASE'!FX76="","",'[3]BASE'!FX76)</f>
      </c>
      <c r="O75" s="491">
        <f>IF('[3]BASE'!FY76="","",'[3]BASE'!FY76)</f>
      </c>
      <c r="P75" s="491">
        <f>IF('[3]BASE'!FZ76="","",'[3]BASE'!FZ76)</f>
      </c>
      <c r="Q75" s="491">
        <f>IF('[3]BASE'!GA76="","",'[3]BASE'!GA76)</f>
      </c>
      <c r="R75" s="491">
        <f>IF('[3]BASE'!GB76="","",'[3]BASE'!GB76)</f>
      </c>
      <c r="S75" s="491">
        <f>IF('[3]BASE'!GC76="","",'[3]BASE'!GC76)</f>
      </c>
      <c r="T75" s="491">
        <f>IF('[3]BASE'!GD76="","",'[3]BASE'!GD76)</f>
      </c>
      <c r="U75" s="492"/>
      <c r="V75" s="489"/>
    </row>
    <row r="76" spans="2:22" s="483" customFormat="1" ht="19.5" customHeight="1">
      <c r="B76" s="484"/>
      <c r="C76" s="490">
        <f>IF('[3]BASE'!C77="","",'[3]BASE'!C77)</f>
        <v>61</v>
      </c>
      <c r="D76" s="490">
        <f>IF('[3]BASE'!D77="","",'[3]BASE'!D77)</f>
        <v>1443</v>
      </c>
      <c r="E76" s="490" t="str">
        <f>IF('[3]BASE'!E77="","",'[3]BASE'!E77)</f>
        <v>PINAMAR - VILLA GESELL</v>
      </c>
      <c r="F76" s="490">
        <f>IF('[3]BASE'!F77="","",'[3]BASE'!F77)</f>
        <v>132</v>
      </c>
      <c r="G76" s="490">
        <f>IF('[3]BASE'!G77="","",'[3]BASE'!G77)</f>
        <v>20.28</v>
      </c>
      <c r="H76" s="490" t="str">
        <f>IF('[3]BASE'!H77="","",'[3]BASE'!H77)</f>
        <v>C</v>
      </c>
      <c r="I76" s="491" t="str">
        <f>IF('[3]BASE'!FS77="","",'[3]BASE'!FS77)</f>
        <v>XXXX</v>
      </c>
      <c r="J76" s="491" t="str">
        <f>IF('[3]BASE'!FT77="","",'[3]BASE'!FT77)</f>
        <v>XXXX</v>
      </c>
      <c r="K76" s="491" t="str">
        <f>IF('[3]BASE'!FU77="","",'[3]BASE'!FU77)</f>
        <v>XXXX</v>
      </c>
      <c r="L76" s="491" t="str">
        <f>IF('[3]BASE'!FV77="","",'[3]BASE'!FV77)</f>
        <v>XXXX</v>
      </c>
      <c r="M76" s="491" t="str">
        <f>IF('[3]BASE'!FW77="","",'[3]BASE'!FW77)</f>
        <v>XXXX</v>
      </c>
      <c r="N76" s="491" t="str">
        <f>IF('[3]BASE'!FX77="","",'[3]BASE'!FX77)</f>
        <v>XXXX</v>
      </c>
      <c r="O76" s="491" t="str">
        <f>IF('[3]BASE'!FY77="","",'[3]BASE'!FY77)</f>
        <v>XXXX</v>
      </c>
      <c r="P76" s="491" t="str">
        <f>IF('[3]BASE'!FZ77="","",'[3]BASE'!FZ77)</f>
        <v>XXXX</v>
      </c>
      <c r="Q76" s="491" t="str">
        <f>IF('[3]BASE'!GA77="","",'[3]BASE'!GA77)</f>
        <v>XXXX</v>
      </c>
      <c r="R76" s="491" t="str">
        <f>IF('[3]BASE'!GB77="","",'[3]BASE'!GB77)</f>
        <v>XXXX</v>
      </c>
      <c r="S76" s="491" t="str">
        <f>IF('[3]BASE'!GC77="","",'[3]BASE'!GC77)</f>
        <v>XXXX</v>
      </c>
      <c r="T76" s="491" t="str">
        <f>IF('[3]BASE'!GD77="","",'[3]BASE'!GD77)</f>
        <v>XXXX</v>
      </c>
      <c r="U76" s="492"/>
      <c r="V76" s="489"/>
    </row>
    <row r="77" spans="2:22" s="483" customFormat="1" ht="19.5" customHeight="1">
      <c r="B77" s="484"/>
      <c r="C77" s="490">
        <f>IF('[3]BASE'!C78="","",'[3]BASE'!C78)</f>
        <v>62</v>
      </c>
      <c r="D77" s="490">
        <f>IF('[3]BASE'!D78="","",'[3]BASE'!D78)</f>
        <v>1543</v>
      </c>
      <c r="E77" s="490" t="str">
        <f>IF('[3]BASE'!E78="","",'[3]BASE'!E78)</f>
        <v>PUNTA ALTA - BAHIA BLANCA</v>
      </c>
      <c r="F77" s="490">
        <f>IF('[3]BASE'!F78="","",'[3]BASE'!F78)</f>
        <v>132</v>
      </c>
      <c r="G77" s="490">
        <f>IF('[3]BASE'!G78="","",'[3]BASE'!G78)</f>
        <v>24.1</v>
      </c>
      <c r="H77" s="490" t="str">
        <f>IF('[3]BASE'!H78="","",'[3]BASE'!H78)</f>
        <v>C</v>
      </c>
      <c r="I77" s="491">
        <f>IF('[3]BASE'!FS78="","",'[3]BASE'!FS78)</f>
      </c>
      <c r="J77" s="491">
        <f>IF('[3]BASE'!FT78="","",'[3]BASE'!FT78)</f>
      </c>
      <c r="K77" s="491">
        <f>IF('[3]BASE'!FU78="","",'[3]BASE'!FU78)</f>
      </c>
      <c r="L77" s="491">
        <f>IF('[3]BASE'!FV78="","",'[3]BASE'!FV78)</f>
      </c>
      <c r="M77" s="491">
        <f>IF('[3]BASE'!FW78="","",'[3]BASE'!FW78)</f>
      </c>
      <c r="N77" s="491">
        <f>IF('[3]BASE'!FX78="","",'[3]BASE'!FX78)</f>
      </c>
      <c r="O77" s="491">
        <f>IF('[3]BASE'!FY78="","",'[3]BASE'!FY78)</f>
      </c>
      <c r="P77" s="491">
        <f>IF('[3]BASE'!FZ78="","",'[3]BASE'!FZ78)</f>
      </c>
      <c r="Q77" s="491">
        <f>IF('[3]BASE'!GA78="","",'[3]BASE'!GA78)</f>
      </c>
      <c r="R77" s="491">
        <f>IF('[3]BASE'!GB78="","",'[3]BASE'!GB78)</f>
      </c>
      <c r="S77" s="491">
        <f>IF('[3]BASE'!GC78="","",'[3]BASE'!GC78)</f>
      </c>
      <c r="T77" s="491">
        <f>IF('[3]BASE'!GD78="","",'[3]BASE'!GD78)</f>
      </c>
      <c r="U77" s="492"/>
      <c r="V77" s="489"/>
    </row>
    <row r="78" spans="2:22" s="483" customFormat="1" ht="19.5" customHeight="1">
      <c r="B78" s="484"/>
      <c r="C78" s="490">
        <f>IF('[3]BASE'!C79="","",'[3]BASE'!C79)</f>
        <v>63</v>
      </c>
      <c r="D78" s="490">
        <f>IF('[3]BASE'!D79="","",'[3]BASE'!D79)</f>
        <v>1544</v>
      </c>
      <c r="E78" s="490" t="str">
        <f>IF('[3]BASE'!E79="","",'[3]BASE'!E79)</f>
        <v>PUNTA ALTA - C. PIEDRABUENA</v>
      </c>
      <c r="F78" s="490">
        <f>IF('[3]BASE'!F79="","",'[3]BASE'!F79)</f>
        <v>132</v>
      </c>
      <c r="G78" s="490">
        <f>IF('[3]BASE'!G79="","",'[3]BASE'!G79)</f>
        <v>25</v>
      </c>
      <c r="H78" s="490" t="str">
        <f>IF('[3]BASE'!H79="","",'[3]BASE'!H79)</f>
        <v>C</v>
      </c>
      <c r="I78" s="491">
        <f>IF('[3]BASE'!FS79="","",'[3]BASE'!FS79)</f>
      </c>
      <c r="J78" s="491">
        <f>IF('[3]BASE'!FT79="","",'[3]BASE'!FT79)</f>
      </c>
      <c r="K78" s="491">
        <f>IF('[3]BASE'!FU79="","",'[3]BASE'!FU79)</f>
      </c>
      <c r="L78" s="491">
        <f>IF('[3]BASE'!FV79="","",'[3]BASE'!FV79)</f>
      </c>
      <c r="M78" s="491">
        <f>IF('[3]BASE'!FW79="","",'[3]BASE'!FW79)</f>
      </c>
      <c r="N78" s="491">
        <f>IF('[3]BASE'!FX79="","",'[3]BASE'!FX79)</f>
      </c>
      <c r="O78" s="491">
        <f>IF('[3]BASE'!FY79="","",'[3]BASE'!FY79)</f>
      </c>
      <c r="P78" s="491">
        <f>IF('[3]BASE'!FZ79="","",'[3]BASE'!FZ79)</f>
        <v>1</v>
      </c>
      <c r="Q78" s="491">
        <f>IF('[3]BASE'!GA79="","",'[3]BASE'!GA79)</f>
      </c>
      <c r="R78" s="491">
        <f>IF('[3]BASE'!GB79="","",'[3]BASE'!GB79)</f>
      </c>
      <c r="S78" s="491">
        <f>IF('[3]BASE'!GC79="","",'[3]BASE'!GC79)</f>
      </c>
      <c r="T78" s="491">
        <f>IF('[3]BASE'!GD79="","",'[3]BASE'!GD79)</f>
      </c>
      <c r="U78" s="492"/>
      <c r="V78" s="489"/>
    </row>
    <row r="79" spans="2:22" s="483" customFormat="1" ht="19.5" customHeight="1">
      <c r="B79" s="484"/>
      <c r="C79" s="490">
        <f>IF('[3]BASE'!C80="","",'[3]BASE'!C80)</f>
        <v>64</v>
      </c>
      <c r="D79" s="490">
        <f>IF('[3]BASE'!D80="","",'[3]BASE'!D80)</f>
        <v>2741</v>
      </c>
      <c r="E79" s="490" t="str">
        <f>IF('[3]BASE'!E80="","",'[3]BASE'!E80)</f>
        <v>RAMALLO - URBANA SAN NICOLAS</v>
      </c>
      <c r="F79" s="490">
        <f>IF('[3]BASE'!F80="","",'[3]BASE'!F80)</f>
        <v>132</v>
      </c>
      <c r="G79" s="490">
        <f>IF('[3]BASE'!G80="","",'[3]BASE'!G80)</f>
        <v>12.86</v>
      </c>
      <c r="H79" s="490" t="str">
        <f>IF('[3]BASE'!H80="","",'[3]BASE'!H80)</f>
        <v>C</v>
      </c>
      <c r="I79" s="491">
        <f>IF('[3]BASE'!FS80="","",'[3]BASE'!FS80)</f>
      </c>
      <c r="J79" s="491">
        <f>IF('[3]BASE'!FT80="","",'[3]BASE'!FT80)</f>
      </c>
      <c r="K79" s="491">
        <f>IF('[3]BASE'!FU80="","",'[3]BASE'!FU80)</f>
      </c>
      <c r="L79" s="491">
        <f>IF('[3]BASE'!FV80="","",'[3]BASE'!FV80)</f>
      </c>
      <c r="M79" s="491">
        <f>IF('[3]BASE'!FW80="","",'[3]BASE'!FW80)</f>
      </c>
      <c r="N79" s="491">
        <f>IF('[3]BASE'!FX80="","",'[3]BASE'!FX80)</f>
      </c>
      <c r="O79" s="491">
        <f>IF('[3]BASE'!FY80="","",'[3]BASE'!FY80)</f>
      </c>
      <c r="P79" s="491">
        <f>IF('[3]BASE'!FZ80="","",'[3]BASE'!FZ80)</f>
      </c>
      <c r="Q79" s="491">
        <f>IF('[3]BASE'!GA80="","",'[3]BASE'!GA80)</f>
      </c>
      <c r="R79" s="491">
        <f>IF('[3]BASE'!GB80="","",'[3]BASE'!GB80)</f>
      </c>
      <c r="S79" s="491">
        <f>IF('[3]BASE'!GC80="","",'[3]BASE'!GC80)</f>
      </c>
      <c r="T79" s="491">
        <f>IF('[3]BASE'!GD80="","",'[3]BASE'!GD80)</f>
      </c>
      <c r="U79" s="492"/>
      <c r="V79" s="489"/>
    </row>
    <row r="80" spans="2:22" s="483" customFormat="1" ht="19.5" customHeight="1">
      <c r="B80" s="484"/>
      <c r="C80" s="490">
        <f>IF('[3]BASE'!C81="","",'[3]BASE'!C81)</f>
        <v>65</v>
      </c>
      <c r="D80" s="490">
        <f>IF('[3]BASE'!D81="","",'[3]BASE'!D81)</f>
        <v>1418</v>
      </c>
      <c r="E80" s="490" t="str">
        <f>IF('[3]BASE'!E81="","",'[3]BASE'!E81)</f>
        <v>ROJAS - JUNIN</v>
      </c>
      <c r="F80" s="490">
        <f>IF('[3]BASE'!F81="","",'[3]BASE'!F81)</f>
        <v>132</v>
      </c>
      <c r="G80" s="490">
        <f>IF('[3]BASE'!G81="","",'[3]BASE'!G81)</f>
        <v>47.7</v>
      </c>
      <c r="H80" s="490" t="str">
        <f>IF('[3]BASE'!H81="","",'[3]BASE'!H81)</f>
        <v>C</v>
      </c>
      <c r="I80" s="491">
        <f>IF('[3]BASE'!FS81="","",'[3]BASE'!FS81)</f>
      </c>
      <c r="J80" s="491">
        <f>IF('[3]BASE'!FT81="","",'[3]BASE'!FT81)</f>
      </c>
      <c r="K80" s="491">
        <f>IF('[3]BASE'!FU81="","",'[3]BASE'!FU81)</f>
      </c>
      <c r="L80" s="491">
        <f>IF('[3]BASE'!FV81="","",'[3]BASE'!FV81)</f>
        <v>1</v>
      </c>
      <c r="M80" s="491">
        <f>IF('[3]BASE'!FW81="","",'[3]BASE'!FW81)</f>
      </c>
      <c r="N80" s="491">
        <f>IF('[3]BASE'!FX81="","",'[3]BASE'!FX81)</f>
      </c>
      <c r="O80" s="491">
        <f>IF('[3]BASE'!FY81="","",'[3]BASE'!FY81)</f>
      </c>
      <c r="P80" s="491">
        <f>IF('[3]BASE'!FZ81="","",'[3]BASE'!FZ81)</f>
      </c>
      <c r="Q80" s="491">
        <f>IF('[3]BASE'!GA81="","",'[3]BASE'!GA81)</f>
      </c>
      <c r="R80" s="491">
        <f>IF('[3]BASE'!GB81="","",'[3]BASE'!GB81)</f>
      </c>
      <c r="S80" s="491">
        <f>IF('[3]BASE'!GC81="","",'[3]BASE'!GC81)</f>
      </c>
      <c r="T80" s="491">
        <f>IF('[3]BASE'!GD81="","",'[3]BASE'!GD81)</f>
      </c>
      <c r="U80" s="492"/>
      <c r="V80" s="489"/>
    </row>
    <row r="81" spans="2:22" s="483" customFormat="1" ht="19.5" customHeight="1">
      <c r="B81" s="484"/>
      <c r="C81" s="490">
        <f>IF('[3]BASE'!C82="","",'[3]BASE'!C82)</f>
        <v>66</v>
      </c>
      <c r="D81" s="490">
        <f>IF('[3]BASE'!D82="","",'[3]BASE'!D82)</f>
        <v>1407</v>
      </c>
      <c r="E81" s="490" t="str">
        <f>IF('[3]BASE'!E82="","",'[3]BASE'!E82)</f>
        <v>SALADILLO - LAS FLORES</v>
      </c>
      <c r="F81" s="490">
        <f>IF('[3]BASE'!F82="","",'[3]BASE'!F82)</f>
        <v>132</v>
      </c>
      <c r="G81" s="490">
        <f>IF('[3]BASE'!G82="","",'[3]BASE'!G82)</f>
        <v>76.3</v>
      </c>
      <c r="H81" s="490" t="str">
        <f>IF('[3]BASE'!H82="","",'[3]BASE'!H82)</f>
        <v>C</v>
      </c>
      <c r="I81" s="491">
        <f>IF('[3]BASE'!FS82="","",'[3]BASE'!FS82)</f>
        <v>1</v>
      </c>
      <c r="J81" s="491">
        <f>IF('[3]BASE'!FT82="","",'[3]BASE'!FT82)</f>
        <v>1</v>
      </c>
      <c r="K81" s="491">
        <f>IF('[3]BASE'!FU82="","",'[3]BASE'!FU82)</f>
        <v>1</v>
      </c>
      <c r="L81" s="491">
        <f>IF('[3]BASE'!FV82="","",'[3]BASE'!FV82)</f>
      </c>
      <c r="M81" s="491">
        <f>IF('[3]BASE'!FW82="","",'[3]BASE'!FW82)</f>
      </c>
      <c r="N81" s="491">
        <f>IF('[3]BASE'!FX82="","",'[3]BASE'!FX82)</f>
      </c>
      <c r="O81" s="491">
        <f>IF('[3]BASE'!FY82="","",'[3]BASE'!FY82)</f>
      </c>
      <c r="P81" s="491">
        <f>IF('[3]BASE'!FZ82="","",'[3]BASE'!FZ82)</f>
      </c>
      <c r="Q81" s="491">
        <f>IF('[3]BASE'!GA82="","",'[3]BASE'!GA82)</f>
      </c>
      <c r="R81" s="491">
        <f>IF('[3]BASE'!GB82="","",'[3]BASE'!GB82)</f>
      </c>
      <c r="S81" s="491">
        <f>IF('[3]BASE'!GC82="","",'[3]BASE'!GC82)</f>
      </c>
      <c r="T81" s="491">
        <f>IF('[3]BASE'!GD82="","",'[3]BASE'!GD82)</f>
      </c>
      <c r="U81" s="492"/>
      <c r="V81" s="489"/>
    </row>
    <row r="82" spans="2:22" s="483" customFormat="1" ht="19.5" customHeight="1">
      <c r="B82" s="484"/>
      <c r="C82" s="490">
        <f>IF('[3]BASE'!C83="","",'[3]BASE'!C83)</f>
        <v>67</v>
      </c>
      <c r="D82" s="490">
        <f>IF('[3]BASE'!D83="","",'[3]BASE'!D83)</f>
        <v>1439</v>
      </c>
      <c r="E82" s="490" t="str">
        <f>IF('[3]BASE'!E83="","",'[3]BASE'!E83)</f>
        <v>SAN CLEMENTE - DOLORES</v>
      </c>
      <c r="F82" s="490">
        <f>IF('[3]BASE'!F83="","",'[3]BASE'!F83)</f>
        <v>132</v>
      </c>
      <c r="G82" s="490">
        <f>IF('[3]BASE'!G83="","",'[3]BASE'!G83)</f>
        <v>102.6</v>
      </c>
      <c r="H82" s="490" t="str">
        <f>IF('[3]BASE'!H83="","",'[3]BASE'!H83)</f>
        <v>C</v>
      </c>
      <c r="I82" s="491">
        <f>IF('[3]BASE'!FS83="","",'[3]BASE'!FS83)</f>
      </c>
      <c r="J82" s="491">
        <f>IF('[3]BASE'!FT83="","",'[3]BASE'!FT83)</f>
      </c>
      <c r="K82" s="491">
        <f>IF('[3]BASE'!FU83="","",'[3]BASE'!FU83)</f>
      </c>
      <c r="L82" s="491">
        <f>IF('[3]BASE'!FV83="","",'[3]BASE'!FV83)</f>
      </c>
      <c r="M82" s="491">
        <f>IF('[3]BASE'!FW83="","",'[3]BASE'!FW83)</f>
      </c>
      <c r="N82" s="491">
        <f>IF('[3]BASE'!FX83="","",'[3]BASE'!FX83)</f>
      </c>
      <c r="O82" s="491">
        <f>IF('[3]BASE'!FY83="","",'[3]BASE'!FY83)</f>
        <v>1</v>
      </c>
      <c r="P82" s="491">
        <f>IF('[3]BASE'!FZ83="","",'[3]BASE'!FZ83)</f>
      </c>
      <c r="Q82" s="491">
        <f>IF('[3]BASE'!GA83="","",'[3]BASE'!GA83)</f>
      </c>
      <c r="R82" s="491">
        <f>IF('[3]BASE'!GB83="","",'[3]BASE'!GB83)</f>
      </c>
      <c r="S82" s="491">
        <f>IF('[3]BASE'!GC83="","",'[3]BASE'!GC83)</f>
      </c>
      <c r="T82" s="491">
        <f>IF('[3]BASE'!GD83="","",'[3]BASE'!GD83)</f>
      </c>
      <c r="U82" s="492"/>
      <c r="V82" s="489"/>
    </row>
    <row r="83" spans="2:22" s="483" customFormat="1" ht="19.5" customHeight="1">
      <c r="B83" s="484"/>
      <c r="C83" s="490">
        <f>IF('[3]BASE'!C84="","",'[3]BASE'!C84)</f>
        <v>68</v>
      </c>
      <c r="D83" s="490" t="str">
        <f>IF('[3]BASE'!D84="","",'[3]BASE'!D84)</f>
        <v>C-000</v>
      </c>
      <c r="E83" s="490" t="str">
        <f>IF('[3]BASE'!E84="","",'[3]BASE'!E84)</f>
        <v>SAN CLEMENTE - MAR DEL TUYÚ - MAR DE AJÓ</v>
      </c>
      <c r="F83" s="490">
        <f>IF('[3]BASE'!F84="","",'[3]BASE'!F84)</f>
        <v>132</v>
      </c>
      <c r="G83" s="490">
        <f>IF('[3]BASE'!G84="","",'[3]BASE'!G84)</f>
        <v>39</v>
      </c>
      <c r="H83" s="490" t="str">
        <f>IF('[3]BASE'!H84="","",'[3]BASE'!H84)</f>
        <v>B</v>
      </c>
      <c r="I83" s="491" t="str">
        <f>IF('[3]BASE'!FS84="","",'[3]BASE'!FS84)</f>
        <v>XXXX</v>
      </c>
      <c r="J83" s="491" t="str">
        <f>IF('[3]BASE'!FT84="","",'[3]BASE'!FT84)</f>
        <v>XXXX</v>
      </c>
      <c r="K83" s="491" t="str">
        <f>IF('[3]BASE'!FU84="","",'[3]BASE'!FU84)</f>
        <v>XXXX</v>
      </c>
      <c r="L83" s="491" t="str">
        <f>IF('[3]BASE'!FV84="","",'[3]BASE'!FV84)</f>
        <v>XXXX</v>
      </c>
      <c r="M83" s="491" t="str">
        <f>IF('[3]BASE'!FW84="","",'[3]BASE'!FW84)</f>
        <v>XXXX</v>
      </c>
      <c r="N83" s="491" t="str">
        <f>IF('[3]BASE'!FX84="","",'[3]BASE'!FX84)</f>
        <v>XXXX</v>
      </c>
      <c r="O83" s="491" t="str">
        <f>IF('[3]BASE'!FY84="","",'[3]BASE'!FY84)</f>
        <v>XXXX</v>
      </c>
      <c r="P83" s="491" t="str">
        <f>IF('[3]BASE'!FZ84="","",'[3]BASE'!FZ84)</f>
        <v>XXXX</v>
      </c>
      <c r="Q83" s="491" t="str">
        <f>IF('[3]BASE'!GA84="","",'[3]BASE'!GA84)</f>
        <v>XXXX</v>
      </c>
      <c r="R83" s="491" t="str">
        <f>IF('[3]BASE'!GB84="","",'[3]BASE'!GB84)</f>
        <v>XXXX</v>
      </c>
      <c r="S83" s="491" t="str">
        <f>IF('[3]BASE'!GC84="","",'[3]BASE'!GC84)</f>
        <v>XXXX</v>
      </c>
      <c r="T83" s="491" t="str">
        <f>IF('[3]BASE'!GD84="","",'[3]BASE'!GD84)</f>
        <v>XXXX</v>
      </c>
      <c r="U83" s="492"/>
      <c r="V83" s="489"/>
    </row>
    <row r="84" spans="2:22" s="483" customFormat="1" ht="19.5" customHeight="1">
      <c r="B84" s="484"/>
      <c r="C84" s="490">
        <f>IF('[3]BASE'!C85="","",'[3]BASE'!C85)</f>
        <v>69</v>
      </c>
      <c r="D84" s="490">
        <f>IF('[3]BASE'!D85="","",'[3]BASE'!D85)</f>
        <v>4293</v>
      </c>
      <c r="E84" s="490" t="str">
        <f>IF('[3]BASE'!E85="","",'[3]BASE'!E85)</f>
        <v>SAN CLEMENTE - LAS TONINAS</v>
      </c>
      <c r="F84" s="490">
        <f>IF('[3]BASE'!F85="","",'[3]BASE'!F85)</f>
        <v>132</v>
      </c>
      <c r="G84" s="490">
        <f>IF('[3]BASE'!G85="","",'[3]BASE'!G85)</f>
        <v>14.6</v>
      </c>
      <c r="H84" s="490" t="str">
        <f>IF('[3]BASE'!H85="","",'[3]BASE'!H85)</f>
        <v>B</v>
      </c>
      <c r="I84" s="491">
        <f>IF('[3]BASE'!FS85="","",'[3]BASE'!FS85)</f>
      </c>
      <c r="J84" s="491">
        <f>IF('[3]BASE'!FT85="","",'[3]BASE'!FT85)</f>
      </c>
      <c r="K84" s="491">
        <f>IF('[3]BASE'!FU85="","",'[3]BASE'!FU85)</f>
      </c>
      <c r="L84" s="491">
        <f>IF('[3]BASE'!FV85="","",'[3]BASE'!FV85)</f>
      </c>
      <c r="M84" s="491">
        <f>IF('[3]BASE'!FW85="","",'[3]BASE'!FW85)</f>
      </c>
      <c r="N84" s="491">
        <f>IF('[3]BASE'!FX85="","",'[3]BASE'!FX85)</f>
      </c>
      <c r="O84" s="491">
        <f>IF('[3]BASE'!FY85="","",'[3]BASE'!FY85)</f>
        <v>1</v>
      </c>
      <c r="P84" s="491">
        <f>IF('[3]BASE'!FZ85="","",'[3]BASE'!FZ85)</f>
      </c>
      <c r="Q84" s="491">
        <f>IF('[3]BASE'!GA85="","",'[3]BASE'!GA85)</f>
      </c>
      <c r="R84" s="491">
        <f>IF('[3]BASE'!GB85="","",'[3]BASE'!GB85)</f>
      </c>
      <c r="S84" s="491">
        <f>IF('[3]BASE'!GC85="","",'[3]BASE'!GC85)</f>
      </c>
      <c r="T84" s="491">
        <f>IF('[3]BASE'!GD85="","",'[3]BASE'!GD85)</f>
      </c>
      <c r="U84" s="492"/>
      <c r="V84" s="489"/>
    </row>
    <row r="85" spans="2:22" s="483" customFormat="1" ht="19.5" customHeight="1">
      <c r="B85" s="484"/>
      <c r="C85" s="490">
        <f>IF('[3]BASE'!C86="","",'[3]BASE'!C86)</f>
        <v>70</v>
      </c>
      <c r="D85" s="490" t="str">
        <f>IF('[3]BASE'!D86="","",'[3]BASE'!D86)</f>
        <v>CE-003</v>
      </c>
      <c r="E85" s="490" t="str">
        <f>IF('[3]BASE'!E86="","",'[3]BASE'!E86)</f>
        <v>LAS TONINAS-MAR DEL TUYU-MAR DE AJO</v>
      </c>
      <c r="F85" s="490">
        <f>IF('[3]BASE'!F86="","",'[3]BASE'!F86)</f>
        <v>132</v>
      </c>
      <c r="G85" s="490">
        <f>IF('[3]BASE'!G86="","",'[3]BASE'!G86)</f>
        <v>29.57</v>
      </c>
      <c r="H85" s="490" t="str">
        <f>IF('[3]BASE'!H86="","",'[3]BASE'!H86)</f>
        <v>B</v>
      </c>
      <c r="I85" s="491">
        <f>IF('[3]BASE'!FS86="","",'[3]BASE'!FS86)</f>
      </c>
      <c r="J85" s="491">
        <f>IF('[3]BASE'!FT86="","",'[3]BASE'!FT86)</f>
      </c>
      <c r="K85" s="491">
        <f>IF('[3]BASE'!FU86="","",'[3]BASE'!FU86)</f>
      </c>
      <c r="L85" s="491">
        <f>IF('[3]BASE'!FV86="","",'[3]BASE'!FV86)</f>
      </c>
      <c r="M85" s="491">
        <f>IF('[3]BASE'!FW86="","",'[3]BASE'!FW86)</f>
      </c>
      <c r="N85" s="491">
        <f>IF('[3]BASE'!FX86="","",'[3]BASE'!FX86)</f>
      </c>
      <c r="O85" s="491">
        <f>IF('[3]BASE'!FY86="","",'[3]BASE'!FY86)</f>
      </c>
      <c r="P85" s="491">
        <f>IF('[3]BASE'!FZ86="","",'[3]BASE'!FZ86)</f>
      </c>
      <c r="Q85" s="491">
        <f>IF('[3]BASE'!GA86="","",'[3]BASE'!GA86)</f>
      </c>
      <c r="R85" s="491">
        <f>IF('[3]BASE'!GB86="","",'[3]BASE'!GB86)</f>
      </c>
      <c r="S85" s="491">
        <f>IF('[3]BASE'!GC86="","",'[3]BASE'!GC86)</f>
      </c>
      <c r="T85" s="491">
        <f>IF('[3]BASE'!GD86="","",'[3]BASE'!GD86)</f>
      </c>
      <c r="U85" s="492"/>
      <c r="V85" s="489"/>
    </row>
    <row r="86" spans="2:22" s="483" customFormat="1" ht="19.5" customHeight="1">
      <c r="B86" s="484"/>
      <c r="C86" s="490">
        <f>IF('[3]BASE'!C87="","",'[3]BASE'!C87)</f>
        <v>71</v>
      </c>
      <c r="D86" s="490">
        <f>IF('[3]BASE'!D87="","",'[3]BASE'!D87)</f>
        <v>1999</v>
      </c>
      <c r="E86" s="490" t="str">
        <f>IF('[3]BASE'!E87="","",'[3]BASE'!E87)</f>
        <v>SAN NICOLÁS - VILLA CONSTITUCIÓN IND.</v>
      </c>
      <c r="F86" s="490">
        <f>IF('[3]BASE'!F87="","",'[3]BASE'!F87)</f>
        <v>132</v>
      </c>
      <c r="G86" s="490">
        <f>IF('[3]BASE'!G87="","",'[3]BASE'!G87)</f>
        <v>14.7</v>
      </c>
      <c r="H86" s="490" t="str">
        <f>IF('[3]BASE'!H87="","",'[3]BASE'!H87)</f>
        <v>C</v>
      </c>
      <c r="I86" s="491">
        <f>IF('[3]BASE'!FS87="","",'[3]BASE'!FS87)</f>
      </c>
      <c r="J86" s="491">
        <f>IF('[3]BASE'!FT87="","",'[3]BASE'!FT87)</f>
      </c>
      <c r="K86" s="491">
        <f>IF('[3]BASE'!FU87="","",'[3]BASE'!FU87)</f>
      </c>
      <c r="L86" s="491">
        <f>IF('[3]BASE'!FV87="","",'[3]BASE'!FV87)</f>
      </c>
      <c r="M86" s="491">
        <f>IF('[3]BASE'!FW87="","",'[3]BASE'!FW87)</f>
      </c>
      <c r="N86" s="491">
        <f>IF('[3]BASE'!FX87="","",'[3]BASE'!FX87)</f>
        <v>1</v>
      </c>
      <c r="O86" s="491">
        <f>IF('[3]BASE'!FY87="","",'[3]BASE'!FY87)</f>
      </c>
      <c r="P86" s="491">
        <f>IF('[3]BASE'!FZ87="","",'[3]BASE'!FZ87)</f>
      </c>
      <c r="Q86" s="491">
        <f>IF('[3]BASE'!GA87="","",'[3]BASE'!GA87)</f>
      </c>
      <c r="R86" s="491">
        <f>IF('[3]BASE'!GB87="","",'[3]BASE'!GB87)</f>
      </c>
      <c r="S86" s="491">
        <f>IF('[3]BASE'!GC87="","",'[3]BASE'!GC87)</f>
      </c>
      <c r="T86" s="491">
        <f>IF('[3]BASE'!GD87="","",'[3]BASE'!GD87)</f>
      </c>
      <c r="U86" s="492"/>
      <c r="V86" s="489"/>
    </row>
    <row r="87" spans="2:22" s="483" customFormat="1" ht="19.5" customHeight="1">
      <c r="B87" s="484"/>
      <c r="C87" s="490">
        <f>IF('[3]BASE'!C88="","",'[3]BASE'!C88)</f>
        <v>72</v>
      </c>
      <c r="D87" s="490">
        <f>IF('[3]BASE'!D88="","",'[3]BASE'!D88)</f>
        <v>1997</v>
      </c>
      <c r="E87" s="490" t="str">
        <f>IF('[3]BASE'!E88="","",'[3]BASE'!E88)</f>
        <v>SAN NICOLÁS - VILLA CONSTITUCIÓN RES.</v>
      </c>
      <c r="F87" s="490">
        <f>IF('[3]BASE'!F88="","",'[3]BASE'!F88)</f>
        <v>132</v>
      </c>
      <c r="G87" s="490">
        <f>IF('[3]BASE'!G88="","",'[3]BASE'!G88)</f>
        <v>13.6</v>
      </c>
      <c r="H87" s="490" t="str">
        <f>IF('[3]BASE'!H88="","",'[3]BASE'!H88)</f>
        <v>B</v>
      </c>
      <c r="I87" s="491">
        <f>IF('[3]BASE'!FS88="","",'[3]BASE'!FS88)</f>
      </c>
      <c r="J87" s="491">
        <f>IF('[3]BASE'!FT88="","",'[3]BASE'!FT88)</f>
      </c>
      <c r="K87" s="491">
        <f>IF('[3]BASE'!FU88="","",'[3]BASE'!FU88)</f>
      </c>
      <c r="L87" s="491">
        <f>IF('[3]BASE'!FV88="","",'[3]BASE'!FV88)</f>
      </c>
      <c r="M87" s="491">
        <f>IF('[3]BASE'!FW88="","",'[3]BASE'!FW88)</f>
      </c>
      <c r="N87" s="491">
        <f>IF('[3]BASE'!FX88="","",'[3]BASE'!FX88)</f>
      </c>
      <c r="O87" s="491">
        <f>IF('[3]BASE'!FY88="","",'[3]BASE'!FY88)</f>
      </c>
      <c r="P87" s="491">
        <f>IF('[3]BASE'!FZ88="","",'[3]BASE'!FZ88)</f>
      </c>
      <c r="Q87" s="491">
        <f>IF('[3]BASE'!GA88="","",'[3]BASE'!GA88)</f>
      </c>
      <c r="R87" s="491">
        <f>IF('[3]BASE'!GB88="","",'[3]BASE'!GB88)</f>
      </c>
      <c r="S87" s="491">
        <f>IF('[3]BASE'!GC88="","",'[3]BASE'!GC88)</f>
      </c>
      <c r="T87" s="491">
        <f>IF('[3]BASE'!GD88="","",'[3]BASE'!GD88)</f>
      </c>
      <c r="U87" s="492"/>
      <c r="V87" s="489"/>
    </row>
    <row r="88" spans="2:22" s="483" customFormat="1" ht="19.5" customHeight="1">
      <c r="B88" s="484"/>
      <c r="C88" s="490">
        <f>IF('[3]BASE'!C89="","",'[3]BASE'!C89)</f>
        <v>73</v>
      </c>
      <c r="D88" s="490" t="str">
        <f>IF('[3]BASE'!D89="","",'[3]BASE'!D89)</f>
        <v>CE-000</v>
      </c>
      <c r="E88" s="490" t="str">
        <f>IF('[3]BASE'!E89="","",'[3]BASE'!E89)</f>
        <v>SAN NICOLAS EXTG - SAN NICOLAS</v>
      </c>
      <c r="F88" s="490">
        <f>IF('[3]BASE'!F89="","",'[3]BASE'!F89)</f>
        <v>132</v>
      </c>
      <c r="G88" s="490">
        <f>IF('[3]BASE'!G89="","",'[3]BASE'!G89)</f>
        <v>0.4</v>
      </c>
      <c r="H88" s="490" t="str">
        <f>IF('[3]BASE'!H89="","",'[3]BASE'!H89)</f>
        <v>C</v>
      </c>
      <c r="I88" s="491" t="str">
        <f>IF('[3]BASE'!FS89="","",'[3]BASE'!FS89)</f>
        <v>XXXX</v>
      </c>
      <c r="J88" s="491" t="str">
        <f>IF('[3]BASE'!FT89="","",'[3]BASE'!FT89)</f>
        <v>XXXX</v>
      </c>
      <c r="K88" s="491" t="str">
        <f>IF('[3]BASE'!FU89="","",'[3]BASE'!FU89)</f>
        <v>XXXX</v>
      </c>
      <c r="L88" s="491" t="str">
        <f>IF('[3]BASE'!FV89="","",'[3]BASE'!FV89)</f>
        <v>XXXX</v>
      </c>
      <c r="M88" s="491" t="str">
        <f>IF('[3]BASE'!FW89="","",'[3]BASE'!FW89)</f>
        <v>XXXX</v>
      </c>
      <c r="N88" s="491" t="str">
        <f>IF('[3]BASE'!FX89="","",'[3]BASE'!FX89)</f>
        <v>XXXX</v>
      </c>
      <c r="O88" s="491" t="str">
        <f>IF('[3]BASE'!FY89="","",'[3]BASE'!FY89)</f>
        <v>XXXX</v>
      </c>
      <c r="P88" s="491" t="str">
        <f>IF('[3]BASE'!FZ89="","",'[3]BASE'!FZ89)</f>
        <v>XXXX</v>
      </c>
      <c r="Q88" s="491" t="str">
        <f>IF('[3]BASE'!GA89="","",'[3]BASE'!GA89)</f>
        <v>XXXX</v>
      </c>
      <c r="R88" s="491" t="str">
        <f>IF('[3]BASE'!GB89="","",'[3]BASE'!GB89)</f>
        <v>XXXX</v>
      </c>
      <c r="S88" s="491" t="str">
        <f>IF('[3]BASE'!GC89="","",'[3]BASE'!GC89)</f>
        <v>XXXX</v>
      </c>
      <c r="T88" s="491" t="str">
        <f>IF('[3]BASE'!GD89="","",'[3]BASE'!GD89)</f>
        <v>XXXX</v>
      </c>
      <c r="U88" s="492"/>
      <c r="V88" s="489"/>
    </row>
    <row r="89" spans="2:22" s="483" customFormat="1" ht="19.5" customHeight="1">
      <c r="B89" s="484"/>
      <c r="C89" s="490">
        <f>IF('[3]BASE'!C90="","",'[3]BASE'!C90)</f>
        <v>74</v>
      </c>
      <c r="D89" s="490">
        <f>IF('[3]BASE'!D90="","",'[3]BASE'!D90)</f>
        <v>2957</v>
      </c>
      <c r="E89" s="490" t="str">
        <f>IF('[3]BASE'!E90="","",'[3]BASE'!E90)</f>
        <v>SAN PEDRO - EASTMAN T</v>
      </c>
      <c r="F89" s="490">
        <f>IF('[3]BASE'!F90="","",'[3]BASE'!F90)</f>
        <v>132</v>
      </c>
      <c r="G89" s="490">
        <f>IF('[3]BASE'!G90="","",'[3]BASE'!G90)</f>
        <v>63.1</v>
      </c>
      <c r="H89" s="490" t="str">
        <f>IF('[3]BASE'!H90="","",'[3]BASE'!H90)</f>
        <v>C</v>
      </c>
      <c r="I89" s="491" t="str">
        <f>IF('[3]BASE'!FS90="","",'[3]BASE'!FS90)</f>
        <v>XXXX</v>
      </c>
      <c r="J89" s="491" t="str">
        <f>IF('[3]BASE'!FT90="","",'[3]BASE'!FT90)</f>
        <v>XXXX</v>
      </c>
      <c r="K89" s="491" t="str">
        <f>IF('[3]BASE'!FU90="","",'[3]BASE'!FU90)</f>
        <v>XXXX</v>
      </c>
      <c r="L89" s="491" t="str">
        <f>IF('[3]BASE'!FV90="","",'[3]BASE'!FV90)</f>
        <v>XXXX</v>
      </c>
      <c r="M89" s="491" t="str">
        <f>IF('[3]BASE'!FW90="","",'[3]BASE'!FW90)</f>
        <v>XXXX</v>
      </c>
      <c r="N89" s="491" t="str">
        <f>IF('[3]BASE'!FX90="","",'[3]BASE'!FX90)</f>
        <v>XXXX</v>
      </c>
      <c r="O89" s="491" t="str">
        <f>IF('[3]BASE'!FY90="","",'[3]BASE'!FY90)</f>
        <v>XXXX</v>
      </c>
      <c r="P89" s="491" t="str">
        <f>IF('[3]BASE'!FZ90="","",'[3]BASE'!FZ90)</f>
        <v>XXXX</v>
      </c>
      <c r="Q89" s="491" t="str">
        <f>IF('[3]BASE'!GA90="","",'[3]BASE'!GA90)</f>
        <v>XXXX</v>
      </c>
      <c r="R89" s="491" t="str">
        <f>IF('[3]BASE'!GB90="","",'[3]BASE'!GB90)</f>
        <v>XXXX</v>
      </c>
      <c r="S89" s="491" t="str">
        <f>IF('[3]BASE'!GC90="","",'[3]BASE'!GC90)</f>
        <v>XXXX</v>
      </c>
      <c r="T89" s="491" t="str">
        <f>IF('[3]BASE'!GD90="","",'[3]BASE'!GD90)</f>
        <v>XXXX</v>
      </c>
      <c r="U89" s="492"/>
      <c r="V89" s="489"/>
    </row>
    <row r="90" spans="2:22" s="483" customFormat="1" ht="19.5" customHeight="1">
      <c r="B90" s="484"/>
      <c r="C90" s="490">
        <f>IF('[3]BASE'!C91="","",'[3]BASE'!C91)</f>
        <v>75</v>
      </c>
      <c r="D90" s="490">
        <f>IF('[3]BASE'!D91="","",'[3]BASE'!D91)</f>
        <v>1427</v>
      </c>
      <c r="E90" s="490" t="str">
        <f>IF('[3]BASE'!E91="","",'[3]BASE'!E91)</f>
        <v>SAN PEDRO - PAPEL PRENSA</v>
      </c>
      <c r="F90" s="490">
        <f>IF('[3]BASE'!F91="","",'[3]BASE'!F91)</f>
        <v>132</v>
      </c>
      <c r="G90" s="490">
        <f>IF('[3]BASE'!G91="","",'[3]BASE'!G91)</f>
        <v>10.9</v>
      </c>
      <c r="H90" s="490" t="str">
        <f>IF('[3]BASE'!H91="","",'[3]BASE'!H91)</f>
        <v>B</v>
      </c>
      <c r="I90" s="491">
        <f>IF('[3]BASE'!FS91="","",'[3]BASE'!FS91)</f>
      </c>
      <c r="J90" s="491">
        <f>IF('[3]BASE'!FT91="","",'[3]BASE'!FT91)</f>
      </c>
      <c r="K90" s="491">
        <f>IF('[3]BASE'!FU91="","",'[3]BASE'!FU91)</f>
      </c>
      <c r="L90" s="491">
        <f>IF('[3]BASE'!FV91="","",'[3]BASE'!FV91)</f>
      </c>
      <c r="M90" s="491">
        <f>IF('[3]BASE'!FW91="","",'[3]BASE'!FW91)</f>
      </c>
      <c r="N90" s="491">
        <f>IF('[3]BASE'!FX91="","",'[3]BASE'!FX91)</f>
      </c>
      <c r="O90" s="491">
        <f>IF('[3]BASE'!FY91="","",'[3]BASE'!FY91)</f>
      </c>
      <c r="P90" s="491">
        <f>IF('[3]BASE'!FZ91="","",'[3]BASE'!FZ91)</f>
      </c>
      <c r="Q90" s="491">
        <f>IF('[3]BASE'!GA91="","",'[3]BASE'!GA91)</f>
      </c>
      <c r="R90" s="491">
        <f>IF('[3]BASE'!GB91="","",'[3]BASE'!GB91)</f>
      </c>
      <c r="S90" s="491">
        <f>IF('[3]BASE'!GC91="","",'[3]BASE'!GC91)</f>
      </c>
      <c r="T90" s="491">
        <f>IF('[3]BASE'!GD91="","",'[3]BASE'!GD91)</f>
      </c>
      <c r="U90" s="492"/>
      <c r="V90" s="489"/>
    </row>
    <row r="91" spans="2:22" s="483" customFormat="1" ht="19.5" customHeight="1">
      <c r="B91" s="484"/>
      <c r="C91" s="490">
        <f>IF('[3]BASE'!C92="","",'[3]BASE'!C92)</f>
        <v>76</v>
      </c>
      <c r="D91" s="490" t="str">
        <f>IF('[3]BASE'!D92="","",'[3]BASE'!D92)</f>
        <v>CE-000</v>
      </c>
      <c r="E91" s="490" t="str">
        <f>IF('[3]BASE'!E92="","",'[3]BASE'!E92)</f>
        <v>SAN PEDRO - SAN NICOLÁS</v>
      </c>
      <c r="F91" s="490">
        <f>IF('[3]BASE'!F92="","",'[3]BASE'!F92)</f>
        <v>132</v>
      </c>
      <c r="G91" s="490">
        <f>IF('[3]BASE'!G92="","",'[3]BASE'!G92)</f>
        <v>65</v>
      </c>
      <c r="H91" s="490" t="str">
        <f>IF('[3]BASE'!H92="","",'[3]BASE'!H92)</f>
        <v>C</v>
      </c>
      <c r="I91" s="491" t="str">
        <f>IF('[3]BASE'!FS92="","",'[3]BASE'!FS92)</f>
        <v>XXXX</v>
      </c>
      <c r="J91" s="491" t="str">
        <f>IF('[3]BASE'!FT92="","",'[3]BASE'!FT92)</f>
        <v>XXXX</v>
      </c>
      <c r="K91" s="491" t="str">
        <f>IF('[3]BASE'!FU92="","",'[3]BASE'!FU92)</f>
        <v>XXXX</v>
      </c>
      <c r="L91" s="491" t="str">
        <f>IF('[3]BASE'!FV92="","",'[3]BASE'!FV92)</f>
        <v>XXXX</v>
      </c>
      <c r="M91" s="491" t="str">
        <f>IF('[3]BASE'!FW92="","",'[3]BASE'!FW92)</f>
        <v>XXXX</v>
      </c>
      <c r="N91" s="491" t="str">
        <f>IF('[3]BASE'!FX92="","",'[3]BASE'!FX92)</f>
        <v>XXXX</v>
      </c>
      <c r="O91" s="491" t="str">
        <f>IF('[3]BASE'!FY92="","",'[3]BASE'!FY92)</f>
        <v>XXXX</v>
      </c>
      <c r="P91" s="491" t="str">
        <f>IF('[3]BASE'!FZ92="","",'[3]BASE'!FZ92)</f>
        <v>XXXX</v>
      </c>
      <c r="Q91" s="491" t="str">
        <f>IF('[3]BASE'!GA92="","",'[3]BASE'!GA92)</f>
        <v>XXXX</v>
      </c>
      <c r="R91" s="491" t="str">
        <f>IF('[3]BASE'!GB92="","",'[3]BASE'!GB92)</f>
        <v>XXXX</v>
      </c>
      <c r="S91" s="491" t="str">
        <f>IF('[3]BASE'!GC92="","",'[3]BASE'!GC92)</f>
        <v>XXXX</v>
      </c>
      <c r="T91" s="491" t="str">
        <f>IF('[3]BASE'!GD92="","",'[3]BASE'!GD92)</f>
        <v>XXXX</v>
      </c>
      <c r="U91" s="492"/>
      <c r="V91" s="489"/>
    </row>
    <row r="92" spans="2:22" s="483" customFormat="1" ht="19.5" customHeight="1">
      <c r="B92" s="484"/>
      <c r="C92" s="490">
        <f>IF('[3]BASE'!C93="","",'[3]BASE'!C93)</f>
        <v>77</v>
      </c>
      <c r="D92" s="490">
        <f>IF('[3]BASE'!D93="","",'[3]BASE'!D93)</f>
        <v>4277</v>
      </c>
      <c r="E92" s="490" t="str">
        <f>IF('[3]BASE'!E93="","",'[3]BASE'!E93)</f>
        <v>SAN PEDRO - RAMALLO INDUSTRIAL</v>
      </c>
      <c r="F92" s="490">
        <f>IF('[3]BASE'!F93="","",'[3]BASE'!F93)</f>
        <v>132</v>
      </c>
      <c r="G92" s="490">
        <f>IF('[3]BASE'!G93="","",'[3]BASE'!G93)</f>
        <v>58</v>
      </c>
      <c r="H92" s="490" t="str">
        <f>IF('[3]BASE'!H93="","",'[3]BASE'!H93)</f>
        <v>C</v>
      </c>
      <c r="I92" s="491">
        <f>IF('[3]BASE'!FS93="","",'[3]BASE'!FS93)</f>
      </c>
      <c r="J92" s="491">
        <f>IF('[3]BASE'!FT93="","",'[3]BASE'!FT93)</f>
      </c>
      <c r="K92" s="491">
        <f>IF('[3]BASE'!FU93="","",'[3]BASE'!FU93)</f>
      </c>
      <c r="L92" s="491">
        <f>IF('[3]BASE'!FV93="","",'[3]BASE'!FV93)</f>
      </c>
      <c r="M92" s="491">
        <f>IF('[3]BASE'!FW93="","",'[3]BASE'!FW93)</f>
      </c>
      <c r="N92" s="491">
        <f>IF('[3]BASE'!FX93="","",'[3]BASE'!FX93)</f>
      </c>
      <c r="O92" s="491">
        <f>IF('[3]BASE'!FY93="","",'[3]BASE'!FY93)</f>
      </c>
      <c r="P92" s="491">
        <f>IF('[3]BASE'!FZ93="","",'[3]BASE'!FZ93)</f>
      </c>
      <c r="Q92" s="491">
        <f>IF('[3]BASE'!GA93="","",'[3]BASE'!GA93)</f>
      </c>
      <c r="R92" s="491">
        <f>IF('[3]BASE'!GB93="","",'[3]BASE'!GB93)</f>
      </c>
      <c r="S92" s="491">
        <f>IF('[3]BASE'!GC93="","",'[3]BASE'!GC93)</f>
      </c>
      <c r="T92" s="491">
        <f>IF('[3]BASE'!GD93="","",'[3]BASE'!GD93)</f>
      </c>
      <c r="U92" s="492"/>
      <c r="V92" s="489"/>
    </row>
    <row r="93" spans="2:22" s="483" customFormat="1" ht="19.5" customHeight="1">
      <c r="B93" s="484"/>
      <c r="C93" s="490">
        <f>IF('[3]BASE'!C94="","",'[3]BASE'!C94)</f>
        <v>78</v>
      </c>
      <c r="D93" s="490">
        <f>IF('[3]BASE'!D94="","",'[3]BASE'!D94)</f>
        <v>4278</v>
      </c>
      <c r="E93" s="490" t="str">
        <f>IF('[3]BASE'!E94="","",'[3]BASE'!E94)</f>
        <v>SAN NICOLÁS - RAMALLO INDUSTRIAL</v>
      </c>
      <c r="F93" s="490">
        <f>IF('[3]BASE'!F94="","",'[3]BASE'!F94)</f>
        <v>132</v>
      </c>
      <c r="G93" s="490">
        <f>IF('[3]BASE'!G94="","",'[3]BASE'!G94)</f>
        <v>23.52</v>
      </c>
      <c r="H93" s="490" t="str">
        <f>IF('[3]BASE'!H94="","",'[3]BASE'!H94)</f>
        <v>C</v>
      </c>
      <c r="I93" s="491" t="str">
        <f>IF('[3]BASE'!FS94="","",'[3]BASE'!FS94)</f>
        <v>XXXX</v>
      </c>
      <c r="J93" s="491" t="str">
        <f>IF('[3]BASE'!FT94="","",'[3]BASE'!FT94)</f>
        <v>XXXX</v>
      </c>
      <c r="K93" s="491" t="str">
        <f>IF('[3]BASE'!FU94="","",'[3]BASE'!FU94)</f>
        <v>XXXX</v>
      </c>
      <c r="L93" s="491" t="str">
        <f>IF('[3]BASE'!FV94="","",'[3]BASE'!FV94)</f>
        <v>XXXX</v>
      </c>
      <c r="M93" s="491" t="str">
        <f>IF('[3]BASE'!FW94="","",'[3]BASE'!FW94)</f>
        <v>XXXX</v>
      </c>
      <c r="N93" s="491" t="str">
        <f>IF('[3]BASE'!FX94="","",'[3]BASE'!FX94)</f>
        <v>XXXX</v>
      </c>
      <c r="O93" s="491" t="str">
        <f>IF('[3]BASE'!FY94="","",'[3]BASE'!FY94)</f>
        <v>XXXX</v>
      </c>
      <c r="P93" s="491" t="str">
        <f>IF('[3]BASE'!FZ94="","",'[3]BASE'!FZ94)</f>
        <v>XXXX</v>
      </c>
      <c r="Q93" s="491" t="str">
        <f>IF('[3]BASE'!GA94="","",'[3]BASE'!GA94)</f>
        <v>XXXX</v>
      </c>
      <c r="R93" s="491" t="str">
        <f>IF('[3]BASE'!GB94="","",'[3]BASE'!GB94)</f>
        <v>XXXX</v>
      </c>
      <c r="S93" s="491" t="str">
        <f>IF('[3]BASE'!GC94="","",'[3]BASE'!GC94)</f>
        <v>XXXX</v>
      </c>
      <c r="T93" s="491" t="str">
        <f>IF('[3]BASE'!GD94="","",'[3]BASE'!GD94)</f>
        <v>XXXX</v>
      </c>
      <c r="U93" s="492"/>
      <c r="V93" s="489"/>
    </row>
    <row r="94" spans="2:22" s="483" customFormat="1" ht="19.5" customHeight="1">
      <c r="B94" s="484"/>
      <c r="C94" s="490">
        <f>IF('[3]BASE'!C95="","",'[3]BASE'!C95)</f>
        <v>79</v>
      </c>
      <c r="D94" s="490">
        <f>IF('[3]BASE'!D95="","",'[3]BASE'!D95)</f>
        <v>1517</v>
      </c>
      <c r="E94" s="490" t="str">
        <f>IF('[3]BASE'!E95="","",'[3]BASE'!E95)</f>
        <v>TANDIL - BALCARCE</v>
      </c>
      <c r="F94" s="490">
        <f>IF('[3]BASE'!F95="","",'[3]BASE'!F95)</f>
        <v>132</v>
      </c>
      <c r="G94" s="490">
        <f>IF('[3]BASE'!G95="","",'[3]BASE'!G95)</f>
        <v>103.6</v>
      </c>
      <c r="H94" s="490" t="str">
        <f>IF('[3]BASE'!H95="","",'[3]BASE'!H95)</f>
        <v>C</v>
      </c>
      <c r="I94" s="491">
        <f>IF('[3]BASE'!FS95="","",'[3]BASE'!FS95)</f>
      </c>
      <c r="J94" s="491">
        <f>IF('[3]BASE'!FT95="","",'[3]BASE'!FT95)</f>
      </c>
      <c r="K94" s="491">
        <f>IF('[3]BASE'!FU95="","",'[3]BASE'!FU95)</f>
      </c>
      <c r="L94" s="491">
        <f>IF('[3]BASE'!FV95="","",'[3]BASE'!FV95)</f>
      </c>
      <c r="M94" s="491">
        <f>IF('[3]BASE'!FW95="","",'[3]BASE'!FW95)</f>
      </c>
      <c r="N94" s="491">
        <f>IF('[3]BASE'!FX95="","",'[3]BASE'!FX95)</f>
      </c>
      <c r="O94" s="491">
        <f>IF('[3]BASE'!FY95="","",'[3]BASE'!FY95)</f>
      </c>
      <c r="P94" s="491">
        <f>IF('[3]BASE'!FZ95="","",'[3]BASE'!FZ95)</f>
      </c>
      <c r="Q94" s="491">
        <f>IF('[3]BASE'!GA95="","",'[3]BASE'!GA95)</f>
      </c>
      <c r="R94" s="491">
        <f>IF('[3]BASE'!GB95="","",'[3]BASE'!GB95)</f>
      </c>
      <c r="S94" s="491">
        <f>IF('[3]BASE'!GC95="","",'[3]BASE'!GC95)</f>
      </c>
      <c r="T94" s="491">
        <f>IF('[3]BASE'!GD95="","",'[3]BASE'!GD95)</f>
      </c>
      <c r="U94" s="492"/>
      <c r="V94" s="489"/>
    </row>
    <row r="95" spans="2:22" s="483" customFormat="1" ht="19.5" customHeight="1">
      <c r="B95" s="484"/>
      <c r="C95" s="490">
        <f>IF('[3]BASE'!C96="","",'[3]BASE'!C96)</f>
        <v>80</v>
      </c>
      <c r="D95" s="490">
        <f>IF('[3]BASE'!D96="","",'[3]BASE'!D96)</f>
        <v>1519</v>
      </c>
      <c r="E95" s="490" t="str">
        <f>IF('[3]BASE'!E96="","",'[3]BASE'!E96)</f>
        <v>TANDIL - NECOCHEA</v>
      </c>
      <c r="F95" s="490">
        <f>IF('[3]BASE'!F96="","",'[3]BASE'!F96)</f>
        <v>132</v>
      </c>
      <c r="G95" s="490">
        <f>IF('[3]BASE'!G96="","",'[3]BASE'!G96)</f>
        <v>149.2</v>
      </c>
      <c r="H95" s="490" t="str">
        <f>IF('[3]BASE'!H96="","",'[3]BASE'!H96)</f>
        <v>C</v>
      </c>
      <c r="I95" s="491">
        <f>IF('[3]BASE'!FS96="","",'[3]BASE'!FS96)</f>
      </c>
      <c r="J95" s="491">
        <f>IF('[3]BASE'!FT96="","",'[3]BASE'!FT96)</f>
        <v>1</v>
      </c>
      <c r="K95" s="491">
        <f>IF('[3]BASE'!FU96="","",'[3]BASE'!FU96)</f>
      </c>
      <c r="L95" s="491">
        <f>IF('[3]BASE'!FV96="","",'[3]BASE'!FV96)</f>
      </c>
      <c r="M95" s="491">
        <f>IF('[3]BASE'!FW96="","",'[3]BASE'!FW96)</f>
      </c>
      <c r="N95" s="491">
        <f>IF('[3]BASE'!FX96="","",'[3]BASE'!FX96)</f>
      </c>
      <c r="O95" s="491">
        <f>IF('[3]BASE'!FY96="","",'[3]BASE'!FY96)</f>
        <v>1</v>
      </c>
      <c r="P95" s="491">
        <f>IF('[3]BASE'!FZ96="","",'[3]BASE'!FZ96)</f>
        <v>1</v>
      </c>
      <c r="Q95" s="491">
        <f>IF('[3]BASE'!GA96="","",'[3]BASE'!GA96)</f>
      </c>
      <c r="R95" s="491">
        <f>IF('[3]BASE'!GB96="","",'[3]BASE'!GB96)</f>
      </c>
      <c r="S95" s="491">
        <f>IF('[3]BASE'!GC96="","",'[3]BASE'!GC96)</f>
      </c>
      <c r="T95" s="491">
        <f>IF('[3]BASE'!GD96="","",'[3]BASE'!GD96)</f>
        <v>1</v>
      </c>
      <c r="U95" s="492"/>
      <c r="V95" s="489"/>
    </row>
    <row r="96" spans="2:22" s="483" customFormat="1" ht="19.5" customHeight="1">
      <c r="B96" s="484"/>
      <c r="C96" s="490">
        <f>IF('[3]BASE'!C97="","",'[3]BASE'!C97)</f>
        <v>81</v>
      </c>
      <c r="D96" s="490">
        <f>IF('[3]BASE'!D97="","",'[3]BASE'!D97)</f>
        <v>1518</v>
      </c>
      <c r="E96" s="490" t="str">
        <f>IF('[3]BASE'!E97="","",'[3]BASE'!E97)</f>
        <v>TANDIL - BARKER</v>
      </c>
      <c r="F96" s="490">
        <f>IF('[3]BASE'!F97="","",'[3]BASE'!F97)</f>
        <v>132</v>
      </c>
      <c r="G96" s="490">
        <f>IF('[3]BASE'!G97="","",'[3]BASE'!G97)</f>
        <v>47.7</v>
      </c>
      <c r="H96" s="490" t="str">
        <f>IF('[3]BASE'!H97="","",'[3]BASE'!H97)</f>
        <v>C</v>
      </c>
      <c r="I96" s="491">
        <f>IF('[3]BASE'!FS97="","",'[3]BASE'!FS97)</f>
      </c>
      <c r="J96" s="491">
        <f>IF('[3]BASE'!FT97="","",'[3]BASE'!FT97)</f>
      </c>
      <c r="K96" s="491">
        <f>IF('[3]BASE'!FU97="","",'[3]BASE'!FU97)</f>
      </c>
      <c r="L96" s="491">
        <f>IF('[3]BASE'!FV97="","",'[3]BASE'!FV97)</f>
      </c>
      <c r="M96" s="491">
        <f>IF('[3]BASE'!FW97="","",'[3]BASE'!FW97)</f>
      </c>
      <c r="N96" s="491">
        <f>IF('[3]BASE'!FX97="","",'[3]BASE'!FX97)</f>
      </c>
      <c r="O96" s="491">
        <f>IF('[3]BASE'!FY97="","",'[3]BASE'!FY97)</f>
        <v>1</v>
      </c>
      <c r="P96" s="491">
        <f>IF('[3]BASE'!FZ97="","",'[3]BASE'!FZ97)</f>
      </c>
      <c r="Q96" s="491">
        <f>IF('[3]BASE'!GA97="","",'[3]BASE'!GA97)</f>
      </c>
      <c r="R96" s="491">
        <f>IF('[3]BASE'!GB97="","",'[3]BASE'!GB97)</f>
      </c>
      <c r="S96" s="491">
        <f>IF('[3]BASE'!GC97="","",'[3]BASE'!GC97)</f>
      </c>
      <c r="T96" s="491">
        <f>IF('[3]BASE'!GD97="","",'[3]BASE'!GD97)</f>
      </c>
      <c r="U96" s="492"/>
      <c r="V96" s="489"/>
    </row>
    <row r="97" spans="2:22" s="483" customFormat="1" ht="19.5" customHeight="1">
      <c r="B97" s="484"/>
      <c r="C97" s="490">
        <f>IF('[3]BASE'!C98="","",'[3]BASE'!C98)</f>
        <v>82</v>
      </c>
      <c r="D97" s="490">
        <f>IF('[3]BASE'!D98="","",'[3]BASE'!D98)</f>
        <v>2712</v>
      </c>
      <c r="E97" s="490" t="str">
        <f>IF('[3]BASE'!E98="","",'[3]BASE'!E98)</f>
        <v>TRENQUE LAUQUEN - GRAL. PICO</v>
      </c>
      <c r="F97" s="490">
        <f>IF('[3]BASE'!F98="","",'[3]BASE'!F98)</f>
        <v>132</v>
      </c>
      <c r="G97" s="490">
        <f>IF('[3]BASE'!G98="","",'[3]BASE'!G98)</f>
        <v>77</v>
      </c>
      <c r="H97" s="490" t="str">
        <f>IF('[3]BASE'!H98="","",'[3]BASE'!H98)</f>
        <v>C</v>
      </c>
      <c r="I97" s="491">
        <f>IF('[3]BASE'!FS98="","",'[3]BASE'!FS98)</f>
      </c>
      <c r="J97" s="491">
        <f>IF('[3]BASE'!FT98="","",'[3]BASE'!FT98)</f>
      </c>
      <c r="K97" s="491">
        <f>IF('[3]BASE'!FU98="","",'[3]BASE'!FU98)</f>
      </c>
      <c r="L97" s="491">
        <f>IF('[3]BASE'!FV98="","",'[3]BASE'!FV98)</f>
      </c>
      <c r="M97" s="491">
        <f>IF('[3]BASE'!FW98="","",'[3]BASE'!FW98)</f>
      </c>
      <c r="N97" s="491">
        <f>IF('[3]BASE'!FX98="","",'[3]BASE'!FX98)</f>
      </c>
      <c r="O97" s="491">
        <f>IF('[3]BASE'!FY98="","",'[3]BASE'!FY98)</f>
      </c>
      <c r="P97" s="491">
        <f>IF('[3]BASE'!FZ98="","",'[3]BASE'!FZ98)</f>
      </c>
      <c r="Q97" s="491">
        <f>IF('[3]BASE'!GA98="","",'[3]BASE'!GA98)</f>
      </c>
      <c r="R97" s="491">
        <f>IF('[3]BASE'!GB98="","",'[3]BASE'!GB98)</f>
      </c>
      <c r="S97" s="491">
        <f>IF('[3]BASE'!GC98="","",'[3]BASE'!GC98)</f>
      </c>
      <c r="T97" s="491">
        <f>IF('[3]BASE'!GD98="","",'[3]BASE'!GD98)</f>
      </c>
      <c r="U97" s="492"/>
      <c r="V97" s="489"/>
    </row>
    <row r="98" spans="2:22" s="483" customFormat="1" ht="19.5" customHeight="1">
      <c r="B98" s="484"/>
      <c r="C98" s="490">
        <f>IF('[3]BASE'!C99="","",'[3]BASE'!C99)</f>
        <v>83</v>
      </c>
      <c r="D98" s="490">
        <f>IF('[3]BASE'!D99="","",'[3]BASE'!D99)</f>
        <v>1402</v>
      </c>
      <c r="E98" s="490" t="str">
        <f>IF('[3]BASE'!E99="","",'[3]BASE'!E99)</f>
        <v>TRENQUE LAUQUEN - HENDERSON</v>
      </c>
      <c r="F98" s="490">
        <f>IF('[3]BASE'!F99="","",'[3]BASE'!F99)</f>
        <v>132</v>
      </c>
      <c r="G98" s="490">
        <f>IF('[3]BASE'!G99="","",'[3]BASE'!G99)</f>
        <v>105.4</v>
      </c>
      <c r="H98" s="490" t="str">
        <f>IF('[3]BASE'!H99="","",'[3]BASE'!H99)</f>
        <v>A</v>
      </c>
      <c r="I98" s="491">
        <f>IF('[3]BASE'!FS99="","",'[3]BASE'!FS99)</f>
      </c>
      <c r="J98" s="491">
        <f>IF('[3]BASE'!FT99="","",'[3]BASE'!FT99)</f>
      </c>
      <c r="K98" s="491">
        <f>IF('[3]BASE'!FU99="","",'[3]BASE'!FU99)</f>
      </c>
      <c r="L98" s="491">
        <f>IF('[3]BASE'!FV99="","",'[3]BASE'!FV99)</f>
      </c>
      <c r="M98" s="491">
        <f>IF('[3]BASE'!FW99="","",'[3]BASE'!FW99)</f>
      </c>
      <c r="N98" s="491">
        <f>IF('[3]BASE'!FX99="","",'[3]BASE'!FX99)</f>
      </c>
      <c r="O98" s="491">
        <f>IF('[3]BASE'!FY99="","",'[3]BASE'!FY99)</f>
      </c>
      <c r="P98" s="491">
        <f>IF('[3]BASE'!FZ99="","",'[3]BASE'!FZ99)</f>
        <v>1</v>
      </c>
      <c r="Q98" s="491">
        <f>IF('[3]BASE'!GA99="","",'[3]BASE'!GA99)</f>
      </c>
      <c r="R98" s="491">
        <f>IF('[3]BASE'!GB99="","",'[3]BASE'!GB99)</f>
      </c>
      <c r="S98" s="491">
        <f>IF('[3]BASE'!GC99="","",'[3]BASE'!GC99)</f>
      </c>
      <c r="T98" s="491">
        <f>IF('[3]BASE'!GD99="","",'[3]BASE'!GD99)</f>
      </c>
      <c r="U98" s="492"/>
      <c r="V98" s="489"/>
    </row>
    <row r="99" spans="2:22" s="483" customFormat="1" ht="19.5" customHeight="1">
      <c r="B99" s="484"/>
      <c r="C99" s="490">
        <f>IF('[3]BASE'!C100="","",'[3]BASE'!C100)</f>
        <v>84</v>
      </c>
      <c r="D99" s="490">
        <f>IF('[3]BASE'!D100="","",'[3]BASE'!D100)</f>
        <v>1382</v>
      </c>
      <c r="E99" s="490" t="str">
        <f>IF('[3]BASE'!E100="","",'[3]BASE'!E100)</f>
        <v>URBANA SAN NICOLÁS - SAN NICOLAS</v>
      </c>
      <c r="F99" s="490">
        <f>IF('[3]BASE'!F100="","",'[3]BASE'!F100)</f>
        <v>132</v>
      </c>
      <c r="G99" s="490">
        <f>IF('[3]BASE'!G100="","",'[3]BASE'!G100)</f>
        <v>6.5</v>
      </c>
      <c r="H99" s="490" t="str">
        <f>IF('[3]BASE'!H100="","",'[3]BASE'!H100)</f>
        <v>C</v>
      </c>
      <c r="I99" s="491">
        <f>IF('[3]BASE'!FS100="","",'[3]BASE'!FS100)</f>
      </c>
      <c r="J99" s="491">
        <f>IF('[3]BASE'!FT100="","",'[3]BASE'!FT100)</f>
      </c>
      <c r="K99" s="491">
        <f>IF('[3]BASE'!FU100="","",'[3]BASE'!FU100)</f>
      </c>
      <c r="L99" s="491">
        <f>IF('[3]BASE'!FV100="","",'[3]BASE'!FV100)</f>
      </c>
      <c r="M99" s="491">
        <f>IF('[3]BASE'!FW100="","",'[3]BASE'!FW100)</f>
      </c>
      <c r="N99" s="491">
        <f>IF('[3]BASE'!FX100="","",'[3]BASE'!FX100)</f>
      </c>
      <c r="O99" s="491">
        <f>IF('[3]BASE'!FY100="","",'[3]BASE'!FY100)</f>
      </c>
      <c r="P99" s="491">
        <f>IF('[3]BASE'!FZ100="","",'[3]BASE'!FZ100)</f>
      </c>
      <c r="Q99" s="491">
        <f>IF('[3]BASE'!GA100="","",'[3]BASE'!GA100)</f>
      </c>
      <c r="R99" s="491">
        <f>IF('[3]BASE'!GB100="","",'[3]BASE'!GB100)</f>
      </c>
      <c r="S99" s="491">
        <f>IF('[3]BASE'!GC100="","",'[3]BASE'!GC100)</f>
      </c>
      <c r="T99" s="491">
        <f>IF('[3]BASE'!GD100="","",'[3]BASE'!GD100)</f>
      </c>
      <c r="U99" s="492"/>
      <c r="V99" s="489"/>
    </row>
    <row r="100" spans="2:22" s="483" customFormat="1" ht="19.5" customHeight="1">
      <c r="B100" s="484"/>
      <c r="C100" s="490">
        <f>IF('[3]BASE'!C101="","",'[3]BASE'!C101)</f>
        <v>85</v>
      </c>
      <c r="D100" s="490">
        <f>IF('[3]BASE'!D101="","",'[3]BASE'!D101)</f>
        <v>1547</v>
      </c>
      <c r="E100" s="490" t="str">
        <f>IF('[3]BASE'!E101="","",'[3]BASE'!E101)</f>
        <v>URBANA BB - C. PIEDRABUENA</v>
      </c>
      <c r="F100" s="490">
        <f>IF('[3]BASE'!F101="","",'[3]BASE'!F101)</f>
        <v>132</v>
      </c>
      <c r="G100" s="490">
        <f>IF('[3]BASE'!G101="","",'[3]BASE'!G101)</f>
        <v>1.9</v>
      </c>
      <c r="H100" s="490" t="str">
        <f>IF('[3]BASE'!H101="","",'[3]BASE'!H101)</f>
        <v>C</v>
      </c>
      <c r="I100" s="491">
        <f>IF('[3]BASE'!FS101="","",'[3]BASE'!FS101)</f>
      </c>
      <c r="J100" s="491">
        <f>IF('[3]BASE'!FT101="","",'[3]BASE'!FT101)</f>
      </c>
      <c r="K100" s="491">
        <f>IF('[3]BASE'!FU101="","",'[3]BASE'!FU101)</f>
      </c>
      <c r="L100" s="491">
        <f>IF('[3]BASE'!FV101="","",'[3]BASE'!FV101)</f>
      </c>
      <c r="M100" s="491">
        <f>IF('[3]BASE'!FW101="","",'[3]BASE'!FW101)</f>
      </c>
      <c r="N100" s="491">
        <f>IF('[3]BASE'!FX101="","",'[3]BASE'!FX101)</f>
      </c>
      <c r="O100" s="491">
        <f>IF('[3]BASE'!FY101="","",'[3]BASE'!FY101)</f>
      </c>
      <c r="P100" s="491">
        <f>IF('[3]BASE'!FZ101="","",'[3]BASE'!FZ101)</f>
      </c>
      <c r="Q100" s="491">
        <f>IF('[3]BASE'!GA101="","",'[3]BASE'!GA101)</f>
      </c>
      <c r="R100" s="491">
        <f>IF('[3]BASE'!GB101="","",'[3]BASE'!GB101)</f>
      </c>
      <c r="S100" s="491">
        <f>IF('[3]BASE'!GC101="","",'[3]BASE'!GC101)</f>
      </c>
      <c r="T100" s="491">
        <f>IF('[3]BASE'!GD101="","",'[3]BASE'!GD101)</f>
      </c>
      <c r="U100" s="492"/>
      <c r="V100" s="489"/>
    </row>
    <row r="101" spans="2:22" s="483" customFormat="1" ht="19.5" customHeight="1">
      <c r="B101" s="484"/>
      <c r="C101" s="490">
        <f>IF('[3]BASE'!C102="","",'[3]BASE'!C102)</f>
        <v>86</v>
      </c>
      <c r="D101" s="490">
        <f>IF('[3]BASE'!D102="","",'[3]BASE'!D102)</f>
        <v>1445</v>
      </c>
      <c r="E101" s="490" t="str">
        <f>IF('[3]BASE'!E102="","",'[3]BASE'!E102)</f>
        <v>VILLA GESELL - GRAL. MADARIAGA</v>
      </c>
      <c r="F101" s="490">
        <f>IF('[3]BASE'!F102="","",'[3]BASE'!F102)</f>
        <v>132</v>
      </c>
      <c r="G101" s="490">
        <f>IF('[3]BASE'!G102="","",'[3]BASE'!G102)</f>
        <v>35</v>
      </c>
      <c r="H101" s="490" t="str">
        <f>IF('[3]BASE'!H102="","",'[3]BASE'!H102)</f>
        <v>C</v>
      </c>
      <c r="I101" s="491">
        <f>IF('[3]BASE'!FS102="","",'[3]BASE'!FS102)</f>
      </c>
      <c r="J101" s="491">
        <f>IF('[3]BASE'!FT102="","",'[3]BASE'!FT102)</f>
      </c>
      <c r="K101" s="491">
        <f>IF('[3]BASE'!FU102="","",'[3]BASE'!FU102)</f>
        <v>1</v>
      </c>
      <c r="L101" s="491">
        <f>IF('[3]BASE'!FV102="","",'[3]BASE'!FV102)</f>
      </c>
      <c r="M101" s="491">
        <f>IF('[3]BASE'!FW102="","",'[3]BASE'!FW102)</f>
      </c>
      <c r="N101" s="491">
        <f>IF('[3]BASE'!FX102="","",'[3]BASE'!FX102)</f>
      </c>
      <c r="O101" s="491">
        <f>IF('[3]BASE'!FY102="","",'[3]BASE'!FY102)</f>
      </c>
      <c r="P101" s="491">
        <f>IF('[3]BASE'!FZ102="","",'[3]BASE'!FZ102)</f>
      </c>
      <c r="Q101" s="491">
        <f>IF('[3]BASE'!GA102="","",'[3]BASE'!GA102)</f>
      </c>
      <c r="R101" s="491">
        <f>IF('[3]BASE'!GB102="","",'[3]BASE'!GB102)</f>
      </c>
      <c r="S101" s="491">
        <f>IF('[3]BASE'!GC102="","",'[3]BASE'!GC102)</f>
      </c>
      <c r="T101" s="491">
        <f>IF('[3]BASE'!GD102="","",'[3]BASE'!GD102)</f>
        <v>1</v>
      </c>
      <c r="U101" s="492"/>
      <c r="V101" s="489"/>
    </row>
    <row r="102" spans="2:22" s="483" customFormat="1" ht="19.5" customHeight="1">
      <c r="B102" s="484"/>
      <c r="C102" s="490">
        <f>IF('[3]BASE'!C103="","",'[3]BASE'!C103)</f>
        <v>87</v>
      </c>
      <c r="D102" s="490">
        <f>IF('[3]BASE'!D103="","",'[3]BASE'!D103)</f>
        <v>2715</v>
      </c>
      <c r="E102" s="490" t="str">
        <f>IF('[3]BASE'!E103="","",'[3]BASE'!E103)</f>
        <v>VILLA LIA "T" - ANTONIO DE ARECO</v>
      </c>
      <c r="F102" s="490">
        <f>IF('[3]BASE'!F103="","",'[3]BASE'!F103)</f>
        <v>132</v>
      </c>
      <c r="G102" s="490">
        <f>IF('[3]BASE'!G103="","",'[3]BASE'!G103)</f>
        <v>18.4</v>
      </c>
      <c r="H102" s="490" t="str">
        <f>IF('[3]BASE'!H103="","",'[3]BASE'!H103)</f>
        <v>C</v>
      </c>
      <c r="I102" s="491">
        <f>IF('[3]BASE'!FS103="","",'[3]BASE'!FS103)</f>
      </c>
      <c r="J102" s="491">
        <f>IF('[3]BASE'!FT103="","",'[3]BASE'!FT103)</f>
      </c>
      <c r="K102" s="491">
        <f>IF('[3]BASE'!FU103="","",'[3]BASE'!FU103)</f>
      </c>
      <c r="L102" s="491">
        <f>IF('[3]BASE'!FV103="","",'[3]BASE'!FV103)</f>
      </c>
      <c r="M102" s="491">
        <f>IF('[3]BASE'!FW103="","",'[3]BASE'!FW103)</f>
      </c>
      <c r="N102" s="491">
        <f>IF('[3]BASE'!FX103="","",'[3]BASE'!FX103)</f>
      </c>
      <c r="O102" s="491">
        <f>IF('[3]BASE'!FY103="","",'[3]BASE'!FY103)</f>
      </c>
      <c r="P102" s="491">
        <f>IF('[3]BASE'!FZ103="","",'[3]BASE'!FZ103)</f>
      </c>
      <c r="Q102" s="491">
        <f>IF('[3]BASE'!GA103="","",'[3]BASE'!GA103)</f>
      </c>
      <c r="R102" s="491">
        <f>IF('[3]BASE'!GB103="","",'[3]BASE'!GB103)</f>
      </c>
      <c r="S102" s="491">
        <f>IF('[3]BASE'!GC103="","",'[3]BASE'!GC103)</f>
      </c>
      <c r="T102" s="491">
        <f>IF('[3]BASE'!GD103="","",'[3]BASE'!GD103)</f>
      </c>
      <c r="U102" s="492"/>
      <c r="V102" s="489"/>
    </row>
    <row r="103" spans="2:22" s="483" customFormat="1" ht="19.5" customHeight="1">
      <c r="B103" s="484"/>
      <c r="C103" s="490">
        <f>IF('[3]BASE'!C104="","",'[3]BASE'!C104)</f>
        <v>88</v>
      </c>
      <c r="D103" s="490">
        <f>IF('[3]BASE'!D104="","",'[3]BASE'!D104)</f>
        <v>2714</v>
      </c>
      <c r="E103" s="490" t="str">
        <f>IF('[3]BASE'!E104="","",'[3]BASE'!E104)</f>
        <v>VILLA LIA "T" - NUEVA CAMPANA</v>
      </c>
      <c r="F103" s="490">
        <f>IF('[3]BASE'!F104="","",'[3]BASE'!F104)</f>
        <v>132</v>
      </c>
      <c r="G103" s="490">
        <f>IF('[3]BASE'!G104="","",'[3]BASE'!G104)</f>
        <v>35</v>
      </c>
      <c r="H103" s="490" t="str">
        <f>IF('[3]BASE'!H104="","",'[3]BASE'!H104)</f>
        <v>C</v>
      </c>
      <c r="I103" s="491">
        <f>IF('[3]BASE'!FS104="","",'[3]BASE'!FS104)</f>
      </c>
      <c r="J103" s="491">
        <f>IF('[3]BASE'!FT104="","",'[3]BASE'!FT104)</f>
      </c>
      <c r="K103" s="491">
        <f>IF('[3]BASE'!FU104="","",'[3]BASE'!FU104)</f>
      </c>
      <c r="L103" s="491">
        <f>IF('[3]BASE'!FV104="","",'[3]BASE'!FV104)</f>
      </c>
      <c r="M103" s="491">
        <f>IF('[3]BASE'!FW104="","",'[3]BASE'!FW104)</f>
      </c>
      <c r="N103" s="491">
        <f>IF('[3]BASE'!FX104="","",'[3]BASE'!FX104)</f>
      </c>
      <c r="O103" s="491">
        <f>IF('[3]BASE'!FY104="","",'[3]BASE'!FY104)</f>
      </c>
      <c r="P103" s="491">
        <f>IF('[3]BASE'!FZ104="","",'[3]BASE'!FZ104)</f>
      </c>
      <c r="Q103" s="491">
        <f>IF('[3]BASE'!GA104="","",'[3]BASE'!GA104)</f>
      </c>
      <c r="R103" s="491">
        <f>IF('[3]BASE'!GB104="","",'[3]BASE'!GB104)</f>
      </c>
      <c r="S103" s="491">
        <f>IF('[3]BASE'!GC104="","",'[3]BASE'!GC104)</f>
      </c>
      <c r="T103" s="491">
        <f>IF('[3]BASE'!GD104="","",'[3]BASE'!GD104)</f>
      </c>
      <c r="U103" s="492"/>
      <c r="V103" s="489"/>
    </row>
    <row r="104" spans="2:22" s="483" customFormat="1" ht="19.5" customHeight="1">
      <c r="B104" s="484"/>
      <c r="C104" s="490">
        <f>IF('[3]BASE'!C105="","",'[3]BASE'!C105)</f>
        <v>89</v>
      </c>
      <c r="D104" s="490">
        <f>IF('[3]BASE'!D105="","",'[3]BASE'!D105)</f>
        <v>2713</v>
      </c>
      <c r="E104" s="490" t="str">
        <f>IF('[3]BASE'!E105="","",'[3]BASE'!E105)</f>
        <v>VILLA LIA "T" - VILLA LIA</v>
      </c>
      <c r="F104" s="490">
        <f>IF('[3]BASE'!F105="","",'[3]BASE'!F105)</f>
        <v>132</v>
      </c>
      <c r="G104" s="490">
        <f>IF('[3]BASE'!G105="","",'[3]BASE'!G105)</f>
        <v>8</v>
      </c>
      <c r="H104" s="490" t="str">
        <f>IF('[3]BASE'!H105="","",'[3]BASE'!H105)</f>
        <v>C</v>
      </c>
      <c r="I104" s="491">
        <f>IF('[3]BASE'!FS105="","",'[3]BASE'!FS105)</f>
      </c>
      <c r="J104" s="491">
        <f>IF('[3]BASE'!FT105="","",'[3]BASE'!FT105)</f>
      </c>
      <c r="K104" s="491">
        <f>IF('[3]BASE'!FU105="","",'[3]BASE'!FU105)</f>
      </c>
      <c r="L104" s="491">
        <f>IF('[3]BASE'!FV105="","",'[3]BASE'!FV105)</f>
      </c>
      <c r="M104" s="491">
        <f>IF('[3]BASE'!FW105="","",'[3]BASE'!FW105)</f>
      </c>
      <c r="N104" s="491">
        <f>IF('[3]BASE'!FX105="","",'[3]BASE'!FX105)</f>
      </c>
      <c r="O104" s="491">
        <f>IF('[3]BASE'!FY105="","",'[3]BASE'!FY105)</f>
      </c>
      <c r="P104" s="491">
        <f>IF('[3]BASE'!FZ105="","",'[3]BASE'!FZ105)</f>
      </c>
      <c r="Q104" s="491">
        <f>IF('[3]BASE'!GA105="","",'[3]BASE'!GA105)</f>
      </c>
      <c r="R104" s="491">
        <f>IF('[3]BASE'!GB105="","",'[3]BASE'!GB105)</f>
      </c>
      <c r="S104" s="491">
        <f>IF('[3]BASE'!GC105="","",'[3]BASE'!GC105)</f>
      </c>
      <c r="T104" s="491">
        <f>IF('[3]BASE'!GD105="","",'[3]BASE'!GD105)</f>
      </c>
      <c r="U104" s="492"/>
      <c r="V104" s="489"/>
    </row>
    <row r="105" spans="2:22" s="483" customFormat="1" ht="19.5" customHeight="1">
      <c r="B105" s="484"/>
      <c r="C105" s="490">
        <f>IF('[3]BASE'!C106="","",'[3]BASE'!C106)</f>
        <v>90</v>
      </c>
      <c r="D105" s="490">
        <f>IF('[3]BASE'!D106="","",'[3]BASE'!D106)</f>
        <v>1424</v>
      </c>
      <c r="E105" s="490" t="str">
        <f>IF('[3]BASE'!E106="","",'[3]BASE'!E106)</f>
        <v>ZARATE - ATUCHA I</v>
      </c>
      <c r="F105" s="490">
        <f>IF('[3]BASE'!F106="","",'[3]BASE'!F106)</f>
        <v>132</v>
      </c>
      <c r="G105" s="490">
        <f>IF('[3]BASE'!G106="","",'[3]BASE'!G106)</f>
        <v>22.1</v>
      </c>
      <c r="H105" s="490" t="str">
        <f>IF('[3]BASE'!H106="","",'[3]BASE'!H106)</f>
        <v>C</v>
      </c>
      <c r="I105" s="491">
        <f>IF('[3]BASE'!FS106="","",'[3]BASE'!FS106)</f>
      </c>
      <c r="J105" s="491">
        <f>IF('[3]BASE'!FT106="","",'[3]BASE'!FT106)</f>
      </c>
      <c r="K105" s="491">
        <f>IF('[3]BASE'!FU106="","",'[3]BASE'!FU106)</f>
      </c>
      <c r="L105" s="491">
        <f>IF('[3]BASE'!FV106="","",'[3]BASE'!FV106)</f>
      </c>
      <c r="M105" s="491">
        <f>IF('[3]BASE'!FW106="","",'[3]BASE'!FW106)</f>
      </c>
      <c r="N105" s="491">
        <f>IF('[3]BASE'!FX106="","",'[3]BASE'!FX106)</f>
      </c>
      <c r="O105" s="491">
        <f>IF('[3]BASE'!FY106="","",'[3]BASE'!FY106)</f>
      </c>
      <c r="P105" s="491">
        <f>IF('[3]BASE'!FZ106="","",'[3]BASE'!FZ106)</f>
      </c>
      <c r="Q105" s="491">
        <f>IF('[3]BASE'!GA106="","",'[3]BASE'!GA106)</f>
      </c>
      <c r="R105" s="491">
        <f>IF('[3]BASE'!GB106="","",'[3]BASE'!GB106)</f>
      </c>
      <c r="S105" s="491">
        <f>IF('[3]BASE'!GC106="","",'[3]BASE'!GC106)</f>
      </c>
      <c r="T105" s="491">
        <f>IF('[3]BASE'!GD106="","",'[3]BASE'!GD106)</f>
      </c>
      <c r="U105" s="492"/>
      <c r="V105" s="489"/>
    </row>
    <row r="106" spans="2:22" s="483" customFormat="1" ht="19.5" customHeight="1">
      <c r="B106" s="484"/>
      <c r="C106" s="490">
        <f>IF('[3]BASE'!C107="","",'[3]BASE'!C107)</f>
        <v>91</v>
      </c>
      <c r="D106" s="490">
        <f>IF('[3]BASE'!D107="","",'[3]BASE'!D107)</f>
        <v>2955</v>
      </c>
      <c r="E106" s="490" t="str">
        <f>IF('[3]BASE'!E107="","",'[3]BASE'!E107)</f>
        <v>ZARATE - EASTMAN T</v>
      </c>
      <c r="F106" s="490">
        <f>IF('[3]BASE'!F107="","",'[3]BASE'!F107)</f>
        <v>132</v>
      </c>
      <c r="G106" s="490">
        <f>IF('[3]BASE'!G107="","",'[3]BASE'!G107)</f>
        <v>11</v>
      </c>
      <c r="H106" s="490" t="str">
        <f>IF('[3]BASE'!H107="","",'[3]BASE'!H107)</f>
        <v>C</v>
      </c>
      <c r="I106" s="491" t="str">
        <f>IF('[3]BASE'!FS107="","",'[3]BASE'!FS107)</f>
        <v>XXXX</v>
      </c>
      <c r="J106" s="491" t="str">
        <f>IF('[3]BASE'!FT107="","",'[3]BASE'!FT107)</f>
        <v>XXXX</v>
      </c>
      <c r="K106" s="491" t="str">
        <f>IF('[3]BASE'!FU107="","",'[3]BASE'!FU107)</f>
        <v>XXXX</v>
      </c>
      <c r="L106" s="491" t="str">
        <f>IF('[3]BASE'!FV107="","",'[3]BASE'!FV107)</f>
        <v>XXXX</v>
      </c>
      <c r="M106" s="491" t="str">
        <f>IF('[3]BASE'!FW107="","",'[3]BASE'!FW107)</f>
        <v>XXXX</v>
      </c>
      <c r="N106" s="491" t="str">
        <f>IF('[3]BASE'!FX107="","",'[3]BASE'!FX107)</f>
        <v>XXXX</v>
      </c>
      <c r="O106" s="491" t="str">
        <f>IF('[3]BASE'!FY107="","",'[3]BASE'!FY107)</f>
        <v>XXXX</v>
      </c>
      <c r="P106" s="491" t="str">
        <f>IF('[3]BASE'!FZ107="","",'[3]BASE'!FZ107)</f>
        <v>XXXX</v>
      </c>
      <c r="Q106" s="491" t="str">
        <f>IF('[3]BASE'!GA107="","",'[3]BASE'!GA107)</f>
        <v>XXXX</v>
      </c>
      <c r="R106" s="491" t="str">
        <f>IF('[3]BASE'!GB107="","",'[3]BASE'!GB107)</f>
        <v>XXXX</v>
      </c>
      <c r="S106" s="491" t="str">
        <f>IF('[3]BASE'!GC107="","",'[3]BASE'!GC107)</f>
        <v>XXXX</v>
      </c>
      <c r="T106" s="491" t="str">
        <f>IF('[3]BASE'!GD107="","",'[3]BASE'!GD107)</f>
        <v>XXXX</v>
      </c>
      <c r="U106" s="492"/>
      <c r="V106" s="489"/>
    </row>
    <row r="107" spans="2:22" s="483" customFormat="1" ht="19.5" customHeight="1">
      <c r="B107" s="484"/>
      <c r="C107" s="490">
        <f>IF('[3]BASE'!C108="","",'[3]BASE'!C108)</f>
        <v>92</v>
      </c>
      <c r="D107" s="490">
        <f>IF('[3]BASE'!D108="","",'[3]BASE'!D108)</f>
        <v>1423</v>
      </c>
      <c r="E107" s="490" t="str">
        <f>IF('[3]BASE'!E108="","",'[3]BASE'!E108)</f>
        <v>ZARATE - MATHEU</v>
      </c>
      <c r="F107" s="490">
        <f>IF('[3]BASE'!F108="","",'[3]BASE'!F108)</f>
        <v>132</v>
      </c>
      <c r="G107" s="490">
        <f>IF('[3]BASE'!G108="","",'[3]BASE'!G108)</f>
        <v>37.7</v>
      </c>
      <c r="H107" s="490" t="str">
        <f>IF('[3]BASE'!H108="","",'[3]BASE'!H108)</f>
        <v>C</v>
      </c>
      <c r="I107" s="491" t="str">
        <f>IF('[3]BASE'!FS108="","",'[3]BASE'!FS108)</f>
        <v>XXXX</v>
      </c>
      <c r="J107" s="491" t="str">
        <f>IF('[3]BASE'!FT108="","",'[3]BASE'!FT108)</f>
        <v>XXXX</v>
      </c>
      <c r="K107" s="491" t="str">
        <f>IF('[3]BASE'!FU108="","",'[3]BASE'!FU108)</f>
        <v>XXXX</v>
      </c>
      <c r="L107" s="491" t="str">
        <f>IF('[3]BASE'!FV108="","",'[3]BASE'!FV108)</f>
        <v>XXXX</v>
      </c>
      <c r="M107" s="491" t="str">
        <f>IF('[3]BASE'!FW108="","",'[3]BASE'!FW108)</f>
        <v>XXXX</v>
      </c>
      <c r="N107" s="491" t="str">
        <f>IF('[3]BASE'!FX108="","",'[3]BASE'!FX108)</f>
        <v>XXXX</v>
      </c>
      <c r="O107" s="491" t="str">
        <f>IF('[3]BASE'!FY108="","",'[3]BASE'!FY108)</f>
        <v>XXXX</v>
      </c>
      <c r="P107" s="491" t="str">
        <f>IF('[3]BASE'!FZ108="","",'[3]BASE'!FZ108)</f>
        <v>XXXX</v>
      </c>
      <c r="Q107" s="491" t="str">
        <f>IF('[3]BASE'!GA108="","",'[3]BASE'!GA108)</f>
        <v>XXXX</v>
      </c>
      <c r="R107" s="491" t="str">
        <f>IF('[3]BASE'!GB108="","",'[3]BASE'!GB108)</f>
        <v>XXXX</v>
      </c>
      <c r="S107" s="491" t="str">
        <f>IF('[3]BASE'!GC108="","",'[3]BASE'!GC108)</f>
        <v>XXXX</v>
      </c>
      <c r="T107" s="491" t="str">
        <f>IF('[3]BASE'!GD108="","",'[3]BASE'!GD108)</f>
        <v>XXXX</v>
      </c>
      <c r="U107" s="492"/>
      <c r="V107" s="489"/>
    </row>
    <row r="108" spans="2:22" s="483" customFormat="1" ht="19.5" customHeight="1">
      <c r="B108" s="484"/>
      <c r="C108" s="490">
        <f>IF('[3]BASE'!C109="","",'[3]BASE'!C109)</f>
        <v>93</v>
      </c>
      <c r="D108" s="490">
        <f>IF('[3]BASE'!D109="","",'[3]BASE'!D109)</f>
        <v>1434</v>
      </c>
      <c r="E108" s="490" t="str">
        <f>IF('[3]BASE'!E109="","",'[3]BASE'!E109)</f>
        <v>9 DE JULIO 66 - BRAGADO</v>
      </c>
      <c r="F108" s="490">
        <f>IF('[3]BASE'!F109="","",'[3]BASE'!F109)</f>
        <v>66</v>
      </c>
      <c r="G108" s="490">
        <f>IF('[3]BASE'!G109="","",'[3]BASE'!G109)</f>
        <v>60.94</v>
      </c>
      <c r="H108" s="490" t="str">
        <f>IF('[3]BASE'!H109="","",'[3]BASE'!H109)</f>
        <v>C</v>
      </c>
      <c r="I108" s="491" t="str">
        <f>IF('[3]BASE'!FS109="","",'[3]BASE'!FS109)</f>
        <v>XXXX</v>
      </c>
      <c r="J108" s="491" t="str">
        <f>IF('[3]BASE'!FT109="","",'[3]BASE'!FT109)</f>
        <v>XXXX</v>
      </c>
      <c r="K108" s="491" t="str">
        <f>IF('[3]BASE'!FU109="","",'[3]BASE'!FU109)</f>
        <v>XXXX</v>
      </c>
      <c r="L108" s="491" t="str">
        <f>IF('[3]BASE'!FV109="","",'[3]BASE'!FV109)</f>
        <v>XXXX</v>
      </c>
      <c r="M108" s="491" t="str">
        <f>IF('[3]BASE'!FW109="","",'[3]BASE'!FW109)</f>
        <v>XXXX</v>
      </c>
      <c r="N108" s="491" t="str">
        <f>IF('[3]BASE'!FX109="","",'[3]BASE'!FX109)</f>
        <v>XXXX</v>
      </c>
      <c r="O108" s="491" t="str">
        <f>IF('[3]BASE'!FY109="","",'[3]BASE'!FY109)</f>
        <v>XXXX</v>
      </c>
      <c r="P108" s="491" t="str">
        <f>IF('[3]BASE'!FZ109="","",'[3]BASE'!FZ109)</f>
        <v>XXXX</v>
      </c>
      <c r="Q108" s="491" t="str">
        <f>IF('[3]BASE'!GA109="","",'[3]BASE'!GA109)</f>
        <v>XXXX</v>
      </c>
      <c r="R108" s="491" t="str">
        <f>IF('[3]BASE'!GB109="","",'[3]BASE'!GB109)</f>
        <v>XXXX</v>
      </c>
      <c r="S108" s="491" t="str">
        <f>IF('[3]BASE'!GC109="","",'[3]BASE'!GC109)</f>
        <v>XXXX</v>
      </c>
      <c r="T108" s="491" t="str">
        <f>IF('[3]BASE'!GD109="","",'[3]BASE'!GD109)</f>
        <v>XXXX</v>
      </c>
      <c r="U108" s="492"/>
      <c r="V108" s="489"/>
    </row>
    <row r="109" spans="2:22" s="483" customFormat="1" ht="19.5" customHeight="1">
      <c r="B109" s="484"/>
      <c r="C109" s="490">
        <f>IF('[3]BASE'!C110="","",'[3]BASE'!C110)</f>
        <v>94</v>
      </c>
      <c r="D109" s="490" t="str">
        <f>IF('[3]BASE'!D110="","",'[3]BASE'!D110)</f>
        <v>CE-000</v>
      </c>
      <c r="E109" s="490" t="str">
        <f>IF('[3]BASE'!E110="","",'[3]BASE'!E110)</f>
        <v>CAP. SARMIENTO - ANTONIO DE ARECO - LUJAN</v>
      </c>
      <c r="F109" s="490">
        <f>IF('[3]BASE'!F110="","",'[3]BASE'!F110)</f>
        <v>66</v>
      </c>
      <c r="G109" s="490">
        <f>IF('[3]BASE'!G110="","",'[3]BASE'!G110)</f>
        <v>81.3</v>
      </c>
      <c r="H109" s="490" t="str">
        <f>IF('[3]BASE'!H110="","",'[3]BASE'!H110)</f>
        <v>C</v>
      </c>
      <c r="I109" s="491" t="str">
        <f>IF('[3]BASE'!FS110="","",'[3]BASE'!FS110)</f>
        <v>XXXX</v>
      </c>
      <c r="J109" s="491" t="str">
        <f>IF('[3]BASE'!FT110="","",'[3]BASE'!FT110)</f>
        <v>XXXX</v>
      </c>
      <c r="K109" s="491" t="str">
        <f>IF('[3]BASE'!FU110="","",'[3]BASE'!FU110)</f>
        <v>XXXX</v>
      </c>
      <c r="L109" s="491" t="str">
        <f>IF('[3]BASE'!FV110="","",'[3]BASE'!FV110)</f>
        <v>XXXX</v>
      </c>
      <c r="M109" s="491" t="str">
        <f>IF('[3]BASE'!FW110="","",'[3]BASE'!FW110)</f>
        <v>XXXX</v>
      </c>
      <c r="N109" s="491" t="str">
        <f>IF('[3]BASE'!FX110="","",'[3]BASE'!FX110)</f>
        <v>XXXX</v>
      </c>
      <c r="O109" s="491" t="str">
        <f>IF('[3]BASE'!FY110="","",'[3]BASE'!FY110)</f>
        <v>XXXX</v>
      </c>
      <c r="P109" s="491" t="str">
        <f>IF('[3]BASE'!FZ110="","",'[3]BASE'!FZ110)</f>
        <v>XXXX</v>
      </c>
      <c r="Q109" s="491" t="str">
        <f>IF('[3]BASE'!GA110="","",'[3]BASE'!GA110)</f>
        <v>XXXX</v>
      </c>
      <c r="R109" s="491" t="str">
        <f>IF('[3]BASE'!GB110="","",'[3]BASE'!GB110)</f>
        <v>XXXX</v>
      </c>
      <c r="S109" s="491" t="str">
        <f>IF('[3]BASE'!GC110="","",'[3]BASE'!GC110)</f>
        <v>XXXX</v>
      </c>
      <c r="T109" s="491" t="str">
        <f>IF('[3]BASE'!GD110="","",'[3]BASE'!GD110)</f>
        <v>XXXX</v>
      </c>
      <c r="U109" s="492"/>
      <c r="V109" s="489"/>
    </row>
    <row r="110" spans="2:22" s="483" customFormat="1" ht="19.5" customHeight="1">
      <c r="B110" s="484"/>
      <c r="C110" s="490">
        <f>IF('[3]BASE'!C111="","",'[3]BASE'!C111)</f>
        <v>95</v>
      </c>
      <c r="D110" s="490">
        <f>IF('[3]BASE'!D111="","",'[3]BASE'!D111)</f>
        <v>1421</v>
      </c>
      <c r="E110" s="490" t="str">
        <f>IF('[3]BASE'!E111="","",'[3]BASE'!E111)</f>
        <v>ARRECIFES - CAP. SARMIENTO</v>
      </c>
      <c r="F110" s="490">
        <f>IF('[3]BASE'!F111="","",'[3]BASE'!F111)</f>
        <v>66</v>
      </c>
      <c r="G110" s="490">
        <f>IF('[3]BASE'!G111="","",'[3]BASE'!G111)</f>
        <v>31.9</v>
      </c>
      <c r="H110" s="490" t="str">
        <f>IF('[3]BASE'!H111="","",'[3]BASE'!H111)</f>
        <v>C</v>
      </c>
      <c r="I110" s="491">
        <f>IF('[3]BASE'!FS111="","",'[3]BASE'!FS111)</f>
      </c>
      <c r="J110" s="491">
        <f>IF('[3]BASE'!FT111="","",'[3]BASE'!FT111)</f>
      </c>
      <c r="K110" s="491">
        <f>IF('[3]BASE'!FU111="","",'[3]BASE'!FU111)</f>
      </c>
      <c r="L110" s="491">
        <f>IF('[3]BASE'!FV111="","",'[3]BASE'!FV111)</f>
        <v>1</v>
      </c>
      <c r="M110" s="491">
        <f>IF('[3]BASE'!FW111="","",'[3]BASE'!FW111)</f>
      </c>
      <c r="N110" s="491">
        <f>IF('[3]BASE'!FX111="","",'[3]BASE'!FX111)</f>
      </c>
      <c r="O110" s="491">
        <f>IF('[3]BASE'!FY111="","",'[3]BASE'!FY111)</f>
      </c>
      <c r="P110" s="491">
        <f>IF('[3]BASE'!FZ111="","",'[3]BASE'!FZ111)</f>
      </c>
      <c r="Q110" s="491">
        <f>IF('[3]BASE'!GA111="","",'[3]BASE'!GA111)</f>
        <v>1</v>
      </c>
      <c r="R110" s="491">
        <f>IF('[3]BASE'!GB111="","",'[3]BASE'!GB111)</f>
      </c>
      <c r="S110" s="491">
        <f>IF('[3]BASE'!GC111="","",'[3]BASE'!GC111)</f>
      </c>
      <c r="T110" s="491">
        <f>IF('[3]BASE'!GD111="","",'[3]BASE'!GD111)</f>
      </c>
      <c r="U110" s="492"/>
      <c r="V110" s="489"/>
    </row>
    <row r="111" spans="2:22" s="483" customFormat="1" ht="19.5" customHeight="1">
      <c r="B111" s="484"/>
      <c r="C111" s="490">
        <f>IF('[3]BASE'!C112="","",'[3]BASE'!C112)</f>
        <v>96</v>
      </c>
      <c r="D111" s="490">
        <f>IF('[3]BASE'!D112="","",'[3]BASE'!D112)</f>
        <v>1536</v>
      </c>
      <c r="E111" s="490" t="str">
        <f>IF('[3]BASE'!E112="","",'[3]BASE'!E112)</f>
        <v>CARLOS CASARES - 9 DE JULIO 66</v>
      </c>
      <c r="F111" s="490">
        <f>IF('[3]BASE'!F112="","",'[3]BASE'!F112)</f>
        <v>66</v>
      </c>
      <c r="G111" s="490">
        <f>IF('[3]BASE'!G112="","",'[3]BASE'!G112)</f>
        <v>46.8</v>
      </c>
      <c r="H111" s="490" t="str">
        <f>IF('[3]BASE'!H112="","",'[3]BASE'!H112)</f>
        <v>C</v>
      </c>
      <c r="I111" s="491">
        <f>IF('[3]BASE'!FS112="","",'[3]BASE'!FS112)</f>
      </c>
      <c r="J111" s="491">
        <f>IF('[3]BASE'!FT112="","",'[3]BASE'!FT112)</f>
      </c>
      <c r="K111" s="491">
        <f>IF('[3]BASE'!FU112="","",'[3]BASE'!FU112)</f>
        <v>1</v>
      </c>
      <c r="L111" s="491">
        <f>IF('[3]BASE'!FV112="","",'[3]BASE'!FV112)</f>
        <v>1</v>
      </c>
      <c r="M111" s="491">
        <f>IF('[3]BASE'!FW112="","",'[3]BASE'!FW112)</f>
        <v>1</v>
      </c>
      <c r="N111" s="491">
        <f>IF('[3]BASE'!FX112="","",'[3]BASE'!FX112)</f>
      </c>
      <c r="O111" s="491">
        <f>IF('[3]BASE'!FY112="","",'[3]BASE'!FY112)</f>
      </c>
      <c r="P111" s="491">
        <f>IF('[3]BASE'!FZ112="","",'[3]BASE'!FZ112)</f>
      </c>
      <c r="Q111" s="491">
        <f>IF('[3]BASE'!GA112="","",'[3]BASE'!GA112)</f>
      </c>
      <c r="R111" s="491">
        <f>IF('[3]BASE'!GB112="","",'[3]BASE'!GB112)</f>
      </c>
      <c r="S111" s="491">
        <f>IF('[3]BASE'!GC112="","",'[3]BASE'!GC112)</f>
      </c>
      <c r="T111" s="491">
        <f>IF('[3]BASE'!GD112="","",'[3]BASE'!GD112)</f>
      </c>
      <c r="U111" s="492"/>
      <c r="V111" s="489"/>
    </row>
    <row r="112" spans="2:22" s="483" customFormat="1" ht="19.5" customHeight="1">
      <c r="B112" s="484"/>
      <c r="C112" s="490">
        <f>IF('[3]BASE'!C113="","",'[3]BASE'!C113)</f>
        <v>97</v>
      </c>
      <c r="D112" s="490">
        <f>IF('[3]BASE'!D113="","",'[3]BASE'!D113)</f>
        <v>1530</v>
      </c>
      <c r="E112" s="490" t="str">
        <f>IF('[3]BASE'!E113="","",'[3]BASE'!E113)</f>
        <v>PEHUAJO - CARLOS CASARES</v>
      </c>
      <c r="F112" s="490">
        <f>IF('[3]BASE'!F113="","",'[3]BASE'!F113)</f>
        <v>66</v>
      </c>
      <c r="G112" s="490">
        <f>IF('[3]BASE'!G113="","",'[3]BASE'!G113)</f>
        <v>53.1</v>
      </c>
      <c r="H112" s="490" t="str">
        <f>IF('[3]BASE'!H113="","",'[3]BASE'!H113)</f>
        <v>C</v>
      </c>
      <c r="I112" s="491">
        <f>IF('[3]BASE'!FS113="","",'[3]BASE'!FS113)</f>
      </c>
      <c r="J112" s="491">
        <f>IF('[3]BASE'!FT113="","",'[3]BASE'!FT113)</f>
      </c>
      <c r="K112" s="491">
        <f>IF('[3]BASE'!FU113="","",'[3]BASE'!FU113)</f>
      </c>
      <c r="L112" s="491">
        <f>IF('[3]BASE'!FV113="","",'[3]BASE'!FV113)</f>
      </c>
      <c r="M112" s="491">
        <f>IF('[3]BASE'!FW113="","",'[3]BASE'!FW113)</f>
        <v>1</v>
      </c>
      <c r="N112" s="491">
        <f>IF('[3]BASE'!FX113="","",'[3]BASE'!FX113)</f>
      </c>
      <c r="O112" s="491">
        <f>IF('[3]BASE'!FY113="","",'[3]BASE'!FY113)</f>
      </c>
      <c r="P112" s="491">
        <f>IF('[3]BASE'!FZ113="","",'[3]BASE'!FZ113)</f>
      </c>
      <c r="Q112" s="491">
        <f>IF('[3]BASE'!GA113="","",'[3]BASE'!GA113)</f>
      </c>
      <c r="R112" s="491">
        <f>IF('[3]BASE'!GB113="","",'[3]BASE'!GB113)</f>
      </c>
      <c r="S112" s="491">
        <f>IF('[3]BASE'!GC113="","",'[3]BASE'!GC113)</f>
      </c>
      <c r="T112" s="491">
        <f>IF('[3]BASE'!GD113="","",'[3]BASE'!GD113)</f>
      </c>
      <c r="U112" s="492"/>
      <c r="V112" s="489"/>
    </row>
    <row r="113" spans="2:22" s="483" customFormat="1" ht="19.5" customHeight="1">
      <c r="B113" s="484"/>
      <c r="C113" s="490">
        <f>IF('[3]BASE'!C114="","",'[3]BASE'!C114)</f>
        <v>98</v>
      </c>
      <c r="D113" s="490">
        <f>IF('[3]BASE'!D114="","",'[3]BASE'!D114)</f>
        <v>1441</v>
      </c>
      <c r="E113" s="490" t="str">
        <f>IF('[3]BASE'!E114="","",'[3]BASE'!E114)</f>
        <v>PERGAMINO - ARRECIFES</v>
      </c>
      <c r="F113" s="490">
        <f>IF('[3]BASE'!F114="","",'[3]BASE'!F114)</f>
        <v>66</v>
      </c>
      <c r="G113" s="490">
        <f>IF('[3]BASE'!G114="","",'[3]BASE'!G114)</f>
        <v>43.8</v>
      </c>
      <c r="H113" s="490" t="str">
        <f>IF('[3]BASE'!H114="","",'[3]BASE'!H114)</f>
        <v>B</v>
      </c>
      <c r="I113" s="491">
        <f>IF('[3]BASE'!FS114="","",'[3]BASE'!FS114)</f>
      </c>
      <c r="J113" s="491">
        <f>IF('[3]BASE'!FT114="","",'[3]BASE'!FT114)</f>
      </c>
      <c r="K113" s="491">
        <f>IF('[3]BASE'!FU114="","",'[3]BASE'!FU114)</f>
      </c>
      <c r="L113" s="491">
        <f>IF('[3]BASE'!FV114="","",'[3]BASE'!FV114)</f>
      </c>
      <c r="M113" s="491">
        <f>IF('[3]BASE'!FW114="","",'[3]BASE'!FW114)</f>
      </c>
      <c r="N113" s="491">
        <f>IF('[3]BASE'!FX114="","",'[3]BASE'!FX114)</f>
        <v>1</v>
      </c>
      <c r="O113" s="491">
        <f>IF('[3]BASE'!FY114="","",'[3]BASE'!FY114)</f>
        <v>1</v>
      </c>
      <c r="P113" s="491">
        <f>IF('[3]BASE'!FZ114="","",'[3]BASE'!FZ114)</f>
      </c>
      <c r="Q113" s="491">
        <f>IF('[3]BASE'!GA114="","",'[3]BASE'!GA114)</f>
      </c>
      <c r="R113" s="491">
        <f>IF('[3]BASE'!GB114="","",'[3]BASE'!GB114)</f>
      </c>
      <c r="S113" s="491">
        <f>IF('[3]BASE'!GC114="","",'[3]BASE'!GC114)</f>
        <v>1</v>
      </c>
      <c r="T113" s="491">
        <f>IF('[3]BASE'!GD114="","",'[3]BASE'!GD114)</f>
      </c>
      <c r="U113" s="492"/>
      <c r="V113" s="489"/>
    </row>
    <row r="114" spans="2:22" s="483" customFormat="1" ht="19.5" customHeight="1">
      <c r="B114" s="484"/>
      <c r="C114" s="490">
        <f>IF('[3]BASE'!C115="","",'[3]BASE'!C115)</f>
        <v>99</v>
      </c>
      <c r="D114" s="490">
        <f>IF('[3]BASE'!D115="","",'[3]BASE'!D115)</f>
        <v>1436</v>
      </c>
      <c r="E114" s="490" t="str">
        <f>IF('[3]BASE'!E115="","",'[3]BASE'!E115)</f>
        <v>TRENQUE LAUQUEN - PEHUAJO</v>
      </c>
      <c r="F114" s="490">
        <f>IF('[3]BASE'!F115="","",'[3]BASE'!F115)</f>
        <v>66</v>
      </c>
      <c r="G114" s="490">
        <f>IF('[3]BASE'!G115="","",'[3]BASE'!G115)</f>
        <v>80.1</v>
      </c>
      <c r="H114" s="490" t="str">
        <f>IF('[3]BASE'!H115="","",'[3]BASE'!H115)</f>
        <v>B</v>
      </c>
      <c r="I114" s="491">
        <f>IF('[3]BASE'!FS115="","",'[3]BASE'!FS115)</f>
      </c>
      <c r="J114" s="491">
        <f>IF('[3]BASE'!FT115="","",'[3]BASE'!FT115)</f>
      </c>
      <c r="K114" s="491">
        <f>IF('[3]BASE'!FU115="","",'[3]BASE'!FU115)</f>
      </c>
      <c r="L114" s="491">
        <f>IF('[3]BASE'!FV115="","",'[3]BASE'!FV115)</f>
      </c>
      <c r="M114" s="491">
        <f>IF('[3]BASE'!FW115="","",'[3]BASE'!FW115)</f>
        <v>1</v>
      </c>
      <c r="N114" s="491">
        <f>IF('[3]BASE'!FX115="","",'[3]BASE'!FX115)</f>
        <v>1</v>
      </c>
      <c r="O114" s="491">
        <f>IF('[3]BASE'!FY115="","",'[3]BASE'!FY115)</f>
        <v>1</v>
      </c>
      <c r="P114" s="491">
        <f>IF('[3]BASE'!FZ115="","",'[3]BASE'!FZ115)</f>
      </c>
      <c r="Q114" s="491">
        <f>IF('[3]BASE'!GA115="","",'[3]BASE'!GA115)</f>
      </c>
      <c r="R114" s="491">
        <f>IF('[3]BASE'!GB115="","",'[3]BASE'!GB115)</f>
      </c>
      <c r="S114" s="491">
        <f>IF('[3]BASE'!GC115="","",'[3]BASE'!GC115)</f>
      </c>
      <c r="T114" s="491">
        <f>IF('[3]BASE'!GD115="","",'[3]BASE'!GD115)</f>
      </c>
      <c r="U114" s="492"/>
      <c r="V114" s="489"/>
    </row>
    <row r="115" spans="2:22" s="483" customFormat="1" ht="19.5" customHeight="1">
      <c r="B115" s="484"/>
      <c r="C115" s="490">
        <f>IF('[3]BASE'!C116="","",'[3]BASE'!C116)</f>
        <v>100</v>
      </c>
      <c r="D115" s="490">
        <f>IF('[3]BASE'!D116="","",'[3]BASE'!D116)</f>
        <v>3556</v>
      </c>
      <c r="E115" s="490" t="str">
        <f>IF('[3]BASE'!E116="","",'[3]BASE'!E116)</f>
        <v>NUEVA CAMPANA - MINETTI (CORCEMAR)</v>
      </c>
      <c r="F115" s="490">
        <f>IF('[3]BASE'!F116="","",'[3]BASE'!F116)</f>
        <v>132</v>
      </c>
      <c r="G115" s="490">
        <f>IF('[3]BASE'!G116="","",'[3]BASE'!G116)</f>
        <v>5</v>
      </c>
      <c r="H115" s="490" t="str">
        <f>IF('[3]BASE'!H116="","",'[3]BASE'!H116)</f>
        <v>C</v>
      </c>
      <c r="I115" s="491">
        <f>IF('[3]BASE'!FS116="","",'[3]BASE'!FS116)</f>
      </c>
      <c r="J115" s="491">
        <f>IF('[3]BASE'!FT116="","",'[3]BASE'!FT116)</f>
      </c>
      <c r="K115" s="491">
        <f>IF('[3]BASE'!FU116="","",'[3]BASE'!FU116)</f>
      </c>
      <c r="L115" s="491">
        <f>IF('[3]BASE'!FV116="","",'[3]BASE'!FV116)</f>
      </c>
      <c r="M115" s="491">
        <f>IF('[3]BASE'!FW116="","",'[3]BASE'!FW116)</f>
      </c>
      <c r="N115" s="491">
        <f>IF('[3]BASE'!FX116="","",'[3]BASE'!FX116)</f>
      </c>
      <c r="O115" s="491">
        <f>IF('[3]BASE'!FY116="","",'[3]BASE'!FY116)</f>
      </c>
      <c r="P115" s="491">
        <f>IF('[3]BASE'!FZ116="","",'[3]BASE'!FZ116)</f>
      </c>
      <c r="Q115" s="491">
        <f>IF('[3]BASE'!GA116="","",'[3]BASE'!GA116)</f>
      </c>
      <c r="R115" s="491">
        <f>IF('[3]BASE'!GB116="","",'[3]BASE'!GB116)</f>
      </c>
      <c r="S115" s="491">
        <f>IF('[3]BASE'!GC116="","",'[3]BASE'!GC116)</f>
      </c>
      <c r="T115" s="491">
        <f>IF('[3]BASE'!GD116="","",'[3]BASE'!GD116)</f>
      </c>
      <c r="U115" s="492"/>
      <c r="V115" s="489"/>
    </row>
    <row r="116" spans="2:22" s="483" customFormat="1" ht="19.5" customHeight="1">
      <c r="B116" s="484"/>
      <c r="C116" s="490">
        <f>IF('[3]BASE'!C117="","",'[3]BASE'!C117)</f>
        <v>101</v>
      </c>
      <c r="D116" s="490">
        <f>IF('[3]BASE'!D117="","",'[3]BASE'!D117)</f>
        <v>3557</v>
      </c>
      <c r="E116" s="490" t="str">
        <f>IF('[3]BASE'!E117="","",'[3]BASE'!E117)</f>
        <v>(CORCEMAR) MINETTI - ZARATE</v>
      </c>
      <c r="F116" s="490">
        <f>IF('[3]BASE'!F117="","",'[3]BASE'!F117)</f>
        <v>132</v>
      </c>
      <c r="G116" s="490">
        <f>IF('[3]BASE'!G117="","",'[3]BASE'!G117)</f>
        <v>7</v>
      </c>
      <c r="H116" s="490" t="str">
        <f>IF('[3]BASE'!H117="","",'[3]BASE'!H117)</f>
        <v>C</v>
      </c>
      <c r="I116" s="491">
        <f>IF('[3]BASE'!FS117="","",'[3]BASE'!FS117)</f>
      </c>
      <c r="J116" s="491">
        <f>IF('[3]BASE'!FT117="","",'[3]BASE'!FT117)</f>
      </c>
      <c r="K116" s="491">
        <f>IF('[3]BASE'!FU117="","",'[3]BASE'!FU117)</f>
      </c>
      <c r="L116" s="491">
        <f>IF('[3]BASE'!FV117="","",'[3]BASE'!FV117)</f>
      </c>
      <c r="M116" s="491">
        <f>IF('[3]BASE'!FW117="","",'[3]BASE'!FW117)</f>
      </c>
      <c r="N116" s="491">
        <f>IF('[3]BASE'!FX117="","",'[3]BASE'!FX117)</f>
      </c>
      <c r="O116" s="491">
        <f>IF('[3]BASE'!FY117="","",'[3]BASE'!FY117)</f>
      </c>
      <c r="P116" s="491">
        <f>IF('[3]BASE'!FZ117="","",'[3]BASE'!FZ117)</f>
      </c>
      <c r="Q116" s="491">
        <f>IF('[3]BASE'!GA117="","",'[3]BASE'!GA117)</f>
      </c>
      <c r="R116" s="491">
        <f>IF('[3]BASE'!GB117="","",'[3]BASE'!GB117)</f>
      </c>
      <c r="S116" s="491">
        <f>IF('[3]BASE'!GC117="","",'[3]BASE'!GC117)</f>
      </c>
      <c r="T116" s="491">
        <f>IF('[3]BASE'!GD117="","",'[3]BASE'!GD117)</f>
      </c>
      <c r="U116" s="492"/>
      <c r="V116" s="489"/>
    </row>
    <row r="117" spans="2:22" s="483" customFormat="1" ht="19.5" customHeight="1">
      <c r="B117" s="484"/>
      <c r="C117" s="490">
        <f>IF('[3]BASE'!C118="","",'[3]BASE'!C118)</f>
        <v>102</v>
      </c>
      <c r="D117" s="490">
        <f>IF('[3]BASE'!D118="","",'[3]BASE'!D118)</f>
        <v>3285</v>
      </c>
      <c r="E117" s="490" t="str">
        <f>IF('[3]BASE'!E118="","",'[3]BASE'!E118)</f>
        <v>EASTMAN T - PROTISA</v>
      </c>
      <c r="F117" s="490">
        <f>IF('[3]BASE'!F118="","",'[3]BASE'!F118)</f>
        <v>132</v>
      </c>
      <c r="G117" s="490">
        <f>IF('[3]BASE'!G118="","",'[3]BASE'!G118)</f>
        <v>5.5</v>
      </c>
      <c r="H117" s="490" t="str">
        <f>IF('[3]BASE'!H118="","",'[3]BASE'!H118)</f>
        <v>C</v>
      </c>
      <c r="I117" s="491" t="str">
        <f>IF('[3]BASE'!FS118="","",'[3]BASE'!FS118)</f>
        <v>XXXX</v>
      </c>
      <c r="J117" s="491" t="str">
        <f>IF('[3]BASE'!FT118="","",'[3]BASE'!FT118)</f>
        <v>XXXX</v>
      </c>
      <c r="K117" s="491" t="str">
        <f>IF('[3]BASE'!FU118="","",'[3]BASE'!FU118)</f>
        <v>XXXX</v>
      </c>
      <c r="L117" s="491" t="str">
        <f>IF('[3]BASE'!FV118="","",'[3]BASE'!FV118)</f>
        <v>XXXX</v>
      </c>
      <c r="M117" s="491" t="str">
        <f>IF('[3]BASE'!FW118="","",'[3]BASE'!FW118)</f>
        <v>XXXX</v>
      </c>
      <c r="N117" s="491" t="str">
        <f>IF('[3]BASE'!FX118="","",'[3]BASE'!FX118)</f>
        <v>XXXX</v>
      </c>
      <c r="O117" s="491" t="str">
        <f>IF('[3]BASE'!FY118="","",'[3]BASE'!FY118)</f>
        <v>XXXX</v>
      </c>
      <c r="P117" s="491" t="str">
        <f>IF('[3]BASE'!FZ118="","",'[3]BASE'!FZ118)</f>
        <v>XXXX</v>
      </c>
      <c r="Q117" s="491" t="str">
        <f>IF('[3]BASE'!GA118="","",'[3]BASE'!GA118)</f>
        <v>XXXX</v>
      </c>
      <c r="R117" s="491" t="str">
        <f>IF('[3]BASE'!GB118="","",'[3]BASE'!GB118)</f>
        <v>XXXX</v>
      </c>
      <c r="S117" s="491" t="str">
        <f>IF('[3]BASE'!GC118="","",'[3]BASE'!GC118)</f>
        <v>XXXX</v>
      </c>
      <c r="T117" s="491" t="str">
        <f>IF('[3]BASE'!GD118="","",'[3]BASE'!GD118)</f>
        <v>XXXX</v>
      </c>
      <c r="U117" s="492"/>
      <c r="V117" s="489"/>
    </row>
    <row r="118" spans="2:22" s="483" customFormat="1" ht="19.5" customHeight="1">
      <c r="B118" s="484"/>
      <c r="C118" s="490">
        <f>IF('[3]BASE'!C119="","",'[3]BASE'!C119)</f>
        <v>103</v>
      </c>
      <c r="D118" s="490">
        <f>IF('[3]BASE'!D119="","",'[3]BASE'!D119)</f>
        <v>3286</v>
      </c>
      <c r="E118" s="490" t="str">
        <f>IF('[3]BASE'!E119="","",'[3]BASE'!E119)</f>
        <v>PROTISA - EASTMAN</v>
      </c>
      <c r="F118" s="490">
        <f>IF('[3]BASE'!F119="","",'[3]BASE'!F119)</f>
        <v>132</v>
      </c>
      <c r="G118" s="490">
        <f>IF('[3]BASE'!G119="","",'[3]BASE'!G119)</f>
        <v>1</v>
      </c>
      <c r="H118" s="490" t="str">
        <f>IF('[3]BASE'!H119="","",'[3]BASE'!H119)</f>
        <v>C</v>
      </c>
      <c r="I118" s="491">
        <f>IF('[3]BASE'!FS119="","",'[3]BASE'!FS119)</f>
      </c>
      <c r="J118" s="491">
        <f>IF('[3]BASE'!FT119="","",'[3]BASE'!FT119)</f>
      </c>
      <c r="K118" s="491">
        <f>IF('[3]BASE'!FU119="","",'[3]BASE'!FU119)</f>
      </c>
      <c r="L118" s="491">
        <f>IF('[3]BASE'!FV119="","",'[3]BASE'!FV119)</f>
      </c>
      <c r="M118" s="491">
        <f>IF('[3]BASE'!FW119="","",'[3]BASE'!FW119)</f>
      </c>
      <c r="N118" s="491">
        <f>IF('[3]BASE'!FX119="","",'[3]BASE'!FX119)</f>
      </c>
      <c r="O118" s="491">
        <f>IF('[3]BASE'!FY119="","",'[3]BASE'!FY119)</f>
      </c>
      <c r="P118" s="491">
        <f>IF('[3]BASE'!FZ119="","",'[3]BASE'!FZ119)</f>
      </c>
      <c r="Q118" s="491">
        <f>IF('[3]BASE'!GA119="","",'[3]BASE'!GA119)</f>
      </c>
      <c r="R118" s="491">
        <f>IF('[3]BASE'!GB119="","",'[3]BASE'!GB119)</f>
      </c>
      <c r="S118" s="491">
        <f>IF('[3]BASE'!GC119="","",'[3]BASE'!GC119)</f>
      </c>
      <c r="T118" s="491">
        <f>IF('[3]BASE'!GD119="","",'[3]BASE'!GD119)</f>
      </c>
      <c r="U118" s="492"/>
      <c r="V118" s="489"/>
    </row>
    <row r="119" spans="2:22" s="483" customFormat="1" ht="19.5" customHeight="1">
      <c r="B119" s="484"/>
      <c r="C119" s="490">
        <f>IF('[3]BASE'!C120="","",'[3]BASE'!C120)</f>
        <v>104</v>
      </c>
      <c r="D119" s="490">
        <f>IF('[3]BASE'!D120="","",'[3]BASE'!D120)</f>
        <v>3482</v>
      </c>
      <c r="E119" s="490" t="str">
        <f>IF('[3]BASE'!E120="","",'[3]BASE'!E120)</f>
        <v>BAHIA BLANCA - PETROQ. BAHIA BLANCA 2</v>
      </c>
      <c r="F119" s="490">
        <f>IF('[3]BASE'!F120="","",'[3]BASE'!F120)</f>
        <v>132</v>
      </c>
      <c r="G119" s="490">
        <f>IF('[3]BASE'!G120="","",'[3]BASE'!G120)</f>
        <v>29.8</v>
      </c>
      <c r="H119" s="490" t="str">
        <f>IF('[3]BASE'!H120="","",'[3]BASE'!H120)</f>
        <v>C</v>
      </c>
      <c r="I119" s="491">
        <f>IF('[3]BASE'!FS120="","",'[3]BASE'!FS120)</f>
      </c>
      <c r="J119" s="491">
        <f>IF('[3]BASE'!FT120="","",'[3]BASE'!FT120)</f>
      </c>
      <c r="K119" s="491">
        <f>IF('[3]BASE'!FU120="","",'[3]BASE'!FU120)</f>
      </c>
      <c r="L119" s="491">
        <f>IF('[3]BASE'!FV120="","",'[3]BASE'!FV120)</f>
      </c>
      <c r="M119" s="491">
        <f>IF('[3]BASE'!FW120="","",'[3]BASE'!FW120)</f>
      </c>
      <c r="N119" s="491">
        <f>IF('[3]BASE'!FX120="","",'[3]BASE'!FX120)</f>
      </c>
      <c r="O119" s="491">
        <f>IF('[3]BASE'!FY120="","",'[3]BASE'!FY120)</f>
      </c>
      <c r="P119" s="491">
        <f>IF('[3]BASE'!FZ120="","",'[3]BASE'!FZ120)</f>
      </c>
      <c r="Q119" s="491">
        <f>IF('[3]BASE'!GA120="","",'[3]BASE'!GA120)</f>
      </c>
      <c r="R119" s="491">
        <f>IF('[3]BASE'!GB120="","",'[3]BASE'!GB120)</f>
      </c>
      <c r="S119" s="491">
        <f>IF('[3]BASE'!GC120="","",'[3]BASE'!GC120)</f>
      </c>
      <c r="T119" s="491">
        <f>IF('[3]BASE'!GD120="","",'[3]BASE'!GD120)</f>
      </c>
      <c r="U119" s="492"/>
      <c r="V119" s="489"/>
    </row>
    <row r="120" spans="2:22" s="483" customFormat="1" ht="19.5" customHeight="1">
      <c r="B120" s="484"/>
      <c r="C120" s="490">
        <f>IF('[3]BASE'!C121="","",'[3]BASE'!C121)</f>
        <v>105</v>
      </c>
      <c r="D120" s="490">
        <f>IF('[3]BASE'!D121="","",'[3]BASE'!D121)</f>
        <v>3483</v>
      </c>
      <c r="E120" s="490" t="str">
        <f>IF('[3]BASE'!E121="","",'[3]BASE'!E121)</f>
        <v>BAHIA BLANCA - PETROQ. BAHIA BLANCA 3</v>
      </c>
      <c r="F120" s="490">
        <f>IF('[3]BASE'!F121="","",'[3]BASE'!F121)</f>
        <v>132</v>
      </c>
      <c r="G120" s="490">
        <f>IF('[3]BASE'!G121="","",'[3]BASE'!G121)</f>
        <v>29.8</v>
      </c>
      <c r="H120" s="490" t="str">
        <f>IF('[3]BASE'!H121="","",'[3]BASE'!H121)</f>
        <v>C</v>
      </c>
      <c r="I120" s="491">
        <f>IF('[3]BASE'!FS121="","",'[3]BASE'!FS121)</f>
      </c>
      <c r="J120" s="491">
        <f>IF('[3]BASE'!FT121="","",'[3]BASE'!FT121)</f>
      </c>
      <c r="K120" s="491">
        <f>IF('[3]BASE'!FU121="","",'[3]BASE'!FU121)</f>
      </c>
      <c r="L120" s="491">
        <f>IF('[3]BASE'!FV121="","",'[3]BASE'!FV121)</f>
      </c>
      <c r="M120" s="491">
        <f>IF('[3]BASE'!FW121="","",'[3]BASE'!FW121)</f>
      </c>
      <c r="N120" s="491">
        <f>IF('[3]BASE'!FX121="","",'[3]BASE'!FX121)</f>
      </c>
      <c r="O120" s="491">
        <f>IF('[3]BASE'!FY121="","",'[3]BASE'!FY121)</f>
      </c>
      <c r="P120" s="491">
        <f>IF('[3]BASE'!FZ121="","",'[3]BASE'!FZ121)</f>
      </c>
      <c r="Q120" s="491">
        <f>IF('[3]BASE'!GA121="","",'[3]BASE'!GA121)</f>
        <v>1</v>
      </c>
      <c r="R120" s="491">
        <f>IF('[3]BASE'!GB121="","",'[3]BASE'!GB121)</f>
      </c>
      <c r="S120" s="491">
        <f>IF('[3]BASE'!GC121="","",'[3]BASE'!GC121)</f>
      </c>
      <c r="T120" s="491">
        <f>IF('[3]BASE'!GD121="","",'[3]BASE'!GD121)</f>
      </c>
      <c r="U120" s="492"/>
      <c r="V120" s="489"/>
    </row>
    <row r="121" spans="2:22" s="483" customFormat="1" ht="19.5" customHeight="1">
      <c r="B121" s="484"/>
      <c r="C121" s="490">
        <f>IF('[3]BASE'!C122="","",'[3]BASE'!C122)</f>
        <v>106</v>
      </c>
      <c r="D121" s="490">
        <f>IF('[3]BASE'!D122="","",'[3]BASE'!D122)</f>
        <v>3541</v>
      </c>
      <c r="E121" s="490" t="str">
        <f>IF('[3]BASE'!E122="","",'[3]BASE'!E122)</f>
        <v>PETROQ. BAHIA BLANCA - PROFERTIL</v>
      </c>
      <c r="F121" s="490">
        <f>IF('[3]BASE'!F122="","",'[3]BASE'!F122)</f>
        <v>132</v>
      </c>
      <c r="G121" s="490">
        <f>IF('[3]BASE'!G122="","",'[3]BASE'!G122)</f>
        <v>1.8</v>
      </c>
      <c r="H121" s="490" t="str">
        <f>IF('[3]BASE'!H122="","",'[3]BASE'!H122)</f>
        <v>C</v>
      </c>
      <c r="I121" s="491">
        <f>IF('[3]BASE'!FS122="","",'[3]BASE'!FS122)</f>
      </c>
      <c r="J121" s="491">
        <f>IF('[3]BASE'!FT122="","",'[3]BASE'!FT122)</f>
      </c>
      <c r="K121" s="491">
        <f>IF('[3]BASE'!FU122="","",'[3]BASE'!FU122)</f>
      </c>
      <c r="L121" s="491">
        <f>IF('[3]BASE'!FV122="","",'[3]BASE'!FV122)</f>
      </c>
      <c r="M121" s="491">
        <f>IF('[3]BASE'!FW122="","",'[3]BASE'!FW122)</f>
      </c>
      <c r="N121" s="491">
        <f>IF('[3]BASE'!FX122="","",'[3]BASE'!FX122)</f>
      </c>
      <c r="O121" s="491">
        <f>IF('[3]BASE'!FY122="","",'[3]BASE'!FY122)</f>
      </c>
      <c r="P121" s="491">
        <f>IF('[3]BASE'!FZ122="","",'[3]BASE'!FZ122)</f>
      </c>
      <c r="Q121" s="491">
        <f>IF('[3]BASE'!GA122="","",'[3]BASE'!GA122)</f>
      </c>
      <c r="R121" s="491">
        <f>IF('[3]BASE'!GB122="","",'[3]BASE'!GB122)</f>
      </c>
      <c r="S121" s="491">
        <f>IF('[3]BASE'!GC122="","",'[3]BASE'!GC122)</f>
      </c>
      <c r="T121" s="491">
        <f>IF('[3]BASE'!GD122="","",'[3]BASE'!GD122)</f>
      </c>
      <c r="U121" s="492"/>
      <c r="V121" s="489"/>
    </row>
    <row r="122" spans="2:22" s="483" customFormat="1" ht="19.5" customHeight="1">
      <c r="B122" s="484"/>
      <c r="C122" s="490">
        <f>IF('[3]BASE'!C123="","",'[3]BASE'!C123)</f>
        <v>107</v>
      </c>
      <c r="D122" s="490">
        <f>IF('[3]BASE'!D123="","",'[3]BASE'!D123)</f>
        <v>3575</v>
      </c>
      <c r="E122" s="490" t="str">
        <f>IF('[3]BASE'!E123="","",'[3]BASE'!E123)</f>
        <v>NUEVA CAMPANA - PRAXAIR</v>
      </c>
      <c r="F122" s="490">
        <f>IF('[3]BASE'!F123="","",'[3]BASE'!F123)</f>
        <v>132</v>
      </c>
      <c r="G122" s="490">
        <f>IF('[3]BASE'!G123="","",'[3]BASE'!G123)</f>
        <v>6.1</v>
      </c>
      <c r="H122" s="490" t="str">
        <f>IF('[3]BASE'!H123="","",'[3]BASE'!H123)</f>
        <v>C</v>
      </c>
      <c r="I122" s="491">
        <f>IF('[3]BASE'!FS123="","",'[3]BASE'!FS123)</f>
      </c>
      <c r="J122" s="491">
        <f>IF('[3]BASE'!FT123="","",'[3]BASE'!FT123)</f>
      </c>
      <c r="K122" s="491">
        <f>IF('[3]BASE'!FU123="","",'[3]BASE'!FU123)</f>
      </c>
      <c r="L122" s="491">
        <f>IF('[3]BASE'!FV123="","",'[3]BASE'!FV123)</f>
      </c>
      <c r="M122" s="491">
        <f>IF('[3]BASE'!FW123="","",'[3]BASE'!FW123)</f>
      </c>
      <c r="N122" s="491">
        <f>IF('[3]BASE'!FX123="","",'[3]BASE'!FX123)</f>
      </c>
      <c r="O122" s="491">
        <f>IF('[3]BASE'!FY123="","",'[3]BASE'!FY123)</f>
      </c>
      <c r="P122" s="491">
        <f>IF('[3]BASE'!FZ123="","",'[3]BASE'!FZ123)</f>
      </c>
      <c r="Q122" s="491">
        <f>IF('[3]BASE'!GA123="","",'[3]BASE'!GA123)</f>
      </c>
      <c r="R122" s="491">
        <f>IF('[3]BASE'!GB123="","",'[3]BASE'!GB123)</f>
      </c>
      <c r="S122" s="491">
        <f>IF('[3]BASE'!GC123="","",'[3]BASE'!GC123)</f>
      </c>
      <c r="T122" s="491">
        <f>IF('[3]BASE'!GD123="","",'[3]BASE'!GD123)</f>
      </c>
      <c r="U122" s="492"/>
      <c r="V122" s="489"/>
    </row>
    <row r="123" spans="2:22" s="483" customFormat="1" ht="19.5" customHeight="1">
      <c r="B123" s="484"/>
      <c r="C123" s="490">
        <f>IF('[3]BASE'!C124="","",'[3]BASE'!C124)</f>
        <v>108</v>
      </c>
      <c r="D123" s="490">
        <f>IF('[3]BASE'!D124="","",'[3]BASE'!D124)</f>
        <v>3576</v>
      </c>
      <c r="E123" s="490" t="str">
        <f>IF('[3]BASE'!E124="","",'[3]BASE'!E124)</f>
        <v>PRAXAIR - CAMPANA</v>
      </c>
      <c r="F123" s="490">
        <f>IF('[3]BASE'!F124="","",'[3]BASE'!F124)</f>
        <v>132</v>
      </c>
      <c r="G123" s="490">
        <f>IF('[3]BASE'!G124="","",'[3]BASE'!G124)</f>
        <v>1.1</v>
      </c>
      <c r="H123" s="490" t="str">
        <f>IF('[3]BASE'!H124="","",'[3]BASE'!H124)</f>
        <v>C</v>
      </c>
      <c r="I123" s="491">
        <f>IF('[3]BASE'!FS124="","",'[3]BASE'!FS124)</f>
      </c>
      <c r="J123" s="491">
        <f>IF('[3]BASE'!FT124="","",'[3]BASE'!FT124)</f>
      </c>
      <c r="K123" s="491">
        <f>IF('[3]BASE'!FU124="","",'[3]BASE'!FU124)</f>
      </c>
      <c r="L123" s="491">
        <f>IF('[3]BASE'!FV124="","",'[3]BASE'!FV124)</f>
      </c>
      <c r="M123" s="491">
        <f>IF('[3]BASE'!FW124="","",'[3]BASE'!FW124)</f>
      </c>
      <c r="N123" s="491">
        <f>IF('[3]BASE'!FX124="","",'[3]BASE'!FX124)</f>
      </c>
      <c r="O123" s="491">
        <f>IF('[3]BASE'!FY124="","",'[3]BASE'!FY124)</f>
      </c>
      <c r="P123" s="491">
        <f>IF('[3]BASE'!FZ124="","",'[3]BASE'!FZ124)</f>
      </c>
      <c r="Q123" s="491">
        <f>IF('[3]BASE'!GA124="","",'[3]BASE'!GA124)</f>
      </c>
      <c r="R123" s="491">
        <f>IF('[3]BASE'!GB124="","",'[3]BASE'!GB124)</f>
      </c>
      <c r="S123" s="491">
        <f>IF('[3]BASE'!GC124="","",'[3]BASE'!GC124)</f>
      </c>
      <c r="T123" s="491">
        <f>IF('[3]BASE'!GD124="","",'[3]BASE'!GD124)</f>
      </c>
      <c r="U123" s="492"/>
      <c r="V123" s="489"/>
    </row>
    <row r="124" spans="2:22" s="483" customFormat="1" ht="19.5" customHeight="1">
      <c r="B124" s="484"/>
      <c r="C124" s="490">
        <f>IF('[3]BASE'!C125="","",'[3]BASE'!C125)</f>
        <v>109</v>
      </c>
      <c r="D124" s="490">
        <f>IF('[3]BASE'!D125="","",'[3]BASE'!D125)</f>
        <v>3596</v>
      </c>
      <c r="E124" s="490" t="str">
        <f>IF('[3]BASE'!E125="","",'[3]BASE'!E125)</f>
        <v>PUNTA ALTA - CORONEL ROSALES</v>
      </c>
      <c r="F124" s="490">
        <f>IF('[3]BASE'!F125="","",'[3]BASE'!F125)</f>
        <v>132</v>
      </c>
      <c r="G124" s="490">
        <f>IF('[3]BASE'!G125="","",'[3]BASE'!G125)</f>
        <v>4.1</v>
      </c>
      <c r="H124" s="490" t="str">
        <f>IF('[3]BASE'!H125="","",'[3]BASE'!H125)</f>
        <v>C</v>
      </c>
      <c r="I124" s="491">
        <f>IF('[3]BASE'!FS125="","",'[3]BASE'!FS125)</f>
      </c>
      <c r="J124" s="491">
        <f>IF('[3]BASE'!FT125="","",'[3]BASE'!FT125)</f>
      </c>
      <c r="K124" s="491">
        <f>IF('[3]BASE'!FU125="","",'[3]BASE'!FU125)</f>
      </c>
      <c r="L124" s="491">
        <f>IF('[3]BASE'!FV125="","",'[3]BASE'!FV125)</f>
      </c>
      <c r="M124" s="491">
        <f>IF('[3]BASE'!FW125="","",'[3]BASE'!FW125)</f>
      </c>
      <c r="N124" s="491">
        <f>IF('[3]BASE'!FX125="","",'[3]BASE'!FX125)</f>
      </c>
      <c r="O124" s="491">
        <f>IF('[3]BASE'!FY125="","",'[3]BASE'!FY125)</f>
        <v>1</v>
      </c>
      <c r="P124" s="491">
        <f>IF('[3]BASE'!FZ125="","",'[3]BASE'!FZ125)</f>
      </c>
      <c r="Q124" s="491">
        <f>IF('[3]BASE'!GA125="","",'[3]BASE'!GA125)</f>
      </c>
      <c r="R124" s="491">
        <f>IF('[3]BASE'!GB125="","",'[3]BASE'!GB125)</f>
      </c>
      <c r="S124" s="491">
        <f>IF('[3]BASE'!GC125="","",'[3]BASE'!GC125)</f>
      </c>
      <c r="T124" s="491">
        <f>IF('[3]BASE'!GD125="","",'[3]BASE'!GD125)</f>
      </c>
      <c r="U124" s="492"/>
      <c r="V124" s="489"/>
    </row>
    <row r="125" spans="2:22" s="483" customFormat="1" ht="19.5" customHeight="1">
      <c r="B125" s="484"/>
      <c r="C125" s="490">
        <f>IF('[3]BASE'!C126="","",'[3]BASE'!C126)</f>
        <v>110</v>
      </c>
      <c r="D125" s="490">
        <f>IF('[3]BASE'!D126="","",'[3]BASE'!D126)</f>
        <v>3535</v>
      </c>
      <c r="E125" s="490" t="str">
        <f>IF('[3]BASE'!E126="","",'[3]BASE'!E126)</f>
        <v>PAPEL PRENSA - BARADERO</v>
      </c>
      <c r="F125" s="490">
        <f>IF('[3]BASE'!F126="","",'[3]BASE'!F126)</f>
        <v>132</v>
      </c>
      <c r="G125" s="490">
        <f>IF('[3]BASE'!G126="","",'[3]BASE'!G126)</f>
        <v>24</v>
      </c>
      <c r="H125" s="490" t="str">
        <f>IF('[3]BASE'!H126="","",'[3]BASE'!H126)</f>
        <v>C</v>
      </c>
      <c r="I125" s="491">
        <f>IF('[3]BASE'!FS126="","",'[3]BASE'!FS126)</f>
      </c>
      <c r="J125" s="491">
        <f>IF('[3]BASE'!FT126="","",'[3]BASE'!FT126)</f>
      </c>
      <c r="K125" s="491">
        <f>IF('[3]BASE'!FU126="","",'[3]BASE'!FU126)</f>
      </c>
      <c r="L125" s="491">
        <f>IF('[3]BASE'!FV126="","",'[3]BASE'!FV126)</f>
      </c>
      <c r="M125" s="491">
        <f>IF('[3]BASE'!FW126="","",'[3]BASE'!FW126)</f>
      </c>
      <c r="N125" s="491">
        <f>IF('[3]BASE'!FX126="","",'[3]BASE'!FX126)</f>
      </c>
      <c r="O125" s="491">
        <f>IF('[3]BASE'!FY126="","",'[3]BASE'!FY126)</f>
      </c>
      <c r="P125" s="491">
        <f>IF('[3]BASE'!FZ126="","",'[3]BASE'!FZ126)</f>
      </c>
      <c r="Q125" s="491">
        <f>IF('[3]BASE'!GA126="","",'[3]BASE'!GA126)</f>
      </c>
      <c r="R125" s="491">
        <f>IF('[3]BASE'!GB126="","",'[3]BASE'!GB126)</f>
      </c>
      <c r="S125" s="491">
        <f>IF('[3]BASE'!GC126="","",'[3]BASE'!GC126)</f>
      </c>
      <c r="T125" s="491">
        <f>IF('[3]BASE'!GD126="","",'[3]BASE'!GD126)</f>
      </c>
      <c r="U125" s="492"/>
      <c r="V125" s="489"/>
    </row>
    <row r="126" spans="2:22" s="483" customFormat="1" ht="19.5" customHeight="1">
      <c r="B126" s="484"/>
      <c r="C126" s="490">
        <f>IF('[3]BASE'!C127="","",'[3]BASE'!C127)</f>
        <v>111</v>
      </c>
      <c r="D126" s="490">
        <f>IF('[3]BASE'!D127="","",'[3]BASE'!D127)</f>
        <v>3715</v>
      </c>
      <c r="E126" s="490" t="str">
        <f>IF('[3]BASE'!E127="","",'[3]BASE'!E127)</f>
        <v>SALTO BA - CHACABUCO</v>
      </c>
      <c r="F126" s="490">
        <f>IF('[3]BASE'!F127="","",'[3]BASE'!F127)</f>
        <v>132</v>
      </c>
      <c r="G126" s="490">
        <f>IF('[3]BASE'!G127="","",'[3]BASE'!G127)</f>
        <v>60.1</v>
      </c>
      <c r="H126" s="490" t="str">
        <f>IF('[3]BASE'!H127="","",'[3]BASE'!H127)</f>
        <v>C</v>
      </c>
      <c r="I126" s="491" t="str">
        <f>IF('[3]BASE'!FS127="","",'[3]BASE'!FS127)</f>
        <v>XXXX</v>
      </c>
      <c r="J126" s="491" t="str">
        <f>IF('[3]BASE'!FT127="","",'[3]BASE'!FT127)</f>
        <v>XXXX</v>
      </c>
      <c r="K126" s="491" t="str">
        <f>IF('[3]BASE'!FU127="","",'[3]BASE'!FU127)</f>
        <v>XXXX</v>
      </c>
      <c r="L126" s="491" t="str">
        <f>IF('[3]BASE'!FV127="","",'[3]BASE'!FV127)</f>
        <v>XXXX</v>
      </c>
      <c r="M126" s="491" t="str">
        <f>IF('[3]BASE'!FW127="","",'[3]BASE'!FW127)</f>
        <v>XXXX</v>
      </c>
      <c r="N126" s="491" t="str">
        <f>IF('[3]BASE'!FX127="","",'[3]BASE'!FX127)</f>
        <v>XXXX</v>
      </c>
      <c r="O126" s="491" t="str">
        <f>IF('[3]BASE'!FY127="","",'[3]BASE'!FY127)</f>
        <v>XXXX</v>
      </c>
      <c r="P126" s="491" t="str">
        <f>IF('[3]BASE'!FZ127="","",'[3]BASE'!FZ127)</f>
        <v>XXXX</v>
      </c>
      <c r="Q126" s="491" t="str">
        <f>IF('[3]BASE'!GA127="","",'[3]BASE'!GA127)</f>
        <v>XXXX</v>
      </c>
      <c r="R126" s="491" t="str">
        <f>IF('[3]BASE'!GB127="","",'[3]BASE'!GB127)</f>
        <v>XXXX</v>
      </c>
      <c r="S126" s="491" t="str">
        <f>IF('[3]BASE'!GC127="","",'[3]BASE'!GC127)</f>
        <v>XXXX</v>
      </c>
      <c r="T126" s="491" t="str">
        <f>IF('[3]BASE'!GD127="","",'[3]BASE'!GD127)</f>
        <v>XXXX</v>
      </c>
      <c r="U126" s="492"/>
      <c r="V126" s="489"/>
    </row>
    <row r="127" spans="2:22" s="483" customFormat="1" ht="19.5" customHeight="1">
      <c r="B127" s="484"/>
      <c r="C127" s="490">
        <f>IF('[3]BASE'!C128="","",'[3]BASE'!C128)</f>
        <v>112</v>
      </c>
      <c r="D127" s="490">
        <f>IF('[3]BASE'!D128="","",'[3]BASE'!D128)</f>
        <v>3689</v>
      </c>
      <c r="E127" s="490" t="str">
        <f>IF('[3]BASE'!E128="","",'[3]BASE'!E128)</f>
        <v>LA PAMPITA - LAPRIDA</v>
      </c>
      <c r="F127" s="490">
        <f>IF('[3]BASE'!F128="","",'[3]BASE'!F128)</f>
        <v>132</v>
      </c>
      <c r="G127" s="490">
        <f>IF('[3]BASE'!G128="","",'[3]BASE'!G128)</f>
        <v>72.2</v>
      </c>
      <c r="H127" s="490" t="str">
        <f>IF('[3]BASE'!H128="","",'[3]BASE'!H128)</f>
        <v>C</v>
      </c>
      <c r="I127" s="491">
        <f>IF('[3]BASE'!FS128="","",'[3]BASE'!FS128)</f>
      </c>
      <c r="J127" s="491">
        <f>IF('[3]BASE'!FT128="","",'[3]BASE'!FT128)</f>
      </c>
      <c r="K127" s="491">
        <f>IF('[3]BASE'!FU128="","",'[3]BASE'!FU128)</f>
      </c>
      <c r="L127" s="491">
        <f>IF('[3]BASE'!FV128="","",'[3]BASE'!FV128)</f>
      </c>
      <c r="M127" s="491">
        <f>IF('[3]BASE'!FW128="","",'[3]BASE'!FW128)</f>
      </c>
      <c r="N127" s="491">
        <f>IF('[3]BASE'!FX128="","",'[3]BASE'!FX128)</f>
      </c>
      <c r="O127" s="491">
        <f>IF('[3]BASE'!FY128="","",'[3]BASE'!FY128)</f>
      </c>
      <c r="P127" s="491">
        <f>IF('[3]BASE'!FZ128="","",'[3]BASE'!FZ128)</f>
      </c>
      <c r="Q127" s="491">
        <f>IF('[3]BASE'!GA128="","",'[3]BASE'!GA128)</f>
      </c>
      <c r="R127" s="491">
        <f>IF('[3]BASE'!GB128="","",'[3]BASE'!GB128)</f>
        <v>1</v>
      </c>
      <c r="S127" s="491">
        <f>IF('[3]BASE'!GC128="","",'[3]BASE'!GC128)</f>
      </c>
      <c r="T127" s="491">
        <f>IF('[3]BASE'!GD128="","",'[3]BASE'!GD128)</f>
      </c>
      <c r="U127" s="492"/>
      <c r="V127" s="489"/>
    </row>
    <row r="128" spans="2:22" s="483" customFormat="1" ht="19.5" customHeight="1">
      <c r="B128" s="484"/>
      <c r="C128" s="490">
        <f>IF('[3]BASE'!C129="","",'[3]BASE'!C129)</f>
        <v>113</v>
      </c>
      <c r="D128" s="490">
        <f>IF('[3]BASE'!D129="","",'[3]BASE'!D129)</f>
        <v>3690</v>
      </c>
      <c r="E128" s="490" t="str">
        <f>IF('[3]BASE'!E129="","",'[3]BASE'!E129)</f>
        <v>OLAVARRIA - LA PAMPITA</v>
      </c>
      <c r="F128" s="490">
        <f>IF('[3]BASE'!F129="","",'[3]BASE'!F129)</f>
        <v>132</v>
      </c>
      <c r="G128" s="490">
        <f>IF('[3]BASE'!G129="","",'[3]BASE'!G129)</f>
        <v>27.5</v>
      </c>
      <c r="H128" s="490" t="str">
        <f>IF('[3]BASE'!H129="","",'[3]BASE'!H129)</f>
        <v>C</v>
      </c>
      <c r="I128" s="491">
        <f>IF('[3]BASE'!FS129="","",'[3]BASE'!FS129)</f>
      </c>
      <c r="J128" s="491">
        <f>IF('[3]BASE'!FT129="","",'[3]BASE'!FT129)</f>
      </c>
      <c r="K128" s="491">
        <f>IF('[3]BASE'!FU129="","",'[3]BASE'!FU129)</f>
      </c>
      <c r="L128" s="491">
        <f>IF('[3]BASE'!FV129="","",'[3]BASE'!FV129)</f>
      </c>
      <c r="M128" s="491">
        <f>IF('[3]BASE'!FW129="","",'[3]BASE'!FW129)</f>
      </c>
      <c r="N128" s="491">
        <f>IF('[3]BASE'!FX129="","",'[3]BASE'!FX129)</f>
      </c>
      <c r="O128" s="491">
        <f>IF('[3]BASE'!FY129="","",'[3]BASE'!FY129)</f>
      </c>
      <c r="P128" s="491">
        <f>IF('[3]BASE'!FZ129="","",'[3]BASE'!FZ129)</f>
      </c>
      <c r="Q128" s="491">
        <f>IF('[3]BASE'!GA129="","",'[3]BASE'!GA129)</f>
      </c>
      <c r="R128" s="491">
        <f>IF('[3]BASE'!GB129="","",'[3]BASE'!GB129)</f>
      </c>
      <c r="S128" s="491">
        <f>IF('[3]BASE'!GC129="","",'[3]BASE'!GC129)</f>
      </c>
      <c r="T128" s="491">
        <f>IF('[3]BASE'!GD129="","",'[3]BASE'!GD129)</f>
      </c>
      <c r="U128" s="492"/>
      <c r="V128" s="489"/>
    </row>
    <row r="129" spans="2:22" s="483" customFormat="1" ht="19.5" customHeight="1">
      <c r="B129" s="484"/>
      <c r="C129" s="490">
        <f>IF('[3]BASE'!C130="","",'[3]BASE'!C130)</f>
        <v>114</v>
      </c>
      <c r="D129" s="490">
        <f>IF('[3]BASE'!D130="","",'[3]BASE'!D130)</f>
        <v>3796</v>
      </c>
      <c r="E129" s="490" t="str">
        <f>IF('[3]BASE'!E130="","",'[3]BASE'!E130)</f>
        <v>C. SARMIENTO - S.A. DE ARECO</v>
      </c>
      <c r="F129" s="490">
        <f>IF('[3]BASE'!F130="","",'[3]BASE'!F130)</f>
        <v>66</v>
      </c>
      <c r="G129" s="490">
        <f>IF('[3]BASE'!G130="","",'[3]BASE'!G130)</f>
        <v>31.5</v>
      </c>
      <c r="H129" s="490" t="str">
        <f>IF('[3]BASE'!H130="","",'[3]BASE'!H130)</f>
        <v>C</v>
      </c>
      <c r="I129" s="491">
        <f>IF('[3]BASE'!FS130="","",'[3]BASE'!FS130)</f>
      </c>
      <c r="J129" s="491">
        <f>IF('[3]BASE'!FT130="","",'[3]BASE'!FT130)</f>
      </c>
      <c r="K129" s="491">
        <f>IF('[3]BASE'!FU130="","",'[3]BASE'!FU130)</f>
      </c>
      <c r="L129" s="491">
        <f>IF('[3]BASE'!FV130="","",'[3]BASE'!FV130)</f>
      </c>
      <c r="M129" s="491">
        <f>IF('[3]BASE'!FW130="","",'[3]BASE'!FW130)</f>
      </c>
      <c r="N129" s="491">
        <f>IF('[3]BASE'!FX130="","",'[3]BASE'!FX130)</f>
      </c>
      <c r="O129" s="491">
        <f>IF('[3]BASE'!FY130="","",'[3]BASE'!FY130)</f>
      </c>
      <c r="P129" s="491">
        <f>IF('[3]BASE'!FZ130="","",'[3]BASE'!FZ130)</f>
      </c>
      <c r="Q129" s="491">
        <f>IF('[3]BASE'!GA130="","",'[3]BASE'!GA130)</f>
      </c>
      <c r="R129" s="491">
        <f>IF('[3]BASE'!GB130="","",'[3]BASE'!GB130)</f>
      </c>
      <c r="S129" s="491">
        <f>IF('[3]BASE'!GC130="","",'[3]BASE'!GC130)</f>
      </c>
      <c r="T129" s="491">
        <f>IF('[3]BASE'!GD130="","",'[3]BASE'!GD130)</f>
      </c>
      <c r="U129" s="492"/>
      <c r="V129" s="489"/>
    </row>
    <row r="130" spans="2:22" s="483" customFormat="1" ht="19.5" customHeight="1">
      <c r="B130" s="484"/>
      <c r="C130" s="490">
        <f>IF('[3]BASE'!C131="","",'[3]BASE'!C131)</f>
        <v>115</v>
      </c>
      <c r="D130" s="490">
        <f>IF('[3]BASE'!D131="","",'[3]BASE'!D131)</f>
        <v>3797</v>
      </c>
      <c r="E130" s="490" t="str">
        <f>IF('[3]BASE'!E131="","",'[3]BASE'!E131)</f>
        <v>S.A. DE ARECO - LUJAN BAS</v>
      </c>
      <c r="F130" s="490">
        <f>IF('[3]BASE'!F131="","",'[3]BASE'!F131)</f>
        <v>66</v>
      </c>
      <c r="G130" s="490">
        <f>IF('[3]BASE'!G131="","",'[3]BASE'!G131)</f>
        <v>49.8</v>
      </c>
      <c r="H130" s="490" t="str">
        <f>IF('[3]BASE'!H131="","",'[3]BASE'!H131)</f>
        <v>C</v>
      </c>
      <c r="I130" s="491">
        <f>IF('[3]BASE'!FS131="","",'[3]BASE'!FS131)</f>
      </c>
      <c r="J130" s="491">
        <f>IF('[3]BASE'!FT131="","",'[3]BASE'!FT131)</f>
      </c>
      <c r="K130" s="491">
        <f>IF('[3]BASE'!FU131="","",'[3]BASE'!FU131)</f>
      </c>
      <c r="L130" s="491">
        <f>IF('[3]BASE'!FV131="","",'[3]BASE'!FV131)</f>
      </c>
      <c r="M130" s="491">
        <f>IF('[3]BASE'!FW131="","",'[3]BASE'!FW131)</f>
      </c>
      <c r="N130" s="491">
        <f>IF('[3]BASE'!FX131="","",'[3]BASE'!FX131)</f>
      </c>
      <c r="O130" s="491">
        <f>IF('[3]BASE'!FY131="","",'[3]BASE'!FY131)</f>
      </c>
      <c r="P130" s="491">
        <f>IF('[3]BASE'!FZ131="","",'[3]BASE'!FZ131)</f>
      </c>
      <c r="Q130" s="491">
        <f>IF('[3]BASE'!GA131="","",'[3]BASE'!GA131)</f>
      </c>
      <c r="R130" s="491">
        <f>IF('[3]BASE'!GB131="","",'[3]BASE'!GB131)</f>
      </c>
      <c r="S130" s="491">
        <f>IF('[3]BASE'!GC131="","",'[3]BASE'!GC131)</f>
      </c>
      <c r="T130" s="491">
        <f>IF('[3]BASE'!GD131="","",'[3]BASE'!GD131)</f>
      </c>
      <c r="U130" s="492"/>
      <c r="V130" s="489"/>
    </row>
    <row r="131" spans="2:22" s="483" customFormat="1" ht="19.5" customHeight="1">
      <c r="B131" s="484"/>
      <c r="C131" s="490">
        <f>IF('[3]BASE'!C132="","",'[3]BASE'!C132)</f>
        <v>116</v>
      </c>
      <c r="D131" s="490">
        <f>IF('[3]BASE'!D132="","",'[3]BASE'!D132)</f>
        <v>3829</v>
      </c>
      <c r="E131" s="490" t="str">
        <f>IF('[3]BASE'!E132="","",'[3]BASE'!E132)</f>
        <v>OLAVARRIA - BARKER</v>
      </c>
      <c r="F131" s="490">
        <f>IF('[3]BASE'!F132="","",'[3]BASE'!F132)</f>
        <v>132</v>
      </c>
      <c r="G131" s="490">
        <f>IF('[3]BASE'!G132="","",'[3]BASE'!G132)</f>
        <v>139.4</v>
      </c>
      <c r="H131" s="490" t="str">
        <f>IF('[3]BASE'!H132="","",'[3]BASE'!H132)</f>
        <v>C</v>
      </c>
      <c r="I131" s="491">
        <f>IF('[3]BASE'!FS132="","",'[3]BASE'!FS132)</f>
      </c>
      <c r="J131" s="491">
        <f>IF('[3]BASE'!FT132="","",'[3]BASE'!FT132)</f>
      </c>
      <c r="K131" s="491">
        <f>IF('[3]BASE'!FU132="","",'[3]BASE'!FU132)</f>
      </c>
      <c r="L131" s="491">
        <f>IF('[3]BASE'!FV132="","",'[3]BASE'!FV132)</f>
      </c>
      <c r="M131" s="491">
        <f>IF('[3]BASE'!FW132="","",'[3]BASE'!FW132)</f>
        <v>1</v>
      </c>
      <c r="N131" s="491">
        <f>IF('[3]BASE'!FX132="","",'[3]BASE'!FX132)</f>
      </c>
      <c r="O131" s="491">
        <f>IF('[3]BASE'!FY132="","",'[3]BASE'!FY132)</f>
      </c>
      <c r="P131" s="491">
        <f>IF('[3]BASE'!FZ132="","",'[3]BASE'!FZ132)</f>
      </c>
      <c r="Q131" s="491">
        <f>IF('[3]BASE'!GA132="","",'[3]BASE'!GA132)</f>
      </c>
      <c r="R131" s="491">
        <f>IF('[3]BASE'!GB132="","",'[3]BASE'!GB132)</f>
      </c>
      <c r="S131" s="491">
        <f>IF('[3]BASE'!GC132="","",'[3]BASE'!GC132)</f>
        <v>1</v>
      </c>
      <c r="T131" s="491">
        <f>IF('[3]BASE'!GD132="","",'[3]BASE'!GD132)</f>
        <v>1</v>
      </c>
      <c r="U131" s="492"/>
      <c r="V131" s="489"/>
    </row>
    <row r="132" spans="2:22" s="483" customFormat="1" ht="19.5" customHeight="1">
      <c r="B132" s="484"/>
      <c r="C132" s="490">
        <f>IF('[3]BASE'!C133="","",'[3]BASE'!C133)</f>
        <v>117</v>
      </c>
      <c r="D132" s="490">
        <f>IF('[3]BASE'!D133="","",'[3]BASE'!D133)</f>
        <v>4067</v>
      </c>
      <c r="E132" s="490" t="str">
        <f>IF('[3]BASE'!E133="","",'[3]BASE'!E133)</f>
        <v>CHILLAR - OLAVARRIA </v>
      </c>
      <c r="F132" s="490">
        <f>IF('[3]BASE'!F133="","",'[3]BASE'!F133)</f>
        <v>132</v>
      </c>
      <c r="G132" s="490">
        <f>IF('[3]BASE'!G133="","",'[3]BASE'!G133)</f>
        <v>73.43</v>
      </c>
      <c r="H132" s="490" t="str">
        <f>IF('[3]BASE'!H133="","",'[3]BASE'!H133)</f>
        <v>C</v>
      </c>
      <c r="I132" s="491">
        <f>IF('[3]BASE'!FS133="","",'[3]BASE'!FS133)</f>
      </c>
      <c r="J132" s="491">
        <f>IF('[3]BASE'!FT133="","",'[3]BASE'!FT133)</f>
      </c>
      <c r="K132" s="491">
        <f>IF('[3]BASE'!FU133="","",'[3]BASE'!FU133)</f>
      </c>
      <c r="L132" s="491">
        <f>IF('[3]BASE'!FV133="","",'[3]BASE'!FV133)</f>
      </c>
      <c r="M132" s="491">
        <f>IF('[3]BASE'!FW133="","",'[3]BASE'!FW133)</f>
        <v>1</v>
      </c>
      <c r="N132" s="491">
        <f>IF('[3]BASE'!FX133="","",'[3]BASE'!FX133)</f>
      </c>
      <c r="O132" s="491">
        <f>IF('[3]BASE'!FY133="","",'[3]BASE'!FY133)</f>
      </c>
      <c r="P132" s="491">
        <f>IF('[3]BASE'!FZ133="","",'[3]BASE'!FZ133)</f>
      </c>
      <c r="Q132" s="491">
        <f>IF('[3]BASE'!GA133="","",'[3]BASE'!GA133)</f>
        <v>1</v>
      </c>
      <c r="R132" s="491">
        <f>IF('[3]BASE'!GB133="","",'[3]BASE'!GB133)</f>
      </c>
      <c r="S132" s="491">
        <f>IF('[3]BASE'!GC133="","",'[3]BASE'!GC133)</f>
      </c>
      <c r="T132" s="491">
        <f>IF('[3]BASE'!GD133="","",'[3]BASE'!GD133)</f>
      </c>
      <c r="U132" s="492"/>
      <c r="V132" s="489"/>
    </row>
    <row r="133" spans="2:22" s="483" customFormat="1" ht="19.5" customHeight="1">
      <c r="B133" s="484"/>
      <c r="C133" s="490">
        <f>IF('[3]BASE'!C134="","",'[3]BASE'!C134)</f>
        <v>118</v>
      </c>
      <c r="D133" s="490">
        <f>IF('[3]BASE'!D134="","",'[3]BASE'!D134)</f>
        <v>4070</v>
      </c>
      <c r="E133" s="490" t="str">
        <f>IF('[3]BASE'!E134="","",'[3]BASE'!E134)</f>
        <v>CHILLAR  - GONZALEZ CHAVES</v>
      </c>
      <c r="F133" s="490">
        <f>IF('[3]BASE'!F134="","",'[3]BASE'!F134)</f>
        <v>132</v>
      </c>
      <c r="G133" s="490">
        <f>IF('[3]BASE'!G134="","",'[3]BASE'!G134)</f>
        <v>89.14</v>
      </c>
      <c r="H133" s="490" t="str">
        <f>IF('[3]BASE'!H134="","",'[3]BASE'!H134)</f>
        <v>C</v>
      </c>
      <c r="I133" s="491">
        <f>IF('[3]BASE'!FS134="","",'[3]BASE'!FS134)</f>
      </c>
      <c r="J133" s="491">
        <f>IF('[3]BASE'!FT134="","",'[3]BASE'!FT134)</f>
      </c>
      <c r="K133" s="491">
        <f>IF('[3]BASE'!FU134="","",'[3]BASE'!FU134)</f>
      </c>
      <c r="L133" s="491">
        <f>IF('[3]BASE'!FV134="","",'[3]BASE'!FV134)</f>
      </c>
      <c r="M133" s="491">
        <f>IF('[3]BASE'!FW134="","",'[3]BASE'!FW134)</f>
      </c>
      <c r="N133" s="491">
        <f>IF('[3]BASE'!FX134="","",'[3]BASE'!FX134)</f>
      </c>
      <c r="O133" s="491">
        <f>IF('[3]BASE'!FY134="","",'[3]BASE'!FY134)</f>
      </c>
      <c r="P133" s="491">
        <f>IF('[3]BASE'!FZ134="","",'[3]BASE'!FZ134)</f>
      </c>
      <c r="Q133" s="491">
        <f>IF('[3]BASE'!GA134="","",'[3]BASE'!GA134)</f>
      </c>
      <c r="R133" s="491">
        <f>IF('[3]BASE'!GB134="","",'[3]BASE'!GB134)</f>
      </c>
      <c r="S133" s="491">
        <f>IF('[3]BASE'!GC134="","",'[3]BASE'!GC134)</f>
      </c>
      <c r="T133" s="491">
        <f>IF('[3]BASE'!GD134="","",'[3]BASE'!GD134)</f>
      </c>
      <c r="U133" s="492"/>
      <c r="V133" s="489"/>
    </row>
    <row r="134" spans="2:22" s="483" customFormat="1" ht="19.5" customHeight="1">
      <c r="B134" s="484"/>
      <c r="C134" s="490">
        <f>IF('[3]BASE'!C135="","",'[3]BASE'!C135)</f>
        <v>119</v>
      </c>
      <c r="D134" s="490">
        <f>IF('[3]BASE'!D135="","",'[3]BASE'!D135)</f>
        <v>4077</v>
      </c>
      <c r="E134" s="490" t="str">
        <f>IF('[3]BASE'!E135="","",'[3]BASE'!E135)</f>
        <v>CACHARI - RAUCH</v>
      </c>
      <c r="F134" s="490">
        <f>IF('[3]BASE'!F135="","",'[3]BASE'!F135)</f>
        <v>132</v>
      </c>
      <c r="G134" s="490">
        <f>IF('[3]BASE'!G135="","",'[3]BASE'!G135)</f>
        <v>19.6</v>
      </c>
      <c r="H134" s="490" t="str">
        <f>IF('[3]BASE'!H135="","",'[3]BASE'!H135)</f>
        <v>C</v>
      </c>
      <c r="I134" s="491">
        <f>IF('[3]BASE'!FS135="","",'[3]BASE'!FS135)</f>
      </c>
      <c r="J134" s="491">
        <f>IF('[3]BASE'!FT135="","",'[3]BASE'!FT135)</f>
      </c>
      <c r="K134" s="491">
        <f>IF('[3]BASE'!FU135="","",'[3]BASE'!FU135)</f>
      </c>
      <c r="L134" s="491">
        <f>IF('[3]BASE'!FV135="","",'[3]BASE'!FV135)</f>
      </c>
      <c r="M134" s="491">
        <f>IF('[3]BASE'!FW135="","",'[3]BASE'!FW135)</f>
      </c>
      <c r="N134" s="491">
        <f>IF('[3]BASE'!FX135="","",'[3]BASE'!FX135)</f>
      </c>
      <c r="O134" s="491">
        <f>IF('[3]BASE'!FY135="","",'[3]BASE'!FY135)</f>
      </c>
      <c r="P134" s="491">
        <f>IF('[3]BASE'!FZ135="","",'[3]BASE'!FZ135)</f>
      </c>
      <c r="Q134" s="491">
        <f>IF('[3]BASE'!GA135="","",'[3]BASE'!GA135)</f>
      </c>
      <c r="R134" s="491">
        <f>IF('[3]BASE'!GB135="","",'[3]BASE'!GB135)</f>
      </c>
      <c r="S134" s="491">
        <f>IF('[3]BASE'!GC135="","",'[3]BASE'!GC135)</f>
      </c>
      <c r="T134" s="491">
        <f>IF('[3]BASE'!GD135="","",'[3]BASE'!GD135)</f>
      </c>
      <c r="U134" s="492"/>
      <c r="V134" s="489"/>
    </row>
    <row r="135" spans="2:22" s="483" customFormat="1" ht="19.5" customHeight="1">
      <c r="B135" s="484"/>
      <c r="C135" s="490">
        <f>IF('[3]BASE'!C136="","",'[3]BASE'!C136)</f>
        <v>120</v>
      </c>
      <c r="D135" s="490">
        <f>IF('[3]BASE'!D136="","",'[3]BASE'!D136)</f>
        <v>4075</v>
      </c>
      <c r="E135" s="490" t="str">
        <f>IF('[3]BASE'!E136="","",'[3]BASE'!E136)</f>
        <v>AZUL - CACHARI</v>
      </c>
      <c r="F135" s="490">
        <f>IF('[3]BASE'!F136="","",'[3]BASE'!F136)</f>
        <v>132</v>
      </c>
      <c r="G135" s="490">
        <f>IF('[3]BASE'!G136="","",'[3]BASE'!G136)</f>
        <v>55.7</v>
      </c>
      <c r="H135" s="490" t="str">
        <f>IF('[3]BASE'!H136="","",'[3]BASE'!H136)</f>
        <v>C</v>
      </c>
      <c r="I135" s="491">
        <f>IF('[3]BASE'!FS136="","",'[3]BASE'!FS136)</f>
      </c>
      <c r="J135" s="491">
        <f>IF('[3]BASE'!FT136="","",'[3]BASE'!FT136)</f>
      </c>
      <c r="K135" s="491">
        <f>IF('[3]BASE'!FU136="","",'[3]BASE'!FU136)</f>
      </c>
      <c r="L135" s="491">
        <f>IF('[3]BASE'!FV136="","",'[3]BASE'!FV136)</f>
      </c>
      <c r="M135" s="491">
        <f>IF('[3]BASE'!FW136="","",'[3]BASE'!FW136)</f>
      </c>
      <c r="N135" s="491">
        <f>IF('[3]BASE'!FX136="","",'[3]BASE'!FX136)</f>
      </c>
      <c r="O135" s="491">
        <f>IF('[3]BASE'!FY136="","",'[3]BASE'!FY136)</f>
      </c>
      <c r="P135" s="491">
        <f>IF('[3]BASE'!FZ136="","",'[3]BASE'!FZ136)</f>
      </c>
      <c r="Q135" s="491">
        <f>IF('[3]BASE'!GA136="","",'[3]BASE'!GA136)</f>
      </c>
      <c r="R135" s="491">
        <f>IF('[3]BASE'!GB136="","",'[3]BASE'!GB136)</f>
      </c>
      <c r="S135" s="491">
        <f>IF('[3]BASE'!GC136="","",'[3]BASE'!GC136)</f>
      </c>
      <c r="T135" s="491">
        <f>IF('[3]BASE'!GD136="","",'[3]BASE'!GD136)</f>
      </c>
      <c r="U135" s="492"/>
      <c r="V135" s="489"/>
    </row>
    <row r="136" spans="2:22" s="483" customFormat="1" ht="19.5" customHeight="1">
      <c r="B136" s="484"/>
      <c r="C136" s="490">
        <f>IF('[3]BASE'!C137="","",'[3]BASE'!C137)</f>
        <v>121</v>
      </c>
      <c r="D136" s="490">
        <f>IF('[3]BASE'!D137="","",'[3]BASE'!D137)</f>
        <v>4076</v>
      </c>
      <c r="E136" s="490" t="str">
        <f>IF('[3]BASE'!E137="","",'[3]BASE'!E137)</f>
        <v>CACHARI - LAS FLORES</v>
      </c>
      <c r="F136" s="490">
        <f>IF('[3]BASE'!F137="","",'[3]BASE'!F137)</f>
        <v>132</v>
      </c>
      <c r="G136" s="490">
        <f>IF('[3]BASE'!G137="","",'[3]BASE'!G137)</f>
        <v>51.3</v>
      </c>
      <c r="H136" s="490" t="str">
        <f>IF('[3]BASE'!H137="","",'[3]BASE'!H137)</f>
        <v>C</v>
      </c>
      <c r="I136" s="491">
        <f>IF('[3]BASE'!FS137="","",'[3]BASE'!FS137)</f>
      </c>
      <c r="J136" s="491">
        <f>IF('[3]BASE'!FT137="","",'[3]BASE'!FT137)</f>
      </c>
      <c r="K136" s="491">
        <f>IF('[3]BASE'!FU137="","",'[3]BASE'!FU137)</f>
      </c>
      <c r="L136" s="491">
        <f>IF('[3]BASE'!FV137="","",'[3]BASE'!FV137)</f>
      </c>
      <c r="M136" s="491">
        <f>IF('[3]BASE'!FW137="","",'[3]BASE'!FW137)</f>
      </c>
      <c r="N136" s="491">
        <f>IF('[3]BASE'!FX137="","",'[3]BASE'!FX137)</f>
      </c>
      <c r="O136" s="491">
        <f>IF('[3]BASE'!FY137="","",'[3]BASE'!FY137)</f>
      </c>
      <c r="P136" s="491">
        <f>IF('[3]BASE'!FZ137="","",'[3]BASE'!FZ137)</f>
      </c>
      <c r="Q136" s="491">
        <f>IF('[3]BASE'!GA137="","",'[3]BASE'!GA137)</f>
      </c>
      <c r="R136" s="491">
        <f>IF('[3]BASE'!GB137="","",'[3]BASE'!GB137)</f>
      </c>
      <c r="S136" s="491">
        <f>IF('[3]BASE'!GC137="","",'[3]BASE'!GC137)</f>
      </c>
      <c r="T136" s="491">
        <f>IF('[3]BASE'!GD137="","",'[3]BASE'!GD137)</f>
      </c>
      <c r="U136" s="492"/>
      <c r="V136" s="489"/>
    </row>
    <row r="137" spans="2:22" s="483" customFormat="1" ht="19.5" customHeight="1">
      <c r="B137" s="484"/>
      <c r="C137" s="490">
        <f>IF('[3]BASE'!C138="","",'[3]BASE'!C138)</f>
        <v>122</v>
      </c>
      <c r="D137" s="490">
        <f>IF('[3]BASE'!D138="","",'[3]BASE'!D138)</f>
        <v>4074</v>
      </c>
      <c r="E137" s="490" t="str">
        <f>IF('[3]BASE'!E138="","",'[3]BASE'!E138)</f>
        <v>INDIO RICO - PRINGLES</v>
      </c>
      <c r="F137" s="490">
        <f>IF('[3]BASE'!F138="","",'[3]BASE'!F138)</f>
        <v>132</v>
      </c>
      <c r="G137" s="490">
        <f>IF('[3]BASE'!G138="","",'[3]BASE'!G138)</f>
        <v>44.4</v>
      </c>
      <c r="H137" s="490" t="str">
        <f>IF('[3]BASE'!H138="","",'[3]BASE'!H138)</f>
        <v>C</v>
      </c>
      <c r="I137" s="491">
        <f>IF('[3]BASE'!FS138="","",'[3]BASE'!FS138)</f>
      </c>
      <c r="J137" s="491">
        <f>IF('[3]BASE'!FT138="","",'[3]BASE'!FT138)</f>
      </c>
      <c r="K137" s="491">
        <f>IF('[3]BASE'!FU138="","",'[3]BASE'!FU138)</f>
      </c>
      <c r="L137" s="491">
        <f>IF('[3]BASE'!FV138="","",'[3]BASE'!FV138)</f>
      </c>
      <c r="M137" s="491">
        <f>IF('[3]BASE'!FW138="","",'[3]BASE'!FW138)</f>
      </c>
      <c r="N137" s="491">
        <f>IF('[3]BASE'!FX138="","",'[3]BASE'!FX138)</f>
      </c>
      <c r="O137" s="491">
        <f>IF('[3]BASE'!FY138="","",'[3]BASE'!FY138)</f>
      </c>
      <c r="P137" s="491">
        <f>IF('[3]BASE'!FZ138="","",'[3]BASE'!FZ138)</f>
      </c>
      <c r="Q137" s="491">
        <f>IF('[3]BASE'!GA138="","",'[3]BASE'!GA138)</f>
      </c>
      <c r="R137" s="491">
        <f>IF('[3]BASE'!GB138="","",'[3]BASE'!GB138)</f>
      </c>
      <c r="S137" s="491">
        <f>IF('[3]BASE'!GC138="","",'[3]BASE'!GC138)</f>
      </c>
      <c r="T137" s="491">
        <f>IF('[3]BASE'!GD138="","",'[3]BASE'!GD138)</f>
      </c>
      <c r="U137" s="492"/>
      <c r="V137" s="489"/>
    </row>
    <row r="138" spans="2:22" s="483" customFormat="1" ht="19.5" customHeight="1">
      <c r="B138" s="484"/>
      <c r="C138" s="490">
        <f>IF('[3]BASE'!C139="","",'[3]BASE'!C139)</f>
        <v>123</v>
      </c>
      <c r="D138" s="490">
        <f>IF('[3]BASE'!D139="","",'[3]BASE'!D139)</f>
        <v>4096</v>
      </c>
      <c r="E138" s="490" t="str">
        <f>IF('[3]BASE'!E139="","",'[3]BASE'!E139)</f>
        <v>MONTE - ROSAS</v>
      </c>
      <c r="F138" s="490">
        <f>IF('[3]BASE'!F139="","",'[3]BASE'!F139)</f>
        <v>132</v>
      </c>
      <c r="G138" s="490">
        <f>IF('[3]BASE'!G139="","",'[3]BASE'!G139)</f>
        <v>58.4</v>
      </c>
      <c r="H138" s="490" t="str">
        <f>IF('[3]BASE'!H139="","",'[3]BASE'!H139)</f>
        <v>C</v>
      </c>
      <c r="I138" s="491">
        <f>IF('[3]BASE'!FS139="","",'[3]BASE'!FS139)</f>
      </c>
      <c r="J138" s="491">
        <f>IF('[3]BASE'!FT139="","",'[3]BASE'!FT139)</f>
      </c>
      <c r="K138" s="491">
        <f>IF('[3]BASE'!FU139="","",'[3]BASE'!FU139)</f>
      </c>
      <c r="L138" s="491">
        <f>IF('[3]BASE'!FV139="","",'[3]BASE'!FV139)</f>
      </c>
      <c r="M138" s="491">
        <f>IF('[3]BASE'!FW139="","",'[3]BASE'!FW139)</f>
      </c>
      <c r="N138" s="491">
        <f>IF('[3]BASE'!FX139="","",'[3]BASE'!FX139)</f>
      </c>
      <c r="O138" s="491">
        <f>IF('[3]BASE'!FY139="","",'[3]BASE'!FY139)</f>
      </c>
      <c r="P138" s="491">
        <f>IF('[3]BASE'!FZ139="","",'[3]BASE'!FZ139)</f>
      </c>
      <c r="Q138" s="491">
        <f>IF('[3]BASE'!GA139="","",'[3]BASE'!GA139)</f>
      </c>
      <c r="R138" s="491">
        <f>IF('[3]BASE'!GB139="","",'[3]BASE'!GB139)</f>
      </c>
      <c r="S138" s="491">
        <f>IF('[3]BASE'!GC139="","",'[3]BASE'!GC139)</f>
      </c>
      <c r="T138" s="491">
        <f>IF('[3]BASE'!GD139="","",'[3]BASE'!GD139)</f>
      </c>
      <c r="U138" s="492"/>
      <c r="V138" s="489"/>
    </row>
    <row r="139" spans="2:22" s="483" customFormat="1" ht="19.5" customHeight="1">
      <c r="B139" s="484"/>
      <c r="C139" s="490">
        <f>IF('[3]BASE'!C140="","",'[3]BASE'!C140)</f>
        <v>124</v>
      </c>
      <c r="D139" s="490">
        <f>IF('[3]BASE'!D140="","",'[3]BASE'!D140)</f>
        <v>4097</v>
      </c>
      <c r="E139" s="490" t="str">
        <f>IF('[3]BASE'!E140="","",'[3]BASE'!E140)</f>
        <v>ROSAS - NEWTON</v>
      </c>
      <c r="F139" s="490">
        <f>IF('[3]BASE'!F140="","",'[3]BASE'!F140)</f>
        <v>132</v>
      </c>
      <c r="G139" s="490">
        <f>IF('[3]BASE'!G140="","",'[3]BASE'!G140)</f>
        <v>11</v>
      </c>
      <c r="H139" s="490" t="str">
        <f>IF('[3]BASE'!H140="","",'[3]BASE'!H140)</f>
        <v>C</v>
      </c>
      <c r="I139" s="491">
        <f>IF('[3]BASE'!FS140="","",'[3]BASE'!FS140)</f>
      </c>
      <c r="J139" s="491">
        <f>IF('[3]BASE'!FT140="","",'[3]BASE'!FT140)</f>
      </c>
      <c r="K139" s="491">
        <f>IF('[3]BASE'!FU140="","",'[3]BASE'!FU140)</f>
      </c>
      <c r="L139" s="491">
        <f>IF('[3]BASE'!FV140="","",'[3]BASE'!FV140)</f>
      </c>
      <c r="M139" s="491">
        <f>IF('[3]BASE'!FW140="","",'[3]BASE'!FW140)</f>
      </c>
      <c r="N139" s="491">
        <f>IF('[3]BASE'!FX140="","",'[3]BASE'!FX140)</f>
      </c>
      <c r="O139" s="491">
        <f>IF('[3]BASE'!FY140="","",'[3]BASE'!FY140)</f>
      </c>
      <c r="P139" s="491">
        <f>IF('[3]BASE'!FZ140="","",'[3]BASE'!FZ140)</f>
      </c>
      <c r="Q139" s="491">
        <f>IF('[3]BASE'!GA140="","",'[3]BASE'!GA140)</f>
      </c>
      <c r="R139" s="491">
        <f>IF('[3]BASE'!GB140="","",'[3]BASE'!GB140)</f>
      </c>
      <c r="S139" s="491">
        <f>IF('[3]BASE'!GC140="","",'[3]BASE'!GC140)</f>
      </c>
      <c r="T139" s="491">
        <f>IF('[3]BASE'!GD140="","",'[3]BASE'!GD140)</f>
      </c>
      <c r="U139" s="492"/>
      <c r="V139" s="489"/>
    </row>
    <row r="140" spans="2:22" s="483" customFormat="1" ht="19.5" customHeight="1">
      <c r="B140" s="484"/>
      <c r="C140" s="490">
        <f>IF('[3]BASE'!C141="","",'[3]BASE'!C141)</f>
        <v>125</v>
      </c>
      <c r="D140" s="490">
        <f>IF('[3]BASE'!D141="","",'[3]BASE'!D141)</f>
        <v>4095</v>
      </c>
      <c r="E140" s="490" t="str">
        <f>IF('[3]BASE'!E141="","",'[3]BASE'!E141)</f>
        <v>LAS FLORES - ROSAS</v>
      </c>
      <c r="F140" s="490">
        <f>IF('[3]BASE'!F141="","",'[3]BASE'!F141)</f>
        <v>132</v>
      </c>
      <c r="G140" s="490">
        <f>IF('[3]BASE'!G141="","",'[3]BASE'!G141)</f>
        <v>28.4</v>
      </c>
      <c r="H140" s="490" t="str">
        <f>IF('[3]BASE'!H141="","",'[3]BASE'!H141)</f>
        <v>C</v>
      </c>
      <c r="I140" s="491">
        <f>IF('[3]BASE'!FS141="","",'[3]BASE'!FS141)</f>
      </c>
      <c r="J140" s="491">
        <f>IF('[3]BASE'!FT141="","",'[3]BASE'!FT141)</f>
      </c>
      <c r="K140" s="491">
        <f>IF('[3]BASE'!FU141="","",'[3]BASE'!FU141)</f>
      </c>
      <c r="L140" s="491">
        <f>IF('[3]BASE'!FV141="","",'[3]BASE'!FV141)</f>
      </c>
      <c r="M140" s="491">
        <f>IF('[3]BASE'!FW141="","",'[3]BASE'!FW141)</f>
      </c>
      <c r="N140" s="491">
        <f>IF('[3]BASE'!FX141="","",'[3]BASE'!FX141)</f>
      </c>
      <c r="O140" s="491">
        <f>IF('[3]BASE'!FY141="","",'[3]BASE'!FY141)</f>
      </c>
      <c r="P140" s="491">
        <f>IF('[3]BASE'!FZ141="","",'[3]BASE'!FZ141)</f>
      </c>
      <c r="Q140" s="491">
        <f>IF('[3]BASE'!GA141="","",'[3]BASE'!GA141)</f>
      </c>
      <c r="R140" s="491">
        <f>IF('[3]BASE'!GB141="","",'[3]BASE'!GB141)</f>
      </c>
      <c r="S140" s="491">
        <f>IF('[3]BASE'!GC141="","",'[3]BASE'!GC141)</f>
      </c>
      <c r="T140" s="491">
        <f>IF('[3]BASE'!GD141="","",'[3]BASE'!GD141)</f>
      </c>
      <c r="U140" s="492"/>
      <c r="V140" s="489"/>
    </row>
    <row r="141" spans="2:22" s="483" customFormat="1" ht="19.5" customHeight="1">
      <c r="B141" s="484"/>
      <c r="C141" s="490">
        <f>IF('[3]BASE'!C142="","",'[3]BASE'!C142)</f>
        <v>126</v>
      </c>
      <c r="D141" s="490">
        <f>IF('[3]BASE'!D142="","",'[3]BASE'!D142)</f>
        <v>4830</v>
      </c>
      <c r="E141" s="490" t="str">
        <f>IF('[3]BASE'!E142="","",'[3]BASE'!E142)</f>
        <v>LOS CHAÑARES - PTQ. BAHIA BLANCA</v>
      </c>
      <c r="F141" s="490">
        <f>IF('[3]BASE'!F142="","",'[3]BASE'!F142)</f>
        <v>132</v>
      </c>
      <c r="G141" s="490">
        <f>IF('[3]BASE'!G142="","",'[3]BASE'!G142)</f>
        <v>15.701</v>
      </c>
      <c r="H141" s="490" t="str">
        <f>IF('[3]BASE'!H142="","",'[3]BASE'!H142)</f>
        <v>C</v>
      </c>
      <c r="I141" s="491">
        <f>IF('[3]BASE'!FS142="","",'[3]BASE'!FS142)</f>
      </c>
      <c r="J141" s="491">
        <f>IF('[3]BASE'!FT142="","",'[3]BASE'!FT142)</f>
      </c>
      <c r="K141" s="491">
        <f>IF('[3]BASE'!FU142="","",'[3]BASE'!FU142)</f>
      </c>
      <c r="L141" s="491">
        <f>IF('[3]BASE'!FV142="","",'[3]BASE'!FV142)</f>
      </c>
      <c r="M141" s="491">
        <f>IF('[3]BASE'!FW142="","",'[3]BASE'!FW142)</f>
      </c>
      <c r="N141" s="491">
        <f>IF('[3]BASE'!FX142="","",'[3]BASE'!FX142)</f>
      </c>
      <c r="O141" s="491">
        <f>IF('[3]BASE'!FY142="","",'[3]BASE'!FY142)</f>
      </c>
      <c r="P141" s="491">
        <f>IF('[3]BASE'!FZ142="","",'[3]BASE'!FZ142)</f>
      </c>
      <c r="Q141" s="491">
        <f>IF('[3]BASE'!GA142="","",'[3]BASE'!GA142)</f>
        <v>1</v>
      </c>
      <c r="R141" s="491">
        <f>IF('[3]BASE'!GB142="","",'[3]BASE'!GB142)</f>
        <v>1</v>
      </c>
      <c r="S141" s="491">
        <f>IF('[3]BASE'!GC142="","",'[3]BASE'!GC142)</f>
      </c>
      <c r="T141" s="491">
        <f>IF('[3]BASE'!GD142="","",'[3]BASE'!GD142)</f>
      </c>
      <c r="U141" s="492"/>
      <c r="V141" s="489"/>
    </row>
    <row r="142" spans="2:22" s="483" customFormat="1" ht="19.5" customHeight="1">
      <c r="B142" s="484"/>
      <c r="C142" s="490">
        <f>IF('[3]BASE'!C143="","",'[3]BASE'!C143)</f>
        <v>127</v>
      </c>
      <c r="D142" s="490">
        <f>IF('[3]BASE'!D143="","",'[3]BASE'!D143)</f>
        <v>4831</v>
      </c>
      <c r="E142" s="490" t="str">
        <f>IF('[3]BASE'!E143="","",'[3]BASE'!E143)</f>
        <v>NORTE II - LOS CHAÑARES</v>
      </c>
      <c r="F142" s="490">
        <f>IF('[3]BASE'!F143="","",'[3]BASE'!F143)</f>
        <v>132</v>
      </c>
      <c r="G142" s="490">
        <f>IF('[3]BASE'!G143="","",'[3]BASE'!G143)</f>
        <v>15.725</v>
      </c>
      <c r="H142" s="490" t="str">
        <f>IF('[3]BASE'!H143="","",'[3]BASE'!H143)</f>
        <v>C</v>
      </c>
      <c r="I142" s="491">
        <f>IF('[3]BASE'!FS143="","",'[3]BASE'!FS143)</f>
      </c>
      <c r="J142" s="491">
        <f>IF('[3]BASE'!FT143="","",'[3]BASE'!FT143)</f>
      </c>
      <c r="K142" s="491">
        <f>IF('[3]BASE'!FU143="","",'[3]BASE'!FU143)</f>
      </c>
      <c r="L142" s="491">
        <f>IF('[3]BASE'!FV143="","",'[3]BASE'!FV143)</f>
      </c>
      <c r="M142" s="491">
        <f>IF('[3]BASE'!FW143="","",'[3]BASE'!FW143)</f>
      </c>
      <c r="N142" s="491">
        <f>IF('[3]BASE'!FX143="","",'[3]BASE'!FX143)</f>
      </c>
      <c r="O142" s="491">
        <f>IF('[3]BASE'!FY143="","",'[3]BASE'!FY143)</f>
      </c>
      <c r="P142" s="491">
        <f>IF('[3]BASE'!FZ143="","",'[3]BASE'!FZ143)</f>
      </c>
      <c r="Q142" s="491">
        <f>IF('[3]BASE'!GA143="","",'[3]BASE'!GA143)</f>
      </c>
      <c r="R142" s="491">
        <f>IF('[3]BASE'!GB143="","",'[3]BASE'!GB143)</f>
      </c>
      <c r="S142" s="491">
        <f>IF('[3]BASE'!GC143="","",'[3]BASE'!GC143)</f>
      </c>
      <c r="T142" s="491">
        <f>IF('[3]BASE'!GD143="","",'[3]BASE'!GD143)</f>
      </c>
      <c r="U142" s="492"/>
      <c r="V142" s="489"/>
    </row>
    <row r="143" spans="2:22" s="483" customFormat="1" ht="19.5" customHeight="1">
      <c r="B143" s="484"/>
      <c r="C143" s="490">
        <f>IF('[3]BASE'!C144="","",'[3]BASE'!C144)</f>
        <v>128</v>
      </c>
      <c r="D143" s="490">
        <f>IF('[3]BASE'!D144="","",'[3]BASE'!D144)</f>
        <v>4701</v>
      </c>
      <c r="E143" s="490" t="str">
        <f>IF('[3]BASE'!E144="","",'[3]BASE'!E144)</f>
        <v>CHACABUCO - CHACABUCO IND.</v>
      </c>
      <c r="F143" s="490">
        <f>IF('[3]BASE'!F144="","",'[3]BASE'!F144)</f>
        <v>132</v>
      </c>
      <c r="G143" s="490">
        <f>IF('[3]BASE'!G144="","",'[3]BASE'!G144)</f>
        <v>15.9</v>
      </c>
      <c r="H143" s="490" t="str">
        <f>IF('[3]BASE'!H144="","",'[3]BASE'!H144)</f>
        <v>C</v>
      </c>
      <c r="I143" s="491">
        <f>IF('[3]BASE'!FS144="","",'[3]BASE'!FS144)</f>
      </c>
      <c r="J143" s="491">
        <f>IF('[3]BASE'!FT144="","",'[3]BASE'!FT144)</f>
      </c>
      <c r="K143" s="491">
        <f>IF('[3]BASE'!FU144="","",'[3]BASE'!FU144)</f>
      </c>
      <c r="L143" s="491">
        <f>IF('[3]BASE'!FV144="","",'[3]BASE'!FV144)</f>
      </c>
      <c r="M143" s="491">
        <f>IF('[3]BASE'!FW144="","",'[3]BASE'!FW144)</f>
      </c>
      <c r="N143" s="491">
        <f>IF('[3]BASE'!FX144="","",'[3]BASE'!FX144)</f>
      </c>
      <c r="O143" s="491">
        <f>IF('[3]BASE'!FY144="","",'[3]BASE'!FY144)</f>
      </c>
      <c r="P143" s="491">
        <f>IF('[3]BASE'!FZ144="","",'[3]BASE'!FZ144)</f>
      </c>
      <c r="Q143" s="491">
        <f>IF('[3]BASE'!GA144="","",'[3]BASE'!GA144)</f>
      </c>
      <c r="R143" s="491">
        <f>IF('[3]BASE'!GB144="","",'[3]BASE'!GB144)</f>
      </c>
      <c r="S143" s="491">
        <f>IF('[3]BASE'!GC144="","",'[3]BASE'!GC144)</f>
        <v>1</v>
      </c>
      <c r="T143" s="491">
        <f>IF('[3]BASE'!GD144="","",'[3]BASE'!GD144)</f>
      </c>
      <c r="U143" s="492"/>
      <c r="V143" s="489"/>
    </row>
    <row r="144" spans="2:22" s="483" customFormat="1" ht="19.5" customHeight="1">
      <c r="B144" s="484"/>
      <c r="C144" s="490">
        <f>IF('[3]BASE'!C145="","",'[3]BASE'!C145)</f>
        <v>129</v>
      </c>
      <c r="D144" s="490">
        <f>IF('[3]BASE'!D145="","",'[3]BASE'!D145)</f>
        <v>4702</v>
      </c>
      <c r="E144" s="490" t="str">
        <f>IF('[3]BASE'!E145="","",'[3]BASE'!E145)</f>
        <v>CHACABUCO IND. - SALTO BA</v>
      </c>
      <c r="F144" s="490">
        <f>IF('[3]BASE'!F145="","",'[3]BASE'!F145)</f>
        <v>132</v>
      </c>
      <c r="G144" s="490">
        <f>IF('[3]BASE'!G145="","",'[3]BASE'!G145)</f>
        <v>48.6</v>
      </c>
      <c r="H144" s="490" t="str">
        <f>IF('[3]BASE'!H145="","",'[3]BASE'!H145)</f>
        <v>C</v>
      </c>
      <c r="I144" s="491">
        <f>IF('[3]BASE'!FS145="","",'[3]BASE'!FS145)</f>
      </c>
      <c r="J144" s="491">
        <f>IF('[3]BASE'!FT145="","",'[3]BASE'!FT145)</f>
      </c>
      <c r="K144" s="491">
        <f>IF('[3]BASE'!FU145="","",'[3]BASE'!FU145)</f>
      </c>
      <c r="L144" s="491">
        <f>IF('[3]BASE'!FV145="","",'[3]BASE'!FV145)</f>
      </c>
      <c r="M144" s="491">
        <f>IF('[3]BASE'!FW145="","",'[3]BASE'!FW145)</f>
      </c>
      <c r="N144" s="491">
        <f>IF('[3]BASE'!FX145="","",'[3]BASE'!FX145)</f>
      </c>
      <c r="O144" s="491">
        <f>IF('[3]BASE'!FY145="","",'[3]BASE'!FY145)</f>
      </c>
      <c r="P144" s="491">
        <f>IF('[3]BASE'!FZ145="","",'[3]BASE'!FZ145)</f>
      </c>
      <c r="Q144" s="491">
        <f>IF('[3]BASE'!GA145="","",'[3]BASE'!GA145)</f>
      </c>
      <c r="R144" s="491">
        <f>IF('[3]BASE'!GB145="","",'[3]BASE'!GB145)</f>
      </c>
      <c r="S144" s="491">
        <f>IF('[3]BASE'!GC145="","",'[3]BASE'!GC145)</f>
      </c>
      <c r="T144" s="491">
        <f>IF('[3]BASE'!GD145="","",'[3]BASE'!GD145)</f>
      </c>
      <c r="U144" s="492"/>
      <c r="V144" s="489"/>
    </row>
    <row r="145" spans="2:22" s="483" customFormat="1" ht="19.5" customHeight="1">
      <c r="B145" s="484"/>
      <c r="C145" s="490">
        <f>IF('[3]BASE'!C146="","",'[3]BASE'!C146)</f>
        <v>130</v>
      </c>
      <c r="D145" s="490">
        <f>IF('[3]BASE'!D146="","",'[3]BASE'!D146)</f>
        <v>4935</v>
      </c>
      <c r="E145" s="490" t="str">
        <f>IF('[3]BASE'!E146="","",'[3]BASE'!E146)</f>
        <v>LAS PALMAS - SAN PEDRO</v>
      </c>
      <c r="F145" s="490">
        <f>IF('[3]BASE'!F146="","",'[3]BASE'!F146)</f>
        <v>132</v>
      </c>
      <c r="G145" s="490">
        <f>IF('[3]BASE'!G146="","",'[3]BASE'!G146)</f>
        <v>67.3</v>
      </c>
      <c r="H145" s="490" t="str">
        <f>IF('[3]BASE'!H146="","",'[3]BASE'!H146)</f>
        <v>C</v>
      </c>
      <c r="I145" s="491">
        <f>IF('[3]BASE'!FS146="","",'[3]BASE'!FS146)</f>
      </c>
      <c r="J145" s="491">
        <f>IF('[3]BASE'!FT146="","",'[3]BASE'!FT146)</f>
      </c>
      <c r="K145" s="491">
        <f>IF('[3]BASE'!FU146="","",'[3]BASE'!FU146)</f>
      </c>
      <c r="L145" s="491">
        <f>IF('[3]BASE'!FV146="","",'[3]BASE'!FV146)</f>
      </c>
      <c r="M145" s="491">
        <f>IF('[3]BASE'!FW146="","",'[3]BASE'!FW146)</f>
        <v>1</v>
      </c>
      <c r="N145" s="491">
        <f>IF('[3]BASE'!FX146="","",'[3]BASE'!FX146)</f>
      </c>
      <c r="O145" s="491">
        <f>IF('[3]BASE'!FY146="","",'[3]BASE'!FY146)</f>
      </c>
      <c r="P145" s="491">
        <f>IF('[3]BASE'!FZ146="","",'[3]BASE'!FZ146)</f>
      </c>
      <c r="Q145" s="491">
        <f>IF('[3]BASE'!GA146="","",'[3]BASE'!GA146)</f>
        <v>1</v>
      </c>
      <c r="R145" s="491">
        <f>IF('[3]BASE'!GB146="","",'[3]BASE'!GB146)</f>
      </c>
      <c r="S145" s="491">
        <f>IF('[3]BASE'!GC146="","",'[3]BASE'!GC146)</f>
        <v>1</v>
      </c>
      <c r="T145" s="491">
        <f>IF('[3]BASE'!GD146="","",'[3]BASE'!GD146)</f>
      </c>
      <c r="U145" s="492"/>
      <c r="V145" s="489"/>
    </row>
    <row r="146" spans="2:22" s="483" customFormat="1" ht="19.5" customHeight="1">
      <c r="B146" s="484"/>
      <c r="C146" s="490">
        <f>IF('[3]BASE'!C147="","",'[3]BASE'!C147)</f>
        <v>131</v>
      </c>
      <c r="D146" s="490">
        <f>IF('[3]BASE'!D147="","",'[3]BASE'!D147)</f>
        <v>4933</v>
      </c>
      <c r="E146" s="490" t="str">
        <f>IF('[3]BASE'!E147="","",'[3]BASE'!E147)</f>
        <v>ZARATE - LAS PALMAS</v>
      </c>
      <c r="F146" s="490">
        <f>IF('[3]BASE'!F147="","",'[3]BASE'!F147)</f>
        <v>132</v>
      </c>
      <c r="G146" s="490">
        <f>IF('[3]BASE'!G147="","",'[3]BASE'!G147)</f>
        <v>8.7</v>
      </c>
      <c r="H146" s="490" t="str">
        <f>IF('[3]BASE'!H147="","",'[3]BASE'!H147)</f>
        <v>C</v>
      </c>
      <c r="I146" s="491">
        <f>IF('[3]BASE'!FS147="","",'[3]BASE'!FS147)</f>
      </c>
      <c r="J146" s="491">
        <f>IF('[3]BASE'!FT147="","",'[3]BASE'!FT147)</f>
      </c>
      <c r="K146" s="491">
        <f>IF('[3]BASE'!FU147="","",'[3]BASE'!FU147)</f>
      </c>
      <c r="L146" s="491">
        <f>IF('[3]BASE'!FV147="","",'[3]BASE'!FV147)</f>
      </c>
      <c r="M146" s="491">
        <f>IF('[3]BASE'!FW147="","",'[3]BASE'!FW147)</f>
      </c>
      <c r="N146" s="491">
        <f>IF('[3]BASE'!FX147="","",'[3]BASE'!FX147)</f>
      </c>
      <c r="O146" s="491">
        <f>IF('[3]BASE'!FY147="","",'[3]BASE'!FY147)</f>
      </c>
      <c r="P146" s="491">
        <f>IF('[3]BASE'!FZ147="","",'[3]BASE'!FZ147)</f>
      </c>
      <c r="Q146" s="491">
        <f>IF('[3]BASE'!GA147="","",'[3]BASE'!GA147)</f>
      </c>
      <c r="R146" s="491">
        <f>IF('[3]BASE'!GB147="","",'[3]BASE'!GB147)</f>
      </c>
      <c r="S146" s="491">
        <f>IF('[3]BASE'!GC147="","",'[3]BASE'!GC147)</f>
      </c>
      <c r="T146" s="491">
        <f>IF('[3]BASE'!GD147="","",'[3]BASE'!GD147)</f>
      </c>
      <c r="U146" s="492"/>
      <c r="V146" s="489"/>
    </row>
    <row r="147" spans="2:22" s="483" customFormat="1" ht="19.5" customHeight="1">
      <c r="B147" s="484"/>
      <c r="C147" s="490">
        <f>IF('[3]BASE'!C148="","",'[3]BASE'!C148)</f>
        <v>132</v>
      </c>
      <c r="D147" s="490">
        <f>IF('[3]BASE'!D148="","",'[3]BASE'!D148)</f>
      </c>
      <c r="E147" s="490" t="str">
        <f>IF('[3]BASE'!E148="","",'[3]BASE'!E148)</f>
        <v>LAS PALMAS - PROTISA</v>
      </c>
      <c r="F147" s="490">
        <f>IF('[3]BASE'!F148="","",'[3]BASE'!F148)</f>
        <v>132</v>
      </c>
      <c r="G147" s="490">
        <f>IF('[3]BASE'!G148="","",'[3]BASE'!G148)</f>
        <v>4.4</v>
      </c>
      <c r="H147" s="490" t="str">
        <f>IF('[3]BASE'!H148="","",'[3]BASE'!H148)</f>
        <v>C</v>
      </c>
      <c r="I147" s="491">
        <f>IF('[3]BASE'!FS148="","",'[3]BASE'!FS148)</f>
      </c>
      <c r="J147" s="491">
        <f>IF('[3]BASE'!FT148="","",'[3]BASE'!FT148)</f>
      </c>
      <c r="K147" s="491">
        <f>IF('[3]BASE'!FU148="","",'[3]BASE'!FU148)</f>
      </c>
      <c r="L147" s="491">
        <f>IF('[3]BASE'!FV148="","",'[3]BASE'!FV148)</f>
      </c>
      <c r="M147" s="491">
        <f>IF('[3]BASE'!FW148="","",'[3]BASE'!FW148)</f>
      </c>
      <c r="N147" s="491">
        <f>IF('[3]BASE'!FX148="","",'[3]BASE'!FX148)</f>
      </c>
      <c r="O147" s="491">
        <f>IF('[3]BASE'!FY148="","",'[3]BASE'!FY148)</f>
      </c>
      <c r="P147" s="491">
        <f>IF('[3]BASE'!FZ148="","",'[3]BASE'!FZ148)</f>
      </c>
      <c r="Q147" s="491">
        <f>IF('[3]BASE'!GA148="","",'[3]BASE'!GA148)</f>
      </c>
      <c r="R147" s="491">
        <f>IF('[3]BASE'!GB148="","",'[3]BASE'!GB148)</f>
      </c>
      <c r="S147" s="491">
        <f>IF('[3]BASE'!GC148="","",'[3]BASE'!GC148)</f>
      </c>
      <c r="T147" s="491">
        <f>IF('[3]BASE'!GD148="","",'[3]BASE'!GD148)</f>
      </c>
      <c r="U147" s="492"/>
      <c r="V147" s="489"/>
    </row>
    <row r="148" spans="2:22" s="483" customFormat="1" ht="19.5" customHeight="1">
      <c r="B148" s="484"/>
      <c r="C148" s="490">
        <f>IF('[3]BASE'!C149="","",'[3]BASE'!C149)</f>
        <v>133</v>
      </c>
      <c r="D148" s="490">
        <f>IF('[3]BASE'!D149="","",'[3]BASE'!D149)</f>
        <v>4671</v>
      </c>
      <c r="E148" s="490" t="str">
        <f>IF('[3]BASE'!E149="","",'[3]BASE'!E149)</f>
        <v>PERGAMINO - COLON</v>
      </c>
      <c r="F148" s="490">
        <f>IF('[3]BASE'!F149="","",'[3]BASE'!F149)</f>
        <v>132</v>
      </c>
      <c r="G148" s="490">
        <f>IF('[3]BASE'!G149="","",'[3]BASE'!G149)</f>
        <v>52.7</v>
      </c>
      <c r="H148" s="490" t="str">
        <f>IF('[3]BASE'!H149="","",'[3]BASE'!H149)</f>
        <v>C</v>
      </c>
      <c r="I148" s="491">
        <f>IF('[3]BASE'!FS149="","",'[3]BASE'!FS149)</f>
      </c>
      <c r="J148" s="491">
        <f>IF('[3]BASE'!FT149="","",'[3]BASE'!FT149)</f>
      </c>
      <c r="K148" s="491">
        <f>IF('[3]BASE'!FU149="","",'[3]BASE'!FU149)</f>
      </c>
      <c r="L148" s="491">
        <f>IF('[3]BASE'!FV149="","",'[3]BASE'!FV149)</f>
      </c>
      <c r="M148" s="491">
        <f>IF('[3]BASE'!FW149="","",'[3]BASE'!FW149)</f>
      </c>
      <c r="N148" s="491">
        <f>IF('[3]BASE'!FX149="","",'[3]BASE'!FX149)</f>
      </c>
      <c r="O148" s="491">
        <f>IF('[3]BASE'!FY149="","",'[3]BASE'!FY149)</f>
      </c>
      <c r="P148" s="491">
        <f>IF('[3]BASE'!FZ149="","",'[3]BASE'!FZ149)</f>
      </c>
      <c r="Q148" s="491">
        <f>IF('[3]BASE'!GA149="","",'[3]BASE'!GA149)</f>
        <v>1</v>
      </c>
      <c r="R148" s="491">
        <f>IF('[3]BASE'!GB149="","",'[3]BASE'!GB149)</f>
      </c>
      <c r="S148" s="491">
        <f>IF('[3]BASE'!GC149="","",'[3]BASE'!GC149)</f>
      </c>
      <c r="T148" s="491">
        <f>IF('[3]BASE'!GD149="","",'[3]BASE'!GD149)</f>
      </c>
      <c r="U148" s="492"/>
      <c r="V148" s="489"/>
    </row>
    <row r="149" spans="2:22" s="483" customFormat="1" ht="19.5" customHeight="1">
      <c r="B149" s="484"/>
      <c r="C149" s="490">
        <f>IF('[3]BASE'!C150="","",'[3]BASE'!C150)</f>
        <v>134</v>
      </c>
      <c r="D149" s="490">
        <f>IF('[3]BASE'!D150="","",'[3]BASE'!D150)</f>
        <v>1434</v>
      </c>
      <c r="E149" s="490" t="str">
        <f>IF('[3]BASE'!E150="","",'[3]BASE'!E150)</f>
        <v>9 DE JULIO 66 - BRAGADO</v>
      </c>
      <c r="F149" s="490">
        <f>IF('[3]BASE'!F150="","",'[3]BASE'!F150)</f>
        <v>66</v>
      </c>
      <c r="G149" s="490">
        <f>IF('[3]BASE'!G150="","",'[3]BASE'!G150)</f>
        <v>60.94</v>
      </c>
      <c r="H149" s="490" t="str">
        <f>IF('[3]BASE'!H150="","",'[3]BASE'!H150)</f>
        <v>C</v>
      </c>
      <c r="I149" s="491">
        <f>IF('[3]BASE'!FS150="","",'[3]BASE'!FS150)</f>
      </c>
      <c r="J149" s="491">
        <f>IF('[3]BASE'!FT150="","",'[3]BASE'!FT150)</f>
      </c>
      <c r="K149" s="491">
        <f>IF('[3]BASE'!FU150="","",'[3]BASE'!FU150)</f>
      </c>
      <c r="L149" s="491">
        <f>IF('[3]BASE'!FV150="","",'[3]BASE'!FV150)</f>
      </c>
      <c r="M149" s="491">
        <f>IF('[3]BASE'!FW150="","",'[3]BASE'!FW150)</f>
      </c>
      <c r="N149" s="491">
        <f>IF('[3]BASE'!FX150="","",'[3]BASE'!FX150)</f>
        <v>1</v>
      </c>
      <c r="O149" s="491">
        <f>IF('[3]BASE'!FY150="","",'[3]BASE'!FY150)</f>
      </c>
      <c r="P149" s="491">
        <f>IF('[3]BASE'!FZ150="","",'[3]BASE'!FZ150)</f>
      </c>
      <c r="Q149" s="491">
        <f>IF('[3]BASE'!GA150="","",'[3]BASE'!GA150)</f>
      </c>
      <c r="R149" s="491">
        <f>IF('[3]BASE'!GB150="","",'[3]BASE'!GB150)</f>
      </c>
      <c r="S149" s="491">
        <f>IF('[3]BASE'!GC150="","",'[3]BASE'!GC150)</f>
      </c>
      <c r="T149" s="491">
        <f>IF('[3]BASE'!GD150="","",'[3]BASE'!GD150)</f>
      </c>
      <c r="U149" s="492"/>
      <c r="V149" s="489"/>
    </row>
    <row r="150" spans="2:22" s="483" customFormat="1" ht="19.5" customHeight="1">
      <c r="B150" s="484"/>
      <c r="C150" s="490">
        <f>IF('[3]BASE'!C151="","",'[3]BASE'!C151)</f>
        <v>135</v>
      </c>
      <c r="D150" s="490">
        <f>IF('[3]BASE'!D151="","",'[3]BASE'!D151)</f>
        <v>4715</v>
      </c>
      <c r="E150" s="490" t="str">
        <f>IF('[3]BASE'!E151="","",'[3]BASE'!E151)</f>
        <v>LUJAN GBA - LUJAN II GBA</v>
      </c>
      <c r="F150" s="490">
        <f>IF('[3]BASE'!F151="","",'[3]BASE'!F151)</f>
        <v>132</v>
      </c>
      <c r="G150" s="490">
        <f>IF('[3]BASE'!G151="","",'[3]BASE'!G151)</f>
        <v>9.02</v>
      </c>
      <c r="H150" s="490" t="str">
        <f>IF('[3]BASE'!H151="","",'[3]BASE'!H151)</f>
        <v>C</v>
      </c>
      <c r="I150" s="491">
        <f>IF('[3]BASE'!FS151="","",'[3]BASE'!FS151)</f>
      </c>
      <c r="J150" s="491">
        <f>IF('[3]BASE'!FT151="","",'[3]BASE'!FT151)</f>
      </c>
      <c r="K150" s="491">
        <f>IF('[3]BASE'!FU151="","",'[3]BASE'!FU151)</f>
      </c>
      <c r="L150" s="491">
        <f>IF('[3]BASE'!FV151="","",'[3]BASE'!FV151)</f>
      </c>
      <c r="M150" s="491">
        <f>IF('[3]BASE'!FW151="","",'[3]BASE'!FW151)</f>
      </c>
      <c r="N150" s="491">
        <f>IF('[3]BASE'!FX151="","",'[3]BASE'!FX151)</f>
      </c>
      <c r="O150" s="491">
        <f>IF('[3]BASE'!FY151="","",'[3]BASE'!FY151)</f>
      </c>
      <c r="P150" s="491">
        <f>IF('[3]BASE'!FZ151="","",'[3]BASE'!FZ151)</f>
      </c>
      <c r="Q150" s="491">
        <f>IF('[3]BASE'!GA151="","",'[3]BASE'!GA151)</f>
      </c>
      <c r="R150" s="491">
        <f>IF('[3]BASE'!GB151="","",'[3]BASE'!GB151)</f>
      </c>
      <c r="S150" s="491">
        <f>IF('[3]BASE'!GC151="","",'[3]BASE'!GC151)</f>
      </c>
      <c r="T150" s="491">
        <f>IF('[3]BASE'!GD151="","",'[3]BASE'!GD151)</f>
      </c>
      <c r="U150" s="492"/>
      <c r="V150" s="489"/>
    </row>
    <row r="151" spans="2:22" s="483" customFormat="1" ht="19.5" customHeight="1">
      <c r="B151" s="484"/>
      <c r="C151" s="490">
        <f>IF('[3]BASE'!C152="","",'[3]BASE'!C152)</f>
        <v>136</v>
      </c>
      <c r="D151" s="490">
        <f>IF('[3]BASE'!D152="","",'[3]BASE'!D152)</f>
        <v>4716</v>
      </c>
      <c r="E151" s="490" t="str">
        <f>IF('[3]BASE'!E152="","",'[3]BASE'!E152)</f>
        <v>LUJAN  II - MALV.1- CATONAS 1 - MORON 1</v>
      </c>
      <c r="F151" s="490">
        <f>IF('[3]BASE'!F152="","",'[3]BASE'!F152)</f>
        <v>132</v>
      </c>
      <c r="G151" s="490">
        <f>IF('[3]BASE'!G152="","",'[3]BASE'!G152)</f>
        <v>38.29</v>
      </c>
      <c r="H151" s="490" t="str">
        <f>IF('[3]BASE'!H152="","",'[3]BASE'!H152)</f>
        <v>A</v>
      </c>
      <c r="I151" s="491">
        <f>IF('[3]BASE'!FS152="","",'[3]BASE'!FS152)</f>
      </c>
      <c r="J151" s="491">
        <f>IF('[3]BASE'!FT152="","",'[3]BASE'!FT152)</f>
      </c>
      <c r="K151" s="491">
        <f>IF('[3]BASE'!FU152="","",'[3]BASE'!FU152)</f>
      </c>
      <c r="L151" s="491">
        <f>IF('[3]BASE'!FV152="","",'[3]BASE'!FV152)</f>
      </c>
      <c r="M151" s="491">
        <f>IF('[3]BASE'!FW152="","",'[3]BASE'!FW152)</f>
      </c>
      <c r="N151" s="491">
        <f>IF('[3]BASE'!FX152="","",'[3]BASE'!FX152)</f>
      </c>
      <c r="O151" s="491">
        <f>IF('[3]BASE'!FY152="","",'[3]BASE'!FY152)</f>
      </c>
      <c r="P151" s="491">
        <f>IF('[3]BASE'!FZ152="","",'[3]BASE'!FZ152)</f>
      </c>
      <c r="Q151" s="491">
        <f>IF('[3]BASE'!GA152="","",'[3]BASE'!GA152)</f>
      </c>
      <c r="R151" s="491">
        <f>IF('[3]BASE'!GB152="","",'[3]BASE'!GB152)</f>
      </c>
      <c r="S151" s="491">
        <f>IF('[3]BASE'!GC152="","",'[3]BASE'!GC152)</f>
      </c>
      <c r="T151" s="491">
        <f>IF('[3]BASE'!GD152="","",'[3]BASE'!GD152)</f>
      </c>
      <c r="U151" s="492"/>
      <c r="V151" s="489"/>
    </row>
    <row r="152" spans="2:22" s="483" customFormat="1" ht="19.5" customHeight="1">
      <c r="B152" s="484"/>
      <c r="C152" s="490">
        <f>IF('[3]BASE'!C153="","",'[3]BASE'!C153)</f>
        <v>137</v>
      </c>
      <c r="D152" s="490">
        <f>IF('[3]BASE'!D153="","",'[3]BASE'!D153)</f>
        <v>4888</v>
      </c>
      <c r="E152" s="490" t="str">
        <f>IF('[3]BASE'!E153="","",'[3]BASE'!E153)</f>
        <v>ZARATE -CAMPANA III</v>
      </c>
      <c r="F152" s="490">
        <f>IF('[3]BASE'!F153="","",'[3]BASE'!F153)</f>
        <v>132</v>
      </c>
      <c r="G152" s="490">
        <f>IF('[3]BASE'!G153="","",'[3]BASE'!G153)</f>
        <v>16.8</v>
      </c>
      <c r="H152" s="490" t="str">
        <f>IF('[3]BASE'!H153="","",'[3]BASE'!H153)</f>
        <v>C</v>
      </c>
      <c r="I152" s="491">
        <f>IF('[3]BASE'!FS153="","",'[3]BASE'!FS153)</f>
        <v>1</v>
      </c>
      <c r="J152" s="491">
        <f>IF('[3]BASE'!FT153="","",'[3]BASE'!FT153)</f>
      </c>
      <c r="K152" s="491">
        <f>IF('[3]BASE'!FU153="","",'[3]BASE'!FU153)</f>
      </c>
      <c r="L152" s="491">
        <f>IF('[3]BASE'!FV153="","",'[3]BASE'!FV153)</f>
      </c>
      <c r="M152" s="491">
        <f>IF('[3]BASE'!FW153="","",'[3]BASE'!FW153)</f>
      </c>
      <c r="N152" s="491">
        <f>IF('[3]BASE'!FX153="","",'[3]BASE'!FX153)</f>
      </c>
      <c r="O152" s="491">
        <f>IF('[3]BASE'!FY153="","",'[3]BASE'!FY153)</f>
      </c>
      <c r="P152" s="491">
        <f>IF('[3]BASE'!FZ153="","",'[3]BASE'!FZ153)</f>
      </c>
      <c r="Q152" s="491">
        <f>IF('[3]BASE'!GA153="","",'[3]BASE'!GA153)</f>
      </c>
      <c r="R152" s="491">
        <f>IF('[3]BASE'!GB153="","",'[3]BASE'!GB153)</f>
      </c>
      <c r="S152" s="491">
        <f>IF('[3]BASE'!GC153="","",'[3]BASE'!GC153)</f>
      </c>
      <c r="T152" s="491">
        <f>IF('[3]BASE'!GD153="","",'[3]BASE'!GD153)</f>
      </c>
      <c r="U152" s="492"/>
      <c r="V152" s="489"/>
    </row>
    <row r="153" spans="2:22" s="483" customFormat="1" ht="19.5" customHeight="1">
      <c r="B153" s="484"/>
      <c r="C153" s="490">
        <f>IF('[3]BASE'!C154="","",'[3]BASE'!C154)</f>
        <v>138</v>
      </c>
      <c r="D153" s="490">
        <f>IF('[3]BASE'!D154="","",'[3]BASE'!D154)</f>
        <v>4889</v>
      </c>
      <c r="E153" s="490" t="str">
        <f>IF('[3]BASE'!E154="","",'[3]BASE'!E154)</f>
        <v>CAMPANBA III - MATHEU</v>
      </c>
      <c r="F153" s="490">
        <f>IF('[3]BASE'!F154="","",'[3]BASE'!F154)</f>
        <v>132</v>
      </c>
      <c r="G153" s="490">
        <f>IF('[3]BASE'!G154="","",'[3]BASE'!G154)</f>
        <v>24.7</v>
      </c>
      <c r="H153" s="490" t="str">
        <f>IF('[3]BASE'!H154="","",'[3]BASE'!H154)</f>
        <v>C</v>
      </c>
      <c r="I153" s="491">
        <f>IF('[3]BASE'!FS154="","",'[3]BASE'!FS154)</f>
      </c>
      <c r="J153" s="491">
        <f>IF('[3]BASE'!FT154="","",'[3]BASE'!FT154)</f>
      </c>
      <c r="K153" s="491">
        <f>IF('[3]BASE'!FU154="","",'[3]BASE'!FU154)</f>
      </c>
      <c r="L153" s="491">
        <f>IF('[3]BASE'!FV154="","",'[3]BASE'!FV154)</f>
      </c>
      <c r="M153" s="491">
        <f>IF('[3]BASE'!FW154="","",'[3]BASE'!FW154)</f>
      </c>
      <c r="N153" s="491">
        <f>IF('[3]BASE'!FX154="","",'[3]BASE'!FX154)</f>
      </c>
      <c r="O153" s="491">
        <f>IF('[3]BASE'!FY154="","",'[3]BASE'!FY154)</f>
      </c>
      <c r="P153" s="491">
        <f>IF('[3]BASE'!FZ154="","",'[3]BASE'!FZ154)</f>
      </c>
      <c r="Q153" s="491">
        <f>IF('[3]BASE'!GA154="","",'[3]BASE'!GA154)</f>
      </c>
      <c r="R153" s="491">
        <f>IF('[3]BASE'!GB154="","",'[3]BASE'!GB154)</f>
      </c>
      <c r="S153" s="491">
        <f>IF('[3]BASE'!GC154="","",'[3]BASE'!GC154)</f>
      </c>
      <c r="T153" s="491">
        <f>IF('[3]BASE'!GD154="","",'[3]BASE'!GD154)</f>
      </c>
      <c r="U153" s="492"/>
      <c r="V153" s="489"/>
    </row>
    <row r="154" spans="2:22" s="483" customFormat="1" ht="19.5" customHeight="1">
      <c r="B154" s="484"/>
      <c r="C154" s="490">
        <f>IF('[3]BASE'!C155="","",'[3]BASE'!C155)</f>
        <v>139</v>
      </c>
      <c r="D154" s="490">
        <f>IF('[3]BASE'!D155="","",'[3]BASE'!D155)</f>
        <v>4914</v>
      </c>
      <c r="E154" s="490" t="str">
        <f>IF('[3]BASE'!E155="","",'[3]BASE'!E155)</f>
        <v>RAMALLO - SIDERAR</v>
      </c>
      <c r="F154" s="490">
        <f>IF('[3]BASE'!F155="","",'[3]BASE'!F155)</f>
        <v>132</v>
      </c>
      <c r="G154" s="490">
        <f>IF('[3]BASE'!G155="","",'[3]BASE'!G155)</f>
        <v>6.75</v>
      </c>
      <c r="H154" s="490" t="str">
        <f>IF('[3]BASE'!H155="","",'[3]BASE'!H155)</f>
        <v>C</v>
      </c>
      <c r="I154" s="491">
        <f>IF('[3]BASE'!FS155="","",'[3]BASE'!FS155)</f>
      </c>
      <c r="J154" s="491">
        <f>IF('[3]BASE'!FT155="","",'[3]BASE'!FT155)</f>
      </c>
      <c r="K154" s="491">
        <f>IF('[3]BASE'!FU155="","",'[3]BASE'!FU155)</f>
      </c>
      <c r="L154" s="491">
        <f>IF('[3]BASE'!FV155="","",'[3]BASE'!FV155)</f>
      </c>
      <c r="M154" s="491">
        <f>IF('[3]BASE'!FW155="","",'[3]BASE'!FW155)</f>
      </c>
      <c r="N154" s="491">
        <f>IF('[3]BASE'!FX155="","",'[3]BASE'!FX155)</f>
      </c>
      <c r="O154" s="491">
        <f>IF('[3]BASE'!FY155="","",'[3]BASE'!FY155)</f>
      </c>
      <c r="P154" s="491">
        <f>IF('[3]BASE'!FZ155="","",'[3]BASE'!FZ155)</f>
      </c>
      <c r="Q154" s="491">
        <f>IF('[3]BASE'!GA155="","",'[3]BASE'!GA155)</f>
      </c>
      <c r="R154" s="491">
        <f>IF('[3]BASE'!GB155="","",'[3]BASE'!GB155)</f>
      </c>
      <c r="S154" s="491">
        <f>IF('[3]BASE'!GC155="","",'[3]BASE'!GC155)</f>
      </c>
      <c r="T154" s="491">
        <f>IF('[3]BASE'!GD155="","",'[3]BASE'!GD155)</f>
      </c>
      <c r="U154" s="492"/>
      <c r="V154" s="489"/>
    </row>
    <row r="155" spans="2:22" s="483" customFormat="1" ht="19.5" customHeight="1">
      <c r="B155" s="484"/>
      <c r="C155" s="490">
        <f>IF('[3]BASE'!C156="","",'[3]BASE'!C156)</f>
        <v>140</v>
      </c>
      <c r="D155" s="490">
        <f>IF('[3]BASE'!D156="","",'[3]BASE'!D156)</f>
        <v>4915</v>
      </c>
      <c r="E155" s="490" t="str">
        <f>IF('[3]BASE'!E156="","",'[3]BASE'!E156)</f>
        <v>SIDERAR - SAN NICOLÁS</v>
      </c>
      <c r="F155" s="490">
        <f>IF('[3]BASE'!F156="","",'[3]BASE'!F156)</f>
        <v>132</v>
      </c>
      <c r="G155" s="490">
        <f>IF('[3]BASE'!G156="","",'[3]BASE'!G156)</f>
        <v>1.31</v>
      </c>
      <c r="H155" s="490" t="str">
        <f>IF('[3]BASE'!H156="","",'[3]BASE'!H156)</f>
        <v>C</v>
      </c>
      <c r="I155" s="491">
        <f>IF('[3]BASE'!FS156="","",'[3]BASE'!FS156)</f>
      </c>
      <c r="J155" s="491">
        <f>IF('[3]BASE'!FT156="","",'[3]BASE'!FT156)</f>
      </c>
      <c r="K155" s="491">
        <f>IF('[3]BASE'!FU156="","",'[3]BASE'!FU156)</f>
      </c>
      <c r="L155" s="491">
        <f>IF('[3]BASE'!FV156="","",'[3]BASE'!FV156)</f>
      </c>
      <c r="M155" s="491">
        <f>IF('[3]BASE'!FW156="","",'[3]BASE'!FW156)</f>
      </c>
      <c r="N155" s="491">
        <f>IF('[3]BASE'!FX156="","",'[3]BASE'!FX156)</f>
      </c>
      <c r="O155" s="491">
        <f>IF('[3]BASE'!FY156="","",'[3]BASE'!FY156)</f>
      </c>
      <c r="P155" s="491">
        <f>IF('[3]BASE'!FZ156="","",'[3]BASE'!FZ156)</f>
      </c>
      <c r="Q155" s="491">
        <f>IF('[3]BASE'!GA156="","",'[3]BASE'!GA156)</f>
      </c>
      <c r="R155" s="491">
        <f>IF('[3]BASE'!GB156="","",'[3]BASE'!GB156)</f>
      </c>
      <c r="S155" s="491">
        <f>IF('[3]BASE'!GC156="","",'[3]BASE'!GC156)</f>
      </c>
      <c r="T155" s="491">
        <f>IF('[3]BASE'!GD156="","",'[3]BASE'!GD156)</f>
      </c>
      <c r="U155" s="492"/>
      <c r="V155" s="489"/>
    </row>
    <row r="156" spans="2:22" s="483" customFormat="1" ht="19.5" customHeight="1">
      <c r="B156" s="484"/>
      <c r="C156" s="490">
        <f>IF('[3]BASE'!C157="","",'[3]BASE'!C157)</f>
        <v>141</v>
      </c>
      <c r="D156" s="490">
        <f>IF('[3]BASE'!D157="","",'[3]BASE'!D157)</f>
      </c>
      <c r="E156" s="490" t="str">
        <f>IF('[3]BASE'!E157="","",'[3]BASE'!E157)</f>
        <v>RAMALLO IND - RAMALLO</v>
      </c>
      <c r="F156" s="490">
        <f>IF('[3]BASE'!F157="","",'[3]BASE'!F157)</f>
        <v>132</v>
      </c>
      <c r="G156" s="490">
        <f>IF('[3]BASE'!G157="","",'[3]BASE'!G157)</f>
        <v>17.66</v>
      </c>
      <c r="H156" s="490" t="str">
        <f>IF('[3]BASE'!H157="","",'[3]BASE'!H157)</f>
        <v>C</v>
      </c>
      <c r="I156" s="491">
        <f>IF('[3]BASE'!FS157="","",'[3]BASE'!FS157)</f>
      </c>
      <c r="J156" s="491">
        <f>IF('[3]BASE'!FT157="","",'[3]BASE'!FT157)</f>
      </c>
      <c r="K156" s="491">
        <f>IF('[3]BASE'!FU157="","",'[3]BASE'!FU157)</f>
      </c>
      <c r="L156" s="491">
        <f>IF('[3]BASE'!FV157="","",'[3]BASE'!FV157)</f>
      </c>
      <c r="M156" s="491">
        <f>IF('[3]BASE'!FW157="","",'[3]BASE'!FW157)</f>
      </c>
      <c r="N156" s="491">
        <f>IF('[3]BASE'!FX157="","",'[3]BASE'!FX157)</f>
      </c>
      <c r="O156" s="491">
        <f>IF('[3]BASE'!FY157="","",'[3]BASE'!FY157)</f>
      </c>
      <c r="P156" s="491">
        <f>IF('[3]BASE'!FZ157="","",'[3]BASE'!FZ157)</f>
      </c>
      <c r="Q156" s="491">
        <f>IF('[3]BASE'!GA157="","",'[3]BASE'!GA157)</f>
      </c>
      <c r="R156" s="491">
        <f>IF('[3]BASE'!GB157="","",'[3]BASE'!GB157)</f>
      </c>
      <c r="S156" s="491">
        <f>IF('[3]BASE'!GC157="","",'[3]BASE'!GC157)</f>
      </c>
      <c r="T156" s="491">
        <f>IF('[3]BASE'!GD157="","",'[3]BASE'!GD157)</f>
      </c>
      <c r="U156" s="492"/>
      <c r="V156" s="489"/>
    </row>
    <row r="157" spans="2:22" s="483" customFormat="1" ht="19.5" customHeight="1">
      <c r="B157" s="484"/>
      <c r="C157" s="490">
        <f>IF('[3]BASE'!C158="","",'[3]BASE'!C158)</f>
        <v>142</v>
      </c>
      <c r="D157" s="490">
        <f>IF('[3]BASE'!D158="","",'[3]BASE'!D158)</f>
        <v>4964</v>
      </c>
      <c r="E157" s="490" t="str">
        <f>IF('[3]BASE'!E158="","",'[3]BASE'!E158)</f>
        <v>PINAMAR - VALERIA DEL MAR</v>
      </c>
      <c r="F157" s="490">
        <f>IF('[3]BASE'!F158="","",'[3]BASE'!F158)</f>
        <v>132</v>
      </c>
      <c r="G157" s="490">
        <f>IF('[3]BASE'!G158="","",'[3]BASE'!G158)</f>
        <v>6</v>
      </c>
      <c r="H157" s="490" t="str">
        <f>IF('[3]BASE'!H158="","",'[3]BASE'!H158)</f>
        <v>C</v>
      </c>
      <c r="I157" s="491">
        <f>IF('[3]BASE'!FS158="","",'[3]BASE'!FS158)</f>
      </c>
      <c r="J157" s="491">
        <f>IF('[3]BASE'!FT158="","",'[3]BASE'!FT158)</f>
      </c>
      <c r="K157" s="491">
        <f>IF('[3]BASE'!FU158="","",'[3]BASE'!FU158)</f>
      </c>
      <c r="L157" s="491">
        <f>IF('[3]BASE'!FV158="","",'[3]BASE'!FV158)</f>
      </c>
      <c r="M157" s="491">
        <f>IF('[3]BASE'!FW158="","",'[3]BASE'!FW158)</f>
      </c>
      <c r="N157" s="491">
        <f>IF('[3]BASE'!FX158="","",'[3]BASE'!FX158)</f>
      </c>
      <c r="O157" s="491">
        <f>IF('[3]BASE'!FY158="","",'[3]BASE'!FY158)</f>
      </c>
      <c r="P157" s="491">
        <f>IF('[3]BASE'!FZ158="","",'[3]BASE'!FZ158)</f>
      </c>
      <c r="Q157" s="491">
        <f>IF('[3]BASE'!GA158="","",'[3]BASE'!GA158)</f>
      </c>
      <c r="R157" s="491">
        <f>IF('[3]BASE'!GB158="","",'[3]BASE'!GB158)</f>
      </c>
      <c r="S157" s="491">
        <f>IF('[3]BASE'!GC158="","",'[3]BASE'!GC158)</f>
      </c>
      <c r="T157" s="491">
        <f>IF('[3]BASE'!GD158="","",'[3]BASE'!GD158)</f>
      </c>
      <c r="U157" s="492"/>
      <c r="V157" s="489"/>
    </row>
    <row r="158" spans="2:22" s="483" customFormat="1" ht="19.5" customHeight="1">
      <c r="B158" s="484"/>
      <c r="C158" s="490">
        <f>IF('[3]BASE'!C159="","",'[3]BASE'!C159)</f>
        <v>143</v>
      </c>
      <c r="D158" s="490">
        <f>IF('[3]BASE'!D159="","",'[3]BASE'!D159)</f>
        <v>4965</v>
      </c>
      <c r="E158" s="490" t="str">
        <f>IF('[3]BASE'!E159="","",'[3]BASE'!E159)</f>
        <v>VALERIA DEL MAR - VILLA GESELL</v>
      </c>
      <c r="F158" s="490">
        <f>IF('[3]BASE'!F159="","",'[3]BASE'!F159)</f>
        <v>132</v>
      </c>
      <c r="G158" s="490">
        <f>IF('[3]BASE'!G159="","",'[3]BASE'!G159)</f>
        <v>14.28</v>
      </c>
      <c r="H158" s="490" t="str">
        <f>IF('[3]BASE'!H159="","",'[3]BASE'!H159)</f>
        <v>C</v>
      </c>
      <c r="I158" s="491">
        <f>IF('[3]BASE'!FS159="","",'[3]BASE'!FS159)</f>
      </c>
      <c r="J158" s="491">
        <f>IF('[3]BASE'!FT159="","",'[3]BASE'!FT159)</f>
      </c>
      <c r="K158" s="491">
        <f>IF('[3]BASE'!FU159="","",'[3]BASE'!FU159)</f>
      </c>
      <c r="L158" s="491">
        <f>IF('[3]BASE'!FV159="","",'[3]BASE'!FV159)</f>
      </c>
      <c r="M158" s="491">
        <f>IF('[3]BASE'!FW159="","",'[3]BASE'!FW159)</f>
      </c>
      <c r="N158" s="491">
        <f>IF('[3]BASE'!FX159="","",'[3]BASE'!FX159)</f>
      </c>
      <c r="O158" s="491">
        <f>IF('[3]BASE'!FY159="","",'[3]BASE'!FY159)</f>
      </c>
      <c r="P158" s="491">
        <f>IF('[3]BASE'!FZ159="","",'[3]BASE'!FZ159)</f>
      </c>
      <c r="Q158" s="491">
        <f>IF('[3]BASE'!GA159="","",'[3]BASE'!GA159)</f>
      </c>
      <c r="R158" s="491">
        <f>IF('[3]BASE'!GB159="","",'[3]BASE'!GB159)</f>
      </c>
      <c r="S158" s="491">
        <f>IF('[3]BASE'!GC159="","",'[3]BASE'!GC159)</f>
      </c>
      <c r="T158" s="491">
        <f>IF('[3]BASE'!GD159="","",'[3]BASE'!GD159)</f>
      </c>
      <c r="U158" s="492"/>
      <c r="V158" s="489"/>
    </row>
    <row r="159" spans="2:22" s="483" customFormat="1" ht="19.5" customHeight="1">
      <c r="B159" s="484"/>
      <c r="C159" s="493"/>
      <c r="D159" s="494"/>
      <c r="E159" s="494"/>
      <c r="F159" s="495"/>
      <c r="G159" s="496"/>
      <c r="H159" s="497"/>
      <c r="I159" s="498"/>
      <c r="J159" s="498"/>
      <c r="K159" s="498"/>
      <c r="L159" s="498"/>
      <c r="M159" s="498"/>
      <c r="N159" s="498"/>
      <c r="O159" s="498"/>
      <c r="P159" s="498"/>
      <c r="Q159" s="498"/>
      <c r="R159" s="498"/>
      <c r="S159" s="498"/>
      <c r="T159" s="498"/>
      <c r="U159" s="492"/>
      <c r="V159" s="489"/>
    </row>
    <row r="160" spans="2:22" s="483" customFormat="1" ht="19.5" customHeight="1" thickBot="1">
      <c r="B160" s="484"/>
      <c r="C160" s="499"/>
      <c r="D160" s="499"/>
      <c r="E160" s="499"/>
      <c r="F160" s="499"/>
      <c r="G160" s="500"/>
      <c r="H160" s="501"/>
      <c r="I160" s="502"/>
      <c r="J160" s="502"/>
      <c r="K160" s="502"/>
      <c r="L160" s="502"/>
      <c r="M160" s="502"/>
      <c r="N160" s="502"/>
      <c r="O160" s="502"/>
      <c r="P160" s="502"/>
      <c r="Q160" s="502"/>
      <c r="R160" s="502"/>
      <c r="S160" s="502"/>
      <c r="T160" s="502"/>
      <c r="U160" s="492"/>
      <c r="V160" s="489"/>
    </row>
    <row r="161" spans="2:22" s="483" customFormat="1" ht="19.5" customHeight="1" thickBot="1" thickTop="1">
      <c r="B161" s="484"/>
      <c r="C161" s="503"/>
      <c r="D161" s="503"/>
      <c r="E161" s="504" t="s">
        <v>309</v>
      </c>
      <c r="F161" s="505">
        <f>SUM(G16:G158)-G17-G28-G37-G46-G50-G58-G60-G63-G65-G76-G83-G88-G89-G91-G93-G106-G107-G108-G109-G117-G126</f>
        <v>6114.816000000002</v>
      </c>
      <c r="G161" s="506" t="s">
        <v>310</v>
      </c>
      <c r="H161" s="506"/>
      <c r="I161" s="507"/>
      <c r="J161" s="507"/>
      <c r="K161" s="507"/>
      <c r="L161" s="507"/>
      <c r="M161" s="507"/>
      <c r="N161" s="507"/>
      <c r="O161" s="507"/>
      <c r="P161" s="507"/>
      <c r="Q161" s="507"/>
      <c r="R161" s="507"/>
      <c r="S161" s="507"/>
      <c r="T161" s="507"/>
      <c r="U161" s="492"/>
      <c r="V161" s="489"/>
    </row>
    <row r="162" spans="2:22" s="483" customFormat="1" ht="19.5" customHeight="1" thickBot="1" thickTop="1">
      <c r="B162" s="484"/>
      <c r="C162" s="503"/>
      <c r="D162" s="508"/>
      <c r="G162" s="509" t="s">
        <v>311</v>
      </c>
      <c r="H162" s="509"/>
      <c r="I162" s="510">
        <f aca="true" t="shared" si="0" ref="I162:T162">SUM(I16:I160)</f>
        <v>9</v>
      </c>
      <c r="J162" s="510">
        <f t="shared" si="0"/>
        <v>7</v>
      </c>
      <c r="K162" s="510">
        <f t="shared" si="0"/>
        <v>9</v>
      </c>
      <c r="L162" s="510">
        <f t="shared" si="0"/>
        <v>6</v>
      </c>
      <c r="M162" s="510">
        <f t="shared" si="0"/>
        <v>11</v>
      </c>
      <c r="N162" s="510">
        <f t="shared" si="0"/>
        <v>4</v>
      </c>
      <c r="O162" s="510">
        <f t="shared" si="0"/>
        <v>9</v>
      </c>
      <c r="P162" s="510">
        <f t="shared" si="0"/>
        <v>8</v>
      </c>
      <c r="Q162" s="510">
        <f t="shared" si="0"/>
        <v>8</v>
      </c>
      <c r="R162" s="510">
        <f t="shared" si="0"/>
        <v>6</v>
      </c>
      <c r="S162" s="510">
        <f t="shared" si="0"/>
        <v>10</v>
      </c>
      <c r="T162" s="510">
        <f t="shared" si="0"/>
        <v>9</v>
      </c>
      <c r="U162" s="511"/>
      <c r="V162" s="489"/>
    </row>
    <row r="163" spans="2:22" s="483" customFormat="1" ht="19.5" customHeight="1" thickBot="1" thickTop="1">
      <c r="B163" s="484"/>
      <c r="C163" s="503"/>
      <c r="D163" s="508"/>
      <c r="F163" s="512"/>
      <c r="G163" s="513" t="s">
        <v>312</v>
      </c>
      <c r="H163" s="513"/>
      <c r="I163" s="514">
        <f>'[3]BASE'!FS$164</f>
        <v>1.23</v>
      </c>
      <c r="J163" s="514">
        <f>'[3]BASE'!FT$164</f>
        <v>1.36</v>
      </c>
      <c r="K163" s="514">
        <f>'[3]BASE'!FU$164</f>
        <v>1.41</v>
      </c>
      <c r="L163" s="514">
        <f>'[3]BASE'!FV$164</f>
        <v>1.5</v>
      </c>
      <c r="M163" s="514">
        <f>'[3]BASE'!FW$164</f>
        <v>1.49</v>
      </c>
      <c r="N163" s="514">
        <f>'[3]BASE'!FX$164</f>
        <v>1.57</v>
      </c>
      <c r="O163" s="514">
        <f>'[3]BASE'!FY$164</f>
        <v>1.59</v>
      </c>
      <c r="P163" s="514">
        <f>'[3]BASE'!FZ$164</f>
        <v>1.67</v>
      </c>
      <c r="Q163" s="514">
        <f>'[3]BASE'!GA$164</f>
        <v>1.68</v>
      </c>
      <c r="R163" s="514">
        <f>'[3]BASE'!GB$164</f>
        <v>1.64</v>
      </c>
      <c r="S163" s="514">
        <f>'[3]BASE'!GC$164</f>
        <v>1.47</v>
      </c>
      <c r="T163" s="514">
        <f>'[3]BASE'!GD$164</f>
        <v>1.59</v>
      </c>
      <c r="U163" s="514">
        <f>'[3]BASE'!GE$164</f>
        <v>1.57</v>
      </c>
      <c r="V163" s="489"/>
    </row>
    <row r="164" spans="2:22" ht="18.75" customHeight="1" thickBot="1" thickTop="1">
      <c r="B164" s="473"/>
      <c r="C164" s="503"/>
      <c r="D164" s="515"/>
      <c r="E164" s="516"/>
      <c r="F164" s="517"/>
      <c r="G164" s="518"/>
      <c r="H164" s="518"/>
      <c r="I164" s="519"/>
      <c r="J164" s="519"/>
      <c r="K164" s="519"/>
      <c r="L164" s="519"/>
      <c r="M164" s="519"/>
      <c r="N164" s="519"/>
      <c r="O164" s="519"/>
      <c r="P164" s="519"/>
      <c r="Q164" s="519"/>
      <c r="R164" s="519"/>
      <c r="S164" s="519"/>
      <c r="T164" s="519"/>
      <c r="V164" s="520"/>
    </row>
    <row r="165" spans="2:22" ht="21" thickBot="1" thickTop="1">
      <c r="B165" s="521"/>
      <c r="C165" s="522"/>
      <c r="D165" s="474"/>
      <c r="E165" s="515"/>
      <c r="G165" s="523"/>
      <c r="L165" s="524" t="s">
        <v>313</v>
      </c>
      <c r="M165" s="525"/>
      <c r="N165" s="526">
        <f>U163</f>
        <v>1.57</v>
      </c>
      <c r="O165" s="527" t="s">
        <v>314</v>
      </c>
      <c r="P165" s="525"/>
      <c r="Q165" s="528"/>
      <c r="R165" s="474"/>
      <c r="S165" s="474"/>
      <c r="T165" s="474"/>
      <c r="V165" s="529"/>
    </row>
    <row r="166" spans="2:22" ht="18.75" customHeight="1" thickBot="1" thickTop="1">
      <c r="B166" s="530"/>
      <c r="C166" s="531"/>
      <c r="D166" s="532"/>
      <c r="E166" s="532"/>
      <c r="F166" s="533"/>
      <c r="G166" s="534"/>
      <c r="H166" s="534"/>
      <c r="I166" s="535"/>
      <c r="J166" s="535"/>
      <c r="K166" s="535"/>
      <c r="L166" s="535"/>
      <c r="M166" s="535"/>
      <c r="N166" s="535"/>
      <c r="O166" s="535"/>
      <c r="P166" s="535"/>
      <c r="Q166" s="535"/>
      <c r="R166" s="535"/>
      <c r="S166" s="535"/>
      <c r="T166" s="535"/>
      <c r="U166" s="535"/>
      <c r="V166" s="536"/>
    </row>
    <row r="167" spans="3:195" ht="13.5" thickTop="1">
      <c r="C167" s="537"/>
      <c r="D167" s="518"/>
      <c r="E167" s="518"/>
      <c r="F167" s="518"/>
      <c r="G167" s="518"/>
      <c r="H167" s="518"/>
      <c r="I167" s="538"/>
      <c r="J167" s="538"/>
      <c r="K167" s="538"/>
      <c r="L167" s="538"/>
      <c r="M167" s="538"/>
      <c r="N167" s="538"/>
      <c r="O167" s="538"/>
      <c r="P167" s="538"/>
      <c r="Q167" s="538"/>
      <c r="R167" s="538"/>
      <c r="S167" s="538"/>
      <c r="T167" s="538"/>
      <c r="U167" s="519"/>
      <c r="V167" s="474"/>
      <c r="W167" s="474"/>
      <c r="X167" s="474"/>
      <c r="Y167" s="474"/>
      <c r="Z167" s="474"/>
      <c r="AA167" s="474"/>
      <c r="AB167" s="474"/>
      <c r="AC167" s="474"/>
      <c r="AD167" s="474"/>
      <c r="AE167" s="474"/>
      <c r="AF167" s="474"/>
      <c r="AG167" s="474"/>
      <c r="AH167" s="474"/>
      <c r="AI167" s="474"/>
      <c r="AJ167" s="474"/>
      <c r="AK167" s="474"/>
      <c r="AL167" s="474"/>
      <c r="AM167" s="474"/>
      <c r="AN167" s="474"/>
      <c r="AO167" s="474"/>
      <c r="AP167" s="474"/>
      <c r="AQ167" s="474"/>
      <c r="AR167" s="474"/>
      <c r="AS167" s="474"/>
      <c r="AT167" s="474"/>
      <c r="AU167" s="474"/>
      <c r="AV167" s="474"/>
      <c r="AW167" s="474"/>
      <c r="AX167" s="474"/>
      <c r="AY167" s="474"/>
      <c r="AZ167" s="474"/>
      <c r="BA167" s="474"/>
      <c r="BB167" s="474"/>
      <c r="BC167" s="474"/>
      <c r="BD167" s="474"/>
      <c r="BE167" s="474"/>
      <c r="BF167" s="474"/>
      <c r="BG167" s="474"/>
      <c r="BH167" s="474"/>
      <c r="BI167" s="474"/>
      <c r="BJ167" s="474"/>
      <c r="BK167" s="474"/>
      <c r="BL167" s="474"/>
      <c r="BM167" s="474"/>
      <c r="BN167" s="474"/>
      <c r="BO167" s="474"/>
      <c r="BP167" s="474"/>
      <c r="BQ167" s="474"/>
      <c r="BR167" s="474"/>
      <c r="BS167" s="474"/>
      <c r="BT167" s="474"/>
      <c r="BU167" s="474"/>
      <c r="BV167" s="474"/>
      <c r="BW167" s="474"/>
      <c r="BX167" s="474"/>
      <c r="BY167" s="474"/>
      <c r="BZ167" s="474"/>
      <c r="CA167" s="474"/>
      <c r="CB167" s="474"/>
      <c r="CC167" s="474"/>
      <c r="CD167" s="474"/>
      <c r="CE167" s="474"/>
      <c r="CF167" s="474"/>
      <c r="CG167" s="474"/>
      <c r="CH167" s="474"/>
      <c r="CI167" s="474"/>
      <c r="CJ167" s="474"/>
      <c r="CK167" s="474"/>
      <c r="CL167" s="474"/>
      <c r="CM167" s="474"/>
      <c r="CN167" s="474"/>
      <c r="CO167" s="474"/>
      <c r="CP167" s="474"/>
      <c r="CQ167" s="474"/>
      <c r="CR167" s="474"/>
      <c r="CS167" s="474"/>
      <c r="CT167" s="474"/>
      <c r="CU167" s="474"/>
      <c r="CV167" s="474"/>
      <c r="CW167" s="474"/>
      <c r="CX167" s="474"/>
      <c r="CY167" s="474"/>
      <c r="CZ167" s="474"/>
      <c r="DA167" s="474"/>
      <c r="DB167" s="474"/>
      <c r="DC167" s="474"/>
      <c r="DD167" s="474"/>
      <c r="DE167" s="474"/>
      <c r="DF167" s="474"/>
      <c r="DG167" s="474"/>
      <c r="DH167" s="474"/>
      <c r="DI167" s="474"/>
      <c r="DJ167" s="474"/>
      <c r="DK167" s="474"/>
      <c r="DL167" s="474"/>
      <c r="DM167" s="474"/>
      <c r="DN167" s="474"/>
      <c r="DO167" s="474"/>
      <c r="DP167" s="474"/>
      <c r="DQ167" s="474"/>
      <c r="DR167" s="474"/>
      <c r="DS167" s="474"/>
      <c r="DT167" s="474"/>
      <c r="DU167" s="474"/>
      <c r="DV167" s="474"/>
      <c r="DW167" s="474"/>
      <c r="DX167" s="474"/>
      <c r="DY167" s="474"/>
      <c r="DZ167" s="474"/>
      <c r="EA167" s="474"/>
      <c r="EB167" s="474"/>
      <c r="EC167" s="474"/>
      <c r="ED167" s="474"/>
      <c r="EE167" s="474"/>
      <c r="EF167" s="474"/>
      <c r="EG167" s="474"/>
      <c r="EH167" s="474"/>
      <c r="EI167" s="474"/>
      <c r="EJ167" s="474"/>
      <c r="EK167" s="474"/>
      <c r="EL167" s="474"/>
      <c r="EM167" s="474"/>
      <c r="EN167" s="474"/>
      <c r="EO167" s="474"/>
      <c r="EP167" s="474"/>
      <c r="EQ167" s="474"/>
      <c r="ER167" s="474"/>
      <c r="ES167" s="474"/>
      <c r="ET167" s="474"/>
      <c r="EU167" s="474"/>
      <c r="EV167" s="474"/>
      <c r="EW167" s="474"/>
      <c r="EX167" s="474"/>
      <c r="EY167" s="474"/>
      <c r="EZ167" s="474"/>
      <c r="FA167" s="474"/>
      <c r="FB167" s="474"/>
      <c r="FC167" s="474"/>
      <c r="FD167" s="474"/>
      <c r="FE167" s="474"/>
      <c r="FF167" s="474"/>
      <c r="FG167" s="474"/>
      <c r="FH167" s="474"/>
      <c r="FI167" s="474"/>
      <c r="FJ167" s="474"/>
      <c r="FK167" s="474"/>
      <c r="FL167" s="474"/>
      <c r="FM167" s="474"/>
      <c r="FN167" s="474"/>
      <c r="FO167" s="474"/>
      <c r="FP167" s="474"/>
      <c r="FQ167" s="474"/>
      <c r="FR167" s="474"/>
      <c r="FS167" s="474"/>
      <c r="FT167" s="474"/>
      <c r="FU167" s="474"/>
      <c r="FV167" s="474"/>
      <c r="FW167" s="474"/>
      <c r="FX167" s="474"/>
      <c r="FY167" s="474"/>
      <c r="FZ167" s="474"/>
      <c r="GA167" s="474"/>
      <c r="GB167" s="474"/>
      <c r="GC167" s="474"/>
      <c r="GD167" s="474"/>
      <c r="GE167" s="474"/>
      <c r="GF167" s="474"/>
      <c r="GG167" s="474"/>
      <c r="GH167" s="474"/>
      <c r="GI167" s="474"/>
      <c r="GJ167" s="474"/>
      <c r="GK167" s="474"/>
      <c r="GL167" s="474"/>
      <c r="GM167" s="474"/>
    </row>
    <row r="168" spans="3:195" ht="12.75">
      <c r="C168" s="537"/>
      <c r="D168" s="518"/>
      <c r="E168" s="518"/>
      <c r="F168" s="518"/>
      <c r="G168" s="518"/>
      <c r="H168" s="518"/>
      <c r="I168" s="538"/>
      <c r="J168" s="538"/>
      <c r="K168" s="538"/>
      <c r="L168" s="538"/>
      <c r="M168" s="538"/>
      <c r="N168" s="538"/>
      <c r="O168" s="538"/>
      <c r="P168" s="538"/>
      <c r="Q168" s="538"/>
      <c r="R168" s="538"/>
      <c r="S168" s="538"/>
      <c r="T168" s="538"/>
      <c r="U168" s="519"/>
      <c r="V168" s="474"/>
      <c r="W168" s="474"/>
      <c r="X168" s="474"/>
      <c r="Y168" s="474"/>
      <c r="Z168" s="474"/>
      <c r="AA168" s="474"/>
      <c r="AB168" s="474"/>
      <c r="AC168" s="474"/>
      <c r="AD168" s="474"/>
      <c r="AE168" s="474"/>
      <c r="AF168" s="474"/>
      <c r="AG168" s="474"/>
      <c r="AH168" s="474"/>
      <c r="AI168" s="474"/>
      <c r="AJ168" s="474"/>
      <c r="AK168" s="474"/>
      <c r="AL168" s="474"/>
      <c r="AM168" s="474"/>
      <c r="AN168" s="474"/>
      <c r="AO168" s="474"/>
      <c r="AP168" s="474"/>
      <c r="AQ168" s="474"/>
      <c r="AR168" s="474"/>
      <c r="AS168" s="474"/>
      <c r="AT168" s="474"/>
      <c r="AU168" s="474"/>
      <c r="AV168" s="474"/>
      <c r="AW168" s="474"/>
      <c r="AX168" s="474"/>
      <c r="AY168" s="474"/>
      <c r="AZ168" s="474"/>
      <c r="BA168" s="474"/>
      <c r="BB168" s="474"/>
      <c r="BC168" s="474"/>
      <c r="BD168" s="474"/>
      <c r="BE168" s="474"/>
      <c r="BF168" s="474"/>
      <c r="BG168" s="474"/>
      <c r="BH168" s="474"/>
      <c r="BI168" s="474"/>
      <c r="BJ168" s="474"/>
      <c r="BK168" s="474"/>
      <c r="BL168" s="474"/>
      <c r="BM168" s="474"/>
      <c r="BN168" s="474"/>
      <c r="BO168" s="474"/>
      <c r="BP168" s="474"/>
      <c r="BQ168" s="474"/>
      <c r="BR168" s="474"/>
      <c r="BS168" s="474"/>
      <c r="BT168" s="474"/>
      <c r="BU168" s="474"/>
      <c r="BV168" s="474"/>
      <c r="BW168" s="474"/>
      <c r="BX168" s="474"/>
      <c r="BY168" s="474"/>
      <c r="BZ168" s="474"/>
      <c r="CA168" s="474"/>
      <c r="CB168" s="474"/>
      <c r="CC168" s="474"/>
      <c r="CD168" s="474"/>
      <c r="CE168" s="474"/>
      <c r="CF168" s="474"/>
      <c r="CG168" s="474"/>
      <c r="CH168" s="474"/>
      <c r="CI168" s="474"/>
      <c r="CJ168" s="474"/>
      <c r="CK168" s="474"/>
      <c r="CL168" s="474"/>
      <c r="CM168" s="474"/>
      <c r="CN168" s="474"/>
      <c r="CO168" s="474"/>
      <c r="CP168" s="474"/>
      <c r="CQ168" s="474"/>
      <c r="CR168" s="474"/>
      <c r="CS168" s="474"/>
      <c r="CT168" s="474"/>
      <c r="CU168" s="474"/>
      <c r="CV168" s="474"/>
      <c r="CW168" s="474"/>
      <c r="CX168" s="474"/>
      <c r="CY168" s="474"/>
      <c r="CZ168" s="474"/>
      <c r="DA168" s="474"/>
      <c r="DB168" s="474"/>
      <c r="DC168" s="474"/>
      <c r="DD168" s="474"/>
      <c r="DE168" s="474"/>
      <c r="DF168" s="474"/>
      <c r="DG168" s="474"/>
      <c r="DH168" s="474"/>
      <c r="DI168" s="474"/>
      <c r="DJ168" s="474"/>
      <c r="DK168" s="474"/>
      <c r="DL168" s="474"/>
      <c r="DM168" s="474"/>
      <c r="DN168" s="474"/>
      <c r="DO168" s="474"/>
      <c r="DP168" s="474"/>
      <c r="DQ168" s="474"/>
      <c r="DR168" s="474"/>
      <c r="DS168" s="474"/>
      <c r="DT168" s="474"/>
      <c r="DU168" s="474"/>
      <c r="DV168" s="474"/>
      <c r="DW168" s="474"/>
      <c r="DX168" s="474"/>
      <c r="DY168" s="474"/>
      <c r="DZ168" s="474"/>
      <c r="EA168" s="474"/>
      <c r="EB168" s="474"/>
      <c r="EC168" s="474"/>
      <c r="ED168" s="474"/>
      <c r="EE168" s="474"/>
      <c r="EF168" s="474"/>
      <c r="EG168" s="474"/>
      <c r="EH168" s="474"/>
      <c r="EI168" s="474"/>
      <c r="EJ168" s="474"/>
      <c r="EK168" s="474"/>
      <c r="EL168" s="474"/>
      <c r="EM168" s="474"/>
      <c r="EN168" s="474"/>
      <c r="EO168" s="474"/>
      <c r="EP168" s="474"/>
      <c r="EQ168" s="474"/>
      <c r="ER168" s="474"/>
      <c r="ES168" s="474"/>
      <c r="ET168" s="474"/>
      <c r="EU168" s="474"/>
      <c r="EV168" s="474"/>
      <c r="EW168" s="474"/>
      <c r="EX168" s="474"/>
      <c r="EY168" s="474"/>
      <c r="EZ168" s="474"/>
      <c r="FA168" s="474"/>
      <c r="FB168" s="474"/>
      <c r="FC168" s="474"/>
      <c r="FD168" s="474"/>
      <c r="FE168" s="474"/>
      <c r="FF168" s="474"/>
      <c r="FG168" s="474"/>
      <c r="FH168" s="474"/>
      <c r="FI168" s="474"/>
      <c r="FJ168" s="474"/>
      <c r="FK168" s="474"/>
      <c r="FL168" s="474"/>
      <c r="FM168" s="474"/>
      <c r="FN168" s="474"/>
      <c r="FO168" s="474"/>
      <c r="FP168" s="474"/>
      <c r="FQ168" s="474"/>
      <c r="FR168" s="474"/>
      <c r="FS168" s="474"/>
      <c r="FT168" s="474"/>
      <c r="FU168" s="474"/>
      <c r="FV168" s="474"/>
      <c r="FW168" s="474"/>
      <c r="FX168" s="474"/>
      <c r="FY168" s="474"/>
      <c r="FZ168" s="474"/>
      <c r="GA168" s="474"/>
      <c r="GB168" s="474"/>
      <c r="GC168" s="474"/>
      <c r="GD168" s="474"/>
      <c r="GE168" s="474"/>
      <c r="GF168" s="474"/>
      <c r="GG168" s="474"/>
      <c r="GH168" s="474"/>
      <c r="GI168" s="474"/>
      <c r="GJ168" s="474"/>
      <c r="GK168" s="474"/>
      <c r="GL168" s="474"/>
      <c r="GM168" s="474"/>
    </row>
    <row r="169" spans="3:195" ht="12.75">
      <c r="C169" s="537"/>
      <c r="D169" s="518"/>
      <c r="E169" s="518"/>
      <c r="F169" s="518"/>
      <c r="G169" s="518"/>
      <c r="H169" s="518"/>
      <c r="I169" s="538"/>
      <c r="J169" s="538"/>
      <c r="K169" s="538"/>
      <c r="L169" s="538"/>
      <c r="M169" s="538"/>
      <c r="N169" s="538"/>
      <c r="O169" s="538"/>
      <c r="P169" s="538"/>
      <c r="Q169" s="538"/>
      <c r="R169" s="538"/>
      <c r="S169" s="538"/>
      <c r="T169" s="538"/>
      <c r="U169" s="519"/>
      <c r="V169" s="474"/>
      <c r="W169" s="474"/>
      <c r="X169" s="474"/>
      <c r="Y169" s="474"/>
      <c r="Z169" s="474"/>
      <c r="AA169" s="474"/>
      <c r="AB169" s="474"/>
      <c r="AC169" s="474"/>
      <c r="AD169" s="474"/>
      <c r="AE169" s="474"/>
      <c r="AF169" s="474"/>
      <c r="AG169" s="474"/>
      <c r="AH169" s="474"/>
      <c r="AI169" s="474"/>
      <c r="AJ169" s="474"/>
      <c r="AK169" s="474"/>
      <c r="AL169" s="474"/>
      <c r="AM169" s="474"/>
      <c r="AN169" s="474"/>
      <c r="AO169" s="474"/>
      <c r="AP169" s="474"/>
      <c r="AQ169" s="474"/>
      <c r="AR169" s="474"/>
      <c r="AS169" s="474"/>
      <c r="AT169" s="474"/>
      <c r="AU169" s="474"/>
      <c r="AV169" s="474"/>
      <c r="AW169" s="474"/>
      <c r="AX169" s="474"/>
      <c r="AY169" s="474"/>
      <c r="AZ169" s="474"/>
      <c r="BA169" s="474"/>
      <c r="BB169" s="474"/>
      <c r="BC169" s="474"/>
      <c r="BD169" s="474"/>
      <c r="BE169" s="474"/>
      <c r="BF169" s="474"/>
      <c r="BG169" s="474"/>
      <c r="BH169" s="474"/>
      <c r="BI169" s="474"/>
      <c r="BJ169" s="474"/>
      <c r="BK169" s="474"/>
      <c r="BL169" s="474"/>
      <c r="BM169" s="474"/>
      <c r="BN169" s="474"/>
      <c r="BO169" s="474"/>
      <c r="BP169" s="474"/>
      <c r="BQ169" s="474"/>
      <c r="BR169" s="474"/>
      <c r="BS169" s="474"/>
      <c r="BT169" s="474"/>
      <c r="BU169" s="474"/>
      <c r="BV169" s="474"/>
      <c r="BW169" s="474"/>
      <c r="BX169" s="474"/>
      <c r="BY169" s="474"/>
      <c r="BZ169" s="474"/>
      <c r="CA169" s="474"/>
      <c r="CB169" s="474"/>
      <c r="CC169" s="474"/>
      <c r="CD169" s="474"/>
      <c r="CE169" s="474"/>
      <c r="CF169" s="474"/>
      <c r="CG169" s="474"/>
      <c r="CH169" s="474"/>
      <c r="CI169" s="474"/>
      <c r="CJ169" s="474"/>
      <c r="CK169" s="474"/>
      <c r="CL169" s="474"/>
      <c r="CM169" s="474"/>
      <c r="CN169" s="474"/>
      <c r="CO169" s="474"/>
      <c r="CP169" s="474"/>
      <c r="CQ169" s="474"/>
      <c r="CR169" s="474"/>
      <c r="CS169" s="474"/>
      <c r="CT169" s="474"/>
      <c r="CU169" s="474"/>
      <c r="CV169" s="474"/>
      <c r="CW169" s="474"/>
      <c r="CX169" s="474"/>
      <c r="CY169" s="474"/>
      <c r="CZ169" s="474"/>
      <c r="DA169" s="474"/>
      <c r="DB169" s="474"/>
      <c r="DC169" s="474"/>
      <c r="DD169" s="474"/>
      <c r="DE169" s="474"/>
      <c r="DF169" s="474"/>
      <c r="DG169" s="474"/>
      <c r="DH169" s="474"/>
      <c r="DI169" s="474"/>
      <c r="DJ169" s="474"/>
      <c r="DK169" s="474"/>
      <c r="DL169" s="474"/>
      <c r="DM169" s="474"/>
      <c r="DN169" s="474"/>
      <c r="DO169" s="474"/>
      <c r="DP169" s="474"/>
      <c r="DQ169" s="474"/>
      <c r="DR169" s="474"/>
      <c r="DS169" s="474"/>
      <c r="DT169" s="474"/>
      <c r="DU169" s="474"/>
      <c r="DV169" s="474"/>
      <c r="DW169" s="474"/>
      <c r="DX169" s="474"/>
      <c r="DY169" s="474"/>
      <c r="DZ169" s="474"/>
      <c r="EA169" s="474"/>
      <c r="EB169" s="474"/>
      <c r="EC169" s="474"/>
      <c r="ED169" s="474"/>
      <c r="EE169" s="474"/>
      <c r="EF169" s="474"/>
      <c r="EG169" s="474"/>
      <c r="EH169" s="474"/>
      <c r="EI169" s="474"/>
      <c r="EJ169" s="474"/>
      <c r="EK169" s="474"/>
      <c r="EL169" s="474"/>
      <c r="EM169" s="474"/>
      <c r="EN169" s="474"/>
      <c r="EO169" s="474"/>
      <c r="EP169" s="474"/>
      <c r="EQ169" s="474"/>
      <c r="ER169" s="474"/>
      <c r="ES169" s="474"/>
      <c r="ET169" s="474"/>
      <c r="EU169" s="474"/>
      <c r="EV169" s="474"/>
      <c r="EW169" s="474"/>
      <c r="EX169" s="474"/>
      <c r="EY169" s="474"/>
      <c r="EZ169" s="474"/>
      <c r="FA169" s="474"/>
      <c r="FB169" s="474"/>
      <c r="FC169" s="474"/>
      <c r="FD169" s="474"/>
      <c r="FE169" s="474"/>
      <c r="FF169" s="474"/>
      <c r="FG169" s="474"/>
      <c r="FH169" s="474"/>
      <c r="FI169" s="474"/>
      <c r="FJ169" s="474"/>
      <c r="FK169" s="474"/>
      <c r="FL169" s="474"/>
      <c r="FM169" s="474"/>
      <c r="FN169" s="474"/>
      <c r="FO169" s="474"/>
      <c r="FP169" s="474"/>
      <c r="FQ169" s="474"/>
      <c r="FR169" s="474"/>
      <c r="FS169" s="474"/>
      <c r="FT169" s="474"/>
      <c r="FU169" s="474"/>
      <c r="FV169" s="474"/>
      <c r="FW169" s="474"/>
      <c r="FX169" s="474"/>
      <c r="FY169" s="474"/>
      <c r="FZ169" s="474"/>
      <c r="GA169" s="474"/>
      <c r="GB169" s="474"/>
      <c r="GC169" s="474"/>
      <c r="GD169" s="474"/>
      <c r="GE169" s="474"/>
      <c r="GF169" s="474"/>
      <c r="GG169" s="474"/>
      <c r="GH169" s="474"/>
      <c r="GI169" s="474"/>
      <c r="GJ169" s="474"/>
      <c r="GK169" s="474"/>
      <c r="GL169" s="474"/>
      <c r="GM169" s="474"/>
    </row>
    <row r="170" spans="3:195" ht="12.75">
      <c r="C170" s="537"/>
      <c r="D170" s="518"/>
      <c r="E170" s="518"/>
      <c r="F170" s="518"/>
      <c r="G170" s="518"/>
      <c r="H170" s="518"/>
      <c r="I170" s="518"/>
      <c r="J170" s="518"/>
      <c r="K170" s="518"/>
      <c r="L170" s="518"/>
      <c r="M170" s="518"/>
      <c r="N170" s="518"/>
      <c r="O170" s="518"/>
      <c r="P170" s="518"/>
      <c r="Q170" s="518"/>
      <c r="R170" s="518"/>
      <c r="S170" s="518"/>
      <c r="T170" s="518"/>
      <c r="U170" s="518"/>
      <c r="V170" s="474"/>
      <c r="W170" s="474"/>
      <c r="X170" s="474"/>
      <c r="Y170" s="474"/>
      <c r="Z170" s="474"/>
      <c r="AA170" s="474"/>
      <c r="AB170" s="474"/>
      <c r="AC170" s="474"/>
      <c r="AD170" s="474"/>
      <c r="AE170" s="474"/>
      <c r="AF170" s="474"/>
      <c r="AG170" s="474"/>
      <c r="AH170" s="474"/>
      <c r="AI170" s="474"/>
      <c r="AJ170" s="474"/>
      <c r="AK170" s="474"/>
      <c r="AL170" s="474"/>
      <c r="AM170" s="474"/>
      <c r="AN170" s="474"/>
      <c r="AO170" s="474"/>
      <c r="AP170" s="474"/>
      <c r="AQ170" s="474"/>
      <c r="AR170" s="474"/>
      <c r="AS170" s="474"/>
      <c r="AT170" s="474"/>
      <c r="AU170" s="474"/>
      <c r="AV170" s="474"/>
      <c r="AW170" s="474"/>
      <c r="AX170" s="474"/>
      <c r="AY170" s="474"/>
      <c r="AZ170" s="474"/>
      <c r="BA170" s="474"/>
      <c r="BB170" s="474"/>
      <c r="BC170" s="474"/>
      <c r="BD170" s="474"/>
      <c r="BE170" s="474"/>
      <c r="BF170" s="474"/>
      <c r="BG170" s="474"/>
      <c r="BH170" s="474"/>
      <c r="BI170" s="474"/>
      <c r="BJ170" s="474"/>
      <c r="BK170" s="474"/>
      <c r="BL170" s="474"/>
      <c r="BM170" s="474"/>
      <c r="BN170" s="474"/>
      <c r="BO170" s="474"/>
      <c r="BP170" s="474"/>
      <c r="BQ170" s="474"/>
      <c r="BR170" s="474"/>
      <c r="BS170" s="474"/>
      <c r="BT170" s="474"/>
      <c r="BU170" s="474"/>
      <c r="BV170" s="474"/>
      <c r="BW170" s="474"/>
      <c r="BX170" s="474"/>
      <c r="BY170" s="474"/>
      <c r="BZ170" s="474"/>
      <c r="CA170" s="474"/>
      <c r="CB170" s="474"/>
      <c r="CC170" s="474"/>
      <c r="CD170" s="474"/>
      <c r="CE170" s="474"/>
      <c r="CF170" s="474"/>
      <c r="CG170" s="474"/>
      <c r="CH170" s="474"/>
      <c r="CI170" s="474"/>
      <c r="CJ170" s="474"/>
      <c r="CK170" s="474"/>
      <c r="CL170" s="474"/>
      <c r="CM170" s="474"/>
      <c r="CN170" s="474"/>
      <c r="CO170" s="474"/>
      <c r="CP170" s="474"/>
      <c r="CQ170" s="474"/>
      <c r="CR170" s="474"/>
      <c r="CS170" s="474"/>
      <c r="CT170" s="474"/>
      <c r="CU170" s="474"/>
      <c r="CV170" s="474"/>
      <c r="CW170" s="474"/>
      <c r="CX170" s="474"/>
      <c r="CY170" s="474"/>
      <c r="CZ170" s="474"/>
      <c r="DA170" s="474"/>
      <c r="DB170" s="474"/>
      <c r="DC170" s="474"/>
      <c r="DD170" s="474"/>
      <c r="DE170" s="474"/>
      <c r="DF170" s="474"/>
      <c r="DG170" s="474"/>
      <c r="DH170" s="474"/>
      <c r="DI170" s="474"/>
      <c r="DJ170" s="474"/>
      <c r="DK170" s="474"/>
      <c r="DL170" s="474"/>
      <c r="DM170" s="474"/>
      <c r="DN170" s="474"/>
      <c r="DO170" s="474"/>
      <c r="DP170" s="474"/>
      <c r="DQ170" s="474"/>
      <c r="DR170" s="474"/>
      <c r="DS170" s="474"/>
      <c r="DT170" s="474"/>
      <c r="DU170" s="474"/>
      <c r="DV170" s="474"/>
      <c r="DW170" s="474"/>
      <c r="DX170" s="474"/>
      <c r="DY170" s="474"/>
      <c r="DZ170" s="474"/>
      <c r="EA170" s="474"/>
      <c r="EB170" s="474"/>
      <c r="EC170" s="474"/>
      <c r="ED170" s="474"/>
      <c r="EE170" s="474"/>
      <c r="EF170" s="474"/>
      <c r="EG170" s="474"/>
      <c r="EH170" s="474"/>
      <c r="EI170" s="474"/>
      <c r="EJ170" s="474"/>
      <c r="EK170" s="474"/>
      <c r="EL170" s="474"/>
      <c r="EM170" s="474"/>
      <c r="EN170" s="474"/>
      <c r="EO170" s="474"/>
      <c r="EP170" s="474"/>
      <c r="EQ170" s="474"/>
      <c r="ER170" s="474"/>
      <c r="ES170" s="474"/>
      <c r="ET170" s="474"/>
      <c r="EU170" s="474"/>
      <c r="EV170" s="474"/>
      <c r="EW170" s="474"/>
      <c r="EX170" s="474"/>
      <c r="EY170" s="474"/>
      <c r="EZ170" s="474"/>
      <c r="FA170" s="474"/>
      <c r="FB170" s="474"/>
      <c r="FC170" s="474"/>
      <c r="FD170" s="474"/>
      <c r="FE170" s="474"/>
      <c r="FF170" s="474"/>
      <c r="FG170" s="474"/>
      <c r="FH170" s="474"/>
      <c r="FI170" s="474"/>
      <c r="FJ170" s="474"/>
      <c r="FK170" s="474"/>
      <c r="FL170" s="474"/>
      <c r="FM170" s="474"/>
      <c r="FN170" s="474"/>
      <c r="FO170" s="474"/>
      <c r="FP170" s="474"/>
      <c r="FQ170" s="474"/>
      <c r="FR170" s="474"/>
      <c r="FS170" s="474"/>
      <c r="FT170" s="474"/>
      <c r="FU170" s="474"/>
      <c r="FV170" s="474"/>
      <c r="FW170" s="474"/>
      <c r="FX170" s="474"/>
      <c r="FY170" s="474"/>
      <c r="FZ170" s="474"/>
      <c r="GA170" s="474"/>
      <c r="GB170" s="474"/>
      <c r="GC170" s="474"/>
      <c r="GD170" s="474"/>
      <c r="GE170" s="474"/>
      <c r="GF170" s="474"/>
      <c r="GG170" s="474"/>
      <c r="GH170" s="474"/>
      <c r="GI170" s="474"/>
      <c r="GJ170" s="474"/>
      <c r="GK170" s="474"/>
      <c r="GL170" s="474"/>
      <c r="GM170" s="474"/>
    </row>
    <row r="171" spans="3:195" ht="12.75">
      <c r="C171" s="537"/>
      <c r="D171" s="474"/>
      <c r="E171" s="474"/>
      <c r="F171" s="518"/>
      <c r="G171" s="518"/>
      <c r="H171" s="518"/>
      <c r="I171" s="474"/>
      <c r="J171" s="474"/>
      <c r="K171" s="474"/>
      <c r="L171" s="474"/>
      <c r="M171" s="474"/>
      <c r="N171" s="474"/>
      <c r="O171" s="474"/>
      <c r="P171" s="474"/>
      <c r="Q171" s="474"/>
      <c r="R171" s="474"/>
      <c r="S171" s="474"/>
      <c r="T171" s="474"/>
      <c r="U171" s="474"/>
      <c r="V171" s="474"/>
      <c r="W171" s="474"/>
      <c r="X171" s="474"/>
      <c r="Y171" s="474"/>
      <c r="Z171" s="474"/>
      <c r="AA171" s="474"/>
      <c r="AB171" s="474"/>
      <c r="AC171" s="474"/>
      <c r="AD171" s="474"/>
      <c r="AE171" s="474"/>
      <c r="AF171" s="474"/>
      <c r="AG171" s="474"/>
      <c r="AH171" s="474"/>
      <c r="AI171" s="474"/>
      <c r="AJ171" s="474"/>
      <c r="AK171" s="474"/>
      <c r="AL171" s="474"/>
      <c r="AM171" s="474"/>
      <c r="AN171" s="474"/>
      <c r="AO171" s="474"/>
      <c r="AP171" s="474"/>
      <c r="AQ171" s="474"/>
      <c r="AR171" s="474"/>
      <c r="AS171" s="474"/>
      <c r="AT171" s="474"/>
      <c r="AU171" s="474"/>
      <c r="AV171" s="474"/>
      <c r="AW171" s="474"/>
      <c r="AX171" s="474"/>
      <c r="AY171" s="474"/>
      <c r="AZ171" s="474"/>
      <c r="BA171" s="474"/>
      <c r="BB171" s="474"/>
      <c r="BC171" s="474"/>
      <c r="BD171" s="474"/>
      <c r="BE171" s="474"/>
      <c r="BF171" s="474"/>
      <c r="BG171" s="474"/>
      <c r="BH171" s="474"/>
      <c r="BI171" s="474"/>
      <c r="BJ171" s="474"/>
      <c r="BK171" s="474"/>
      <c r="BL171" s="474"/>
      <c r="BM171" s="474"/>
      <c r="BN171" s="474"/>
      <c r="BO171" s="474"/>
      <c r="BP171" s="474"/>
      <c r="BQ171" s="474"/>
      <c r="BR171" s="474"/>
      <c r="BS171" s="474"/>
      <c r="BT171" s="474"/>
      <c r="BU171" s="474"/>
      <c r="BV171" s="474"/>
      <c r="BW171" s="474"/>
      <c r="BX171" s="474"/>
      <c r="BY171" s="474"/>
      <c r="BZ171" s="474"/>
      <c r="CA171" s="474"/>
      <c r="CB171" s="474"/>
      <c r="CC171" s="474"/>
      <c r="CD171" s="474"/>
      <c r="CE171" s="474"/>
      <c r="CF171" s="474"/>
      <c r="CG171" s="474"/>
      <c r="CH171" s="474"/>
      <c r="CI171" s="474"/>
      <c r="CJ171" s="474"/>
      <c r="CK171" s="474"/>
      <c r="CL171" s="474"/>
      <c r="CM171" s="474"/>
      <c r="CN171" s="474"/>
      <c r="CO171" s="474"/>
      <c r="CP171" s="474"/>
      <c r="CQ171" s="474"/>
      <c r="CR171" s="474"/>
      <c r="CS171" s="474"/>
      <c r="CT171" s="474"/>
      <c r="CU171" s="474"/>
      <c r="CV171" s="474"/>
      <c r="CW171" s="474"/>
      <c r="CX171" s="474"/>
      <c r="CY171" s="474"/>
      <c r="CZ171" s="474"/>
      <c r="DA171" s="474"/>
      <c r="DB171" s="474"/>
      <c r="DC171" s="474"/>
      <c r="DD171" s="474"/>
      <c r="DE171" s="474"/>
      <c r="DF171" s="474"/>
      <c r="DG171" s="474"/>
      <c r="DH171" s="474"/>
      <c r="DI171" s="474"/>
      <c r="DJ171" s="474"/>
      <c r="DK171" s="474"/>
      <c r="DL171" s="474"/>
      <c r="DM171" s="474"/>
      <c r="DN171" s="474"/>
      <c r="DO171" s="474"/>
      <c r="DP171" s="474"/>
      <c r="DQ171" s="474"/>
      <c r="DR171" s="474"/>
      <c r="DS171" s="474"/>
      <c r="DT171" s="474"/>
      <c r="DU171" s="474"/>
      <c r="DV171" s="474"/>
      <c r="DW171" s="474"/>
      <c r="DX171" s="474"/>
      <c r="DY171" s="474"/>
      <c r="DZ171" s="474"/>
      <c r="EA171" s="474"/>
      <c r="EB171" s="474"/>
      <c r="EC171" s="474"/>
      <c r="ED171" s="474"/>
      <c r="EE171" s="474"/>
      <c r="EF171" s="474"/>
      <c r="EG171" s="474"/>
      <c r="EH171" s="474"/>
      <c r="EI171" s="474"/>
      <c r="EJ171" s="474"/>
      <c r="EK171" s="474"/>
      <c r="EL171" s="474"/>
      <c r="EM171" s="474"/>
      <c r="EN171" s="474"/>
      <c r="EO171" s="474"/>
      <c r="EP171" s="474"/>
      <c r="EQ171" s="474"/>
      <c r="ER171" s="474"/>
      <c r="ES171" s="474"/>
      <c r="ET171" s="474"/>
      <c r="EU171" s="474"/>
      <c r="EV171" s="474"/>
      <c r="EW171" s="474"/>
      <c r="EX171" s="474"/>
      <c r="EY171" s="474"/>
      <c r="EZ171" s="474"/>
      <c r="FA171" s="474"/>
      <c r="FB171" s="474"/>
      <c r="FC171" s="474"/>
      <c r="FD171" s="474"/>
      <c r="FE171" s="474"/>
      <c r="FF171" s="474"/>
      <c r="FG171" s="474"/>
      <c r="FH171" s="474"/>
      <c r="FI171" s="474"/>
      <c r="FJ171" s="474"/>
      <c r="FK171" s="474"/>
      <c r="FL171" s="474"/>
      <c r="FM171" s="474"/>
      <c r="FN171" s="474"/>
      <c r="FO171" s="474"/>
      <c r="FP171" s="474"/>
      <c r="FQ171" s="474"/>
      <c r="FR171" s="474"/>
      <c r="FS171" s="474"/>
      <c r="FT171" s="474"/>
      <c r="FU171" s="474"/>
      <c r="FV171" s="474"/>
      <c r="FW171" s="474"/>
      <c r="FX171" s="474"/>
      <c r="FY171" s="474"/>
      <c r="FZ171" s="474"/>
      <c r="GA171" s="474"/>
      <c r="GB171" s="474"/>
      <c r="GC171" s="474"/>
      <c r="GD171" s="474"/>
      <c r="GE171" s="474"/>
      <c r="GF171" s="474"/>
      <c r="GG171" s="474"/>
      <c r="GH171" s="474"/>
      <c r="GI171" s="474"/>
      <c r="GJ171" s="474"/>
      <c r="GK171" s="474"/>
      <c r="GL171" s="474"/>
      <c r="GM171" s="474"/>
    </row>
    <row r="172" spans="3:8" ht="12.75">
      <c r="C172" s="537"/>
      <c r="F172" s="537"/>
      <c r="G172" s="537"/>
      <c r="H172" s="537"/>
    </row>
    <row r="173" spans="3:8" ht="12.75">
      <c r="C173" s="537"/>
      <c r="F173" s="537"/>
      <c r="G173" s="537"/>
      <c r="H173" s="537"/>
    </row>
    <row r="174" spans="3:8" ht="12.75">
      <c r="C174" s="537"/>
      <c r="F174" s="537"/>
      <c r="G174" s="537"/>
      <c r="H174" s="537"/>
    </row>
    <row r="175" spans="6:8" ht="12.75">
      <c r="F175" s="537"/>
      <c r="G175" s="537"/>
      <c r="H175" s="537"/>
    </row>
    <row r="197" spans="9:20" ht="12.75">
      <c r="I197" s="539"/>
      <c r="J197" s="539"/>
      <c r="K197" s="539"/>
      <c r="L197" s="539"/>
      <c r="M197" s="539"/>
      <c r="N197" s="539"/>
      <c r="O197" s="539"/>
      <c r="P197" s="539"/>
      <c r="Q197" s="539"/>
      <c r="R197" s="539"/>
      <c r="S197" s="539"/>
      <c r="T197" s="539"/>
    </row>
  </sheetData>
  <mergeCells count="4">
    <mergeCell ref="B12:V12"/>
    <mergeCell ref="B5:V5"/>
    <mergeCell ref="B7:V7"/>
    <mergeCell ref="B9:V9"/>
  </mergeCells>
  <printOptions/>
  <pageMargins left="0.6" right="0.1968503937007874" top="0.25" bottom="0.26" header="0.19" footer="0.19"/>
  <pageSetup fitToHeight="1" fitToWidth="1" horizontalDpi="300" verticalDpi="300" orientation="portrait" paperSize="9" scale="23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"/>
  <dimension ref="A1:AC22"/>
  <sheetViews>
    <sheetView zoomScale="85" zoomScaleNormal="85" workbookViewId="0" topLeftCell="A1">
      <selection activeCell="F9" sqref="F9"/>
    </sheetView>
  </sheetViews>
  <sheetFormatPr defaultColWidth="11.421875" defaultRowHeight="12.75"/>
  <cols>
    <col min="1" max="1" width="21.7109375" style="423" customWidth="1"/>
    <col min="2" max="2" width="9.28125" style="423" customWidth="1"/>
    <col min="3" max="3" width="11.8515625" style="423" bestFit="1" customWidth="1"/>
    <col min="4" max="4" width="9.57421875" style="423" bestFit="1" customWidth="1"/>
    <col min="5" max="5" width="14.8515625" style="423" bestFit="1" customWidth="1"/>
    <col min="6" max="6" width="64.00390625" style="423" bestFit="1" customWidth="1"/>
    <col min="7" max="16384" width="11.421875" style="423" customWidth="1"/>
  </cols>
  <sheetData>
    <row r="1" spans="1:4" ht="12.75">
      <c r="A1" s="422" t="s">
        <v>84</v>
      </c>
      <c r="B1" s="422" t="s">
        <v>84</v>
      </c>
      <c r="C1" s="422" t="s">
        <v>85</v>
      </c>
      <c r="D1" s="422" t="s">
        <v>86</v>
      </c>
    </row>
    <row r="2" spans="1:4" ht="12.75">
      <c r="A2" s="424" t="s">
        <v>54</v>
      </c>
      <c r="B2" s="425" t="s">
        <v>87</v>
      </c>
      <c r="C2" s="424">
        <v>31</v>
      </c>
      <c r="D2" s="424">
        <v>2006</v>
      </c>
    </row>
    <row r="3" spans="1:4" ht="12.75">
      <c r="A3" s="424" t="s">
        <v>55</v>
      </c>
      <c r="B3" s="425" t="s">
        <v>88</v>
      </c>
      <c r="C3" s="424">
        <f>IF(MOD(E14,4)=0,29,28)</f>
        <v>29</v>
      </c>
      <c r="D3" s="424">
        <f>+D2+1</f>
        <v>2007</v>
      </c>
    </row>
    <row r="4" spans="1:4" ht="12.75">
      <c r="A4" s="424" t="s">
        <v>56</v>
      </c>
      <c r="B4" s="425" t="s">
        <v>89</v>
      </c>
      <c r="C4" s="424">
        <v>31</v>
      </c>
      <c r="D4" s="424">
        <v>2008</v>
      </c>
    </row>
    <row r="5" spans="1:4" ht="12.75">
      <c r="A5" s="424" t="s">
        <v>57</v>
      </c>
      <c r="B5" s="425" t="s">
        <v>90</v>
      </c>
      <c r="C5" s="424">
        <v>30</v>
      </c>
      <c r="D5" s="424">
        <v>2009</v>
      </c>
    </row>
    <row r="6" spans="1:4" ht="12.75">
      <c r="A6" s="424" t="s">
        <v>58</v>
      </c>
      <c r="B6" s="425" t="s">
        <v>91</v>
      </c>
      <c r="C6" s="424">
        <v>31</v>
      </c>
      <c r="D6" s="424">
        <v>2010</v>
      </c>
    </row>
    <row r="7" spans="1:4" ht="12.75">
      <c r="A7" s="424" t="s">
        <v>59</v>
      </c>
      <c r="B7" s="425" t="s">
        <v>92</v>
      </c>
      <c r="C7" s="424">
        <v>30</v>
      </c>
      <c r="D7" s="424">
        <v>2011</v>
      </c>
    </row>
    <row r="8" spans="1:4" ht="12.75">
      <c r="A8" s="424" t="s">
        <v>60</v>
      </c>
      <c r="B8" s="425" t="s">
        <v>93</v>
      </c>
      <c r="C8" s="424">
        <v>31</v>
      </c>
      <c r="D8" s="424">
        <v>2012</v>
      </c>
    </row>
    <row r="9" spans="1:4" ht="12.75">
      <c r="A9" s="424" t="s">
        <v>61</v>
      </c>
      <c r="B9" s="425" t="s">
        <v>94</v>
      </c>
      <c r="C9" s="424">
        <v>31</v>
      </c>
      <c r="D9" s="424"/>
    </row>
    <row r="10" spans="1:4" ht="12.75">
      <c r="A10" s="424" t="s">
        <v>62</v>
      </c>
      <c r="B10" s="425" t="s">
        <v>95</v>
      </c>
      <c r="C10" s="424">
        <v>30</v>
      </c>
      <c r="D10" s="424"/>
    </row>
    <row r="11" spans="1:4" ht="12.75">
      <c r="A11" s="424" t="s">
        <v>63</v>
      </c>
      <c r="B11" s="425" t="s">
        <v>96</v>
      </c>
      <c r="C11" s="424">
        <v>31</v>
      </c>
      <c r="D11" s="424"/>
    </row>
    <row r="12" spans="1:4" ht="12.75">
      <c r="A12" s="424" t="s">
        <v>64</v>
      </c>
      <c r="B12" s="425" t="s">
        <v>97</v>
      </c>
      <c r="C12" s="424">
        <v>30</v>
      </c>
      <c r="D12" s="424"/>
    </row>
    <row r="13" spans="1:9" ht="12.75">
      <c r="A13" s="424" t="s">
        <v>65</v>
      </c>
      <c r="B13" s="425" t="s">
        <v>98</v>
      </c>
      <c r="C13" s="424">
        <v>31</v>
      </c>
      <c r="D13" s="424"/>
      <c r="I13" s="426" t="s">
        <v>99</v>
      </c>
    </row>
    <row r="14" spans="1:9" ht="12.75">
      <c r="A14" s="427">
        <v>7</v>
      </c>
      <c r="B14" s="428">
        <v>9</v>
      </c>
      <c r="C14" s="427" t="str">
        <f ca="1">CELL("CONTENIDO",OFFSET(A1,B14,0))</f>
        <v>septiembre</v>
      </c>
      <c r="D14" s="427">
        <f ca="1">CELL("CONTENIDO",OFFSET(C1,B14,0))</f>
        <v>30</v>
      </c>
      <c r="E14" s="427">
        <f ca="1">CELL("CONTENIDO",OFFSET(D1,A14,0))</f>
        <v>2012</v>
      </c>
      <c r="F14" s="427" t="str">
        <f>"Desde el 01 al "&amp;D14&amp;" de "&amp;C14&amp;" de "&amp;E14</f>
        <v>Desde el 01 al 30 de septiembre de 2012</v>
      </c>
      <c r="G14" s="427" t="str">
        <f ca="1">CELL("CONTENIDO",OFFSET(B1,B14,0))</f>
        <v>09</v>
      </c>
      <c r="H14" s="427" t="str">
        <f>RIGHT(E14,2)</f>
        <v>12</v>
      </c>
      <c r="I14" s="429" t="s">
        <v>100</v>
      </c>
    </row>
    <row r="15" spans="1:8" ht="12.75">
      <c r="A15" s="427"/>
      <c r="B15" s="430" t="str">
        <f>"\\rugor\files\Transporte\Transporte\AA PROCESO AUT ARCHIVOS J\TRANSBA\"&amp;E14</f>
        <v>\\rugor\files\Transporte\Transporte\AA PROCESO AUT ARCHIVOS J\TRANSBA\2012</v>
      </c>
      <c r="C15" s="427"/>
      <c r="D15" s="427"/>
      <c r="E15" s="427"/>
      <c r="F15" s="427"/>
      <c r="G15" s="427" t="str">
        <f>"J"&amp;G14&amp;H14&amp;"TBA"</f>
        <v>J0912TBA</v>
      </c>
      <c r="H15" s="427"/>
    </row>
    <row r="16" spans="1:8" ht="12.75">
      <c r="A16" s="427"/>
      <c r="B16" s="430" t="str">
        <f>"\\rugor\files\Transporte\transporte\AA PROCESO AUT\INTERCAMBIO\"&amp;H14&amp;G14</f>
        <v>\\rugor\files\Transporte\transporte\AA PROCESO AUT\INTERCAMBIO\1209</v>
      </c>
      <c r="C16" s="427"/>
      <c r="D16" s="427"/>
      <c r="E16" s="427"/>
      <c r="F16" s="427"/>
      <c r="G16" s="427"/>
      <c r="H16" s="427"/>
    </row>
    <row r="17" spans="1:29" s="410" customFormat="1" ht="12.75">
      <c r="A17" s="422" t="s">
        <v>101</v>
      </c>
      <c r="B17" s="422" t="s">
        <v>102</v>
      </c>
      <c r="C17" s="422" t="s">
        <v>103</v>
      </c>
      <c r="D17" s="422" t="s">
        <v>104</v>
      </c>
      <c r="E17" s="422" t="s">
        <v>105</v>
      </c>
      <c r="F17" s="422" t="s">
        <v>106</v>
      </c>
      <c r="G17" s="422" t="s">
        <v>107</v>
      </c>
      <c r="H17" s="422" t="s">
        <v>108</v>
      </c>
      <c r="I17" s="422" t="s">
        <v>109</v>
      </c>
      <c r="J17" s="422" t="s">
        <v>110</v>
      </c>
      <c r="K17" s="422" t="s">
        <v>111</v>
      </c>
      <c r="L17" s="422" t="s">
        <v>112</v>
      </c>
      <c r="M17" s="422" t="s">
        <v>113</v>
      </c>
      <c r="N17" s="422" t="s">
        <v>114</v>
      </c>
      <c r="O17" s="422" t="s">
        <v>115</v>
      </c>
      <c r="P17" s="422" t="s">
        <v>116</v>
      </c>
      <c r="Q17" s="422" t="s">
        <v>117</v>
      </c>
      <c r="R17" s="422" t="s">
        <v>118</v>
      </c>
      <c r="S17" s="422" t="s">
        <v>119</v>
      </c>
      <c r="T17" s="422" t="s">
        <v>120</v>
      </c>
      <c r="U17" s="422" t="s">
        <v>121</v>
      </c>
      <c r="V17" s="422" t="s">
        <v>122</v>
      </c>
      <c r="W17" s="422" t="s">
        <v>123</v>
      </c>
      <c r="X17" s="422" t="s">
        <v>124</v>
      </c>
      <c r="Y17" s="422" t="s">
        <v>125</v>
      </c>
      <c r="Z17" s="422" t="s">
        <v>126</v>
      </c>
      <c r="AA17" s="422" t="s">
        <v>127</v>
      </c>
      <c r="AB17" s="422" t="s">
        <v>128</v>
      </c>
      <c r="AC17" s="422" t="s">
        <v>129</v>
      </c>
    </row>
    <row r="18" spans="1:29" ht="12.75">
      <c r="A18" s="431" t="s">
        <v>130</v>
      </c>
      <c r="B18" s="431">
        <v>21</v>
      </c>
      <c r="C18" s="431">
        <v>20</v>
      </c>
      <c r="D18" s="431">
        <v>12</v>
      </c>
      <c r="E18" s="431" t="str">
        <f>"LI-"&amp;$G$14</f>
        <v>LI-09</v>
      </c>
      <c r="F18" s="431" t="s">
        <v>136</v>
      </c>
      <c r="G18" s="431">
        <v>3</v>
      </c>
      <c r="H18" s="432">
        <v>5</v>
      </c>
      <c r="I18" s="432">
        <v>4</v>
      </c>
      <c r="J18" s="431">
        <v>6</v>
      </c>
      <c r="K18" s="431">
        <v>7</v>
      </c>
      <c r="L18" s="431">
        <v>8</v>
      </c>
      <c r="M18" s="431">
        <v>9</v>
      </c>
      <c r="N18" s="431">
        <v>11</v>
      </c>
      <c r="O18" s="431">
        <v>12</v>
      </c>
      <c r="P18" s="431">
        <v>15</v>
      </c>
      <c r="Q18" s="431">
        <v>0</v>
      </c>
      <c r="R18" s="431">
        <v>28</v>
      </c>
      <c r="S18" s="431">
        <v>16</v>
      </c>
      <c r="T18" s="431">
        <v>0</v>
      </c>
      <c r="U18" s="431">
        <v>0</v>
      </c>
      <c r="V18" s="431">
        <v>0</v>
      </c>
      <c r="W18" s="431">
        <v>18</v>
      </c>
      <c r="X18" s="431">
        <v>9</v>
      </c>
      <c r="Y18" s="431">
        <v>42</v>
      </c>
      <c r="Z18" s="431">
        <v>29</v>
      </c>
      <c r="AA18" s="431">
        <v>19</v>
      </c>
      <c r="AB18" s="431">
        <v>29</v>
      </c>
      <c r="AC18" s="431">
        <v>15</v>
      </c>
    </row>
    <row r="19" spans="1:29" ht="12.75">
      <c r="A19" s="433" t="s">
        <v>131</v>
      </c>
      <c r="B19" s="433">
        <v>22</v>
      </c>
      <c r="C19" s="433">
        <v>20</v>
      </c>
      <c r="D19" s="433">
        <v>13</v>
      </c>
      <c r="E19" s="433" t="str">
        <f>"T-"&amp;$G$14</f>
        <v>T-09</v>
      </c>
      <c r="F19" s="433" t="s">
        <v>137</v>
      </c>
      <c r="G19" s="431">
        <v>3</v>
      </c>
      <c r="H19" s="432">
        <v>5</v>
      </c>
      <c r="I19" s="432">
        <v>4</v>
      </c>
      <c r="J19" s="433">
        <v>6</v>
      </c>
      <c r="K19" s="433">
        <v>7</v>
      </c>
      <c r="L19" s="433">
        <v>8</v>
      </c>
      <c r="M19" s="433">
        <v>9</v>
      </c>
      <c r="N19" s="433">
        <v>11</v>
      </c>
      <c r="O19" s="433">
        <v>12</v>
      </c>
      <c r="P19" s="433">
        <v>15</v>
      </c>
      <c r="Q19" s="433">
        <v>16</v>
      </c>
      <c r="R19" s="433">
        <v>18</v>
      </c>
      <c r="S19" s="433">
        <v>28</v>
      </c>
      <c r="T19" s="433">
        <v>17</v>
      </c>
      <c r="U19" s="433">
        <v>0</v>
      </c>
      <c r="V19" s="433">
        <v>0</v>
      </c>
      <c r="W19" s="433">
        <v>22</v>
      </c>
      <c r="X19" s="431">
        <v>9</v>
      </c>
      <c r="Y19" s="433">
        <v>43</v>
      </c>
      <c r="Z19" s="433">
        <v>29</v>
      </c>
      <c r="AA19" s="433">
        <v>20</v>
      </c>
      <c r="AB19" s="433">
        <v>29</v>
      </c>
      <c r="AC19" s="433">
        <v>15</v>
      </c>
    </row>
    <row r="20" spans="1:29" ht="12.75">
      <c r="A20" s="431" t="s">
        <v>132</v>
      </c>
      <c r="B20" s="431">
        <v>22</v>
      </c>
      <c r="C20" s="431">
        <v>20</v>
      </c>
      <c r="D20" s="431">
        <v>10</v>
      </c>
      <c r="E20" s="431" t="str">
        <f>"SA-"&amp;$G$14</f>
        <v>SA-09</v>
      </c>
      <c r="F20" s="431" t="s">
        <v>138</v>
      </c>
      <c r="G20" s="431">
        <v>3</v>
      </c>
      <c r="H20" s="432">
        <v>5</v>
      </c>
      <c r="I20" s="432">
        <v>4</v>
      </c>
      <c r="J20" s="431">
        <v>6</v>
      </c>
      <c r="K20" s="431">
        <v>7</v>
      </c>
      <c r="L20" s="431">
        <v>8</v>
      </c>
      <c r="M20" s="431">
        <v>10</v>
      </c>
      <c r="N20" s="431">
        <v>11</v>
      </c>
      <c r="O20" s="431">
        <v>14</v>
      </c>
      <c r="P20" s="431">
        <v>15</v>
      </c>
      <c r="Q20" s="431">
        <v>21</v>
      </c>
      <c r="R20" s="431">
        <v>0</v>
      </c>
      <c r="S20" s="431">
        <v>0</v>
      </c>
      <c r="T20" s="431">
        <v>0</v>
      </c>
      <c r="U20" s="431">
        <v>0</v>
      </c>
      <c r="V20" s="431">
        <v>0</v>
      </c>
      <c r="W20" s="431">
        <v>24</v>
      </c>
      <c r="X20" s="431">
        <v>9</v>
      </c>
      <c r="Y20" s="431">
        <v>43</v>
      </c>
      <c r="Z20" s="431">
        <v>22</v>
      </c>
      <c r="AA20" s="431">
        <v>20</v>
      </c>
      <c r="AB20" s="431">
        <v>22</v>
      </c>
      <c r="AC20" s="431">
        <v>14</v>
      </c>
    </row>
    <row r="21" spans="1:29" ht="12.75">
      <c r="A21" s="431" t="s">
        <v>135</v>
      </c>
      <c r="B21" s="431">
        <v>21</v>
      </c>
      <c r="C21" s="431">
        <v>20</v>
      </c>
      <c r="D21" s="433">
        <v>12</v>
      </c>
      <c r="E21" s="431" t="str">
        <f>"RE-"&amp;$G$14</f>
        <v>RE-09</v>
      </c>
      <c r="F21" s="431" t="s">
        <v>139</v>
      </c>
      <c r="G21" s="431">
        <v>3</v>
      </c>
      <c r="H21" s="432">
        <v>5</v>
      </c>
      <c r="I21" s="432">
        <v>4</v>
      </c>
      <c r="J21" s="431">
        <v>6</v>
      </c>
      <c r="K21" s="431">
        <v>7</v>
      </c>
      <c r="L21" s="431">
        <v>8</v>
      </c>
      <c r="M21" s="431">
        <v>9</v>
      </c>
      <c r="N21" s="431">
        <v>10</v>
      </c>
      <c r="O21" s="431">
        <v>12</v>
      </c>
      <c r="P21" s="431">
        <v>13</v>
      </c>
      <c r="Q21" s="431">
        <v>16</v>
      </c>
      <c r="R21" s="431">
        <v>17</v>
      </c>
      <c r="S21" s="431">
        <v>29</v>
      </c>
      <c r="T21" s="431">
        <v>18</v>
      </c>
      <c r="U21" s="431">
        <v>0</v>
      </c>
      <c r="V21" s="431">
        <v>0</v>
      </c>
      <c r="W21" s="431">
        <v>26</v>
      </c>
      <c r="X21" s="431">
        <v>9</v>
      </c>
      <c r="Y21" s="431">
        <v>43</v>
      </c>
      <c r="Z21" s="431">
        <v>30</v>
      </c>
      <c r="AA21" s="431">
        <v>20</v>
      </c>
      <c r="AB21" s="431">
        <v>30</v>
      </c>
      <c r="AC21" s="431">
        <v>16</v>
      </c>
    </row>
    <row r="22" spans="1:29" s="410" customFormat="1" ht="12.75">
      <c r="A22" s="434" t="s">
        <v>133</v>
      </c>
      <c r="B22" s="434">
        <v>19</v>
      </c>
      <c r="C22" s="434">
        <v>24</v>
      </c>
      <c r="D22" s="435">
        <v>4</v>
      </c>
      <c r="E22" s="434" t="str">
        <f>"CAUSAS-VST-"&amp;$G$14</f>
        <v>CAUSAS-VST-09</v>
      </c>
      <c r="F22" s="434" t="s">
        <v>134</v>
      </c>
      <c r="G22" s="434">
        <v>3</v>
      </c>
      <c r="H22" s="434">
        <v>4</v>
      </c>
      <c r="I22" s="434">
        <v>5</v>
      </c>
      <c r="J22" s="434">
        <v>6</v>
      </c>
      <c r="K22" s="434">
        <v>7</v>
      </c>
      <c r="L22" s="434">
        <v>0</v>
      </c>
      <c r="M22" s="434">
        <v>0</v>
      </c>
      <c r="N22" s="434">
        <v>0</v>
      </c>
      <c r="O22" s="434">
        <v>0</v>
      </c>
      <c r="P22" s="434">
        <v>0</v>
      </c>
      <c r="Q22" s="434">
        <v>0</v>
      </c>
      <c r="R22" s="434">
        <v>0</v>
      </c>
      <c r="S22" s="434">
        <v>0</v>
      </c>
      <c r="T22" s="434">
        <v>0</v>
      </c>
      <c r="U22" s="434">
        <v>0</v>
      </c>
      <c r="V22" s="434">
        <v>0</v>
      </c>
      <c r="W22" s="434">
        <v>999</v>
      </c>
      <c r="X22" s="434">
        <v>999</v>
      </c>
      <c r="Y22" s="434">
        <v>0</v>
      </c>
      <c r="Z22" s="434">
        <v>0</v>
      </c>
      <c r="AA22" s="434">
        <v>0</v>
      </c>
      <c r="AB22" s="434">
        <v>0</v>
      </c>
      <c r="AC22" s="434">
        <v>0</v>
      </c>
    </row>
  </sheetData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horizontalDpi="600" verticalDpi="600" orientation="landscape" paperSize="9" r:id="rId2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D89"/>
  <sheetViews>
    <sheetView zoomScale="70" zoomScaleNormal="70" workbookViewId="0" topLeftCell="A1">
      <selection activeCell="G14" sqref="G14:G16"/>
    </sheetView>
  </sheetViews>
  <sheetFormatPr defaultColWidth="11.421875" defaultRowHeight="12.75"/>
  <cols>
    <col min="1" max="1" width="17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'TOT-0912'!B2</f>
        <v>ANEXO IV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+'TOT-0912'!B14</f>
        <v>Desde el 01 al 30 de septiembre de 2012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207.657</v>
      </c>
      <c r="H14" s="37"/>
      <c r="I14" s="38"/>
      <c r="J14" s="34"/>
      <c r="K14" s="34"/>
      <c r="L14" s="39" t="s">
        <v>8</v>
      </c>
      <c r="M14" s="40">
        <f>150*'TOT-0912'!B13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198.43</v>
      </c>
      <c r="H15" s="42"/>
      <c r="I15" s="43"/>
      <c r="J15" s="7"/>
      <c r="K15" s="44"/>
      <c r="L15" s="39" t="s">
        <v>10</v>
      </c>
      <c r="M15" s="40">
        <f>50*'TOT-0912'!B13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198.43</v>
      </c>
      <c r="H16" s="42"/>
      <c r="I16" s="43"/>
      <c r="J16" s="7"/>
      <c r="K16" s="7"/>
      <c r="L16" s="39" t="s">
        <v>12</v>
      </c>
      <c r="M16" s="40">
        <f>10*'TOT-0912'!B13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36">
        <v>3</v>
      </c>
      <c r="D17" s="436">
        <v>4</v>
      </c>
      <c r="E17" s="436">
        <v>5</v>
      </c>
      <c r="F17" s="436">
        <v>6</v>
      </c>
      <c r="G17" s="436">
        <v>7</v>
      </c>
      <c r="H17" s="436">
        <v>8</v>
      </c>
      <c r="I17" s="436">
        <v>9</v>
      </c>
      <c r="J17" s="436">
        <v>10</v>
      </c>
      <c r="K17" s="436">
        <v>11</v>
      </c>
      <c r="L17" s="436">
        <v>12</v>
      </c>
      <c r="M17" s="436">
        <v>13</v>
      </c>
      <c r="N17" s="436">
        <v>14</v>
      </c>
      <c r="O17" s="436">
        <v>15</v>
      </c>
      <c r="P17" s="436">
        <v>16</v>
      </c>
      <c r="Q17" s="436">
        <v>17</v>
      </c>
      <c r="R17" s="436">
        <v>18</v>
      </c>
      <c r="S17" s="436">
        <v>19</v>
      </c>
      <c r="T17" s="436">
        <v>20</v>
      </c>
      <c r="U17" s="436">
        <v>21</v>
      </c>
      <c r="V17" s="436">
        <v>22</v>
      </c>
      <c r="W17" s="436">
        <v>23</v>
      </c>
      <c r="X17" s="436">
        <v>24</v>
      </c>
      <c r="Y17" s="436">
        <v>25</v>
      </c>
      <c r="Z17" s="436">
        <v>26</v>
      </c>
      <c r="AA17" s="436">
        <v>27</v>
      </c>
      <c r="AB17" s="436">
        <v>28</v>
      </c>
      <c r="AC17" s="436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82</v>
      </c>
      <c r="E18" s="421" t="s">
        <v>83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/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46"/>
      <c r="L20" s="447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1</v>
      </c>
      <c r="D21" s="79">
        <v>251355</v>
      </c>
      <c r="E21" s="79">
        <v>1520</v>
      </c>
      <c r="F21" s="77" t="s">
        <v>141</v>
      </c>
      <c r="G21" s="77">
        <v>132</v>
      </c>
      <c r="H21" s="90">
        <v>88.19999694824219</v>
      </c>
      <c r="I21" s="91" t="s">
        <v>142</v>
      </c>
      <c r="J21" s="92">
        <f aca="true" t="shared" si="0" ref="J21:J39">IF(G21=220,$G$14,IF(G21=132,$G$15,$G$16))*IF(H21&gt;25,H21,25)/100</f>
        <v>175.01525394439696</v>
      </c>
      <c r="K21" s="446">
        <v>41153.342361111114</v>
      </c>
      <c r="L21" s="446">
        <v>41153.53888888889</v>
      </c>
      <c r="M21" s="94">
        <f aca="true" t="shared" si="1" ref="M21:M39">IF(F21="","",(L21-K21)*24)</f>
        <v>4.716666666674428</v>
      </c>
      <c r="N21" s="95">
        <f aca="true" t="shared" si="2" ref="N21:N39">IF(F21="","",ROUND((L21-K21)*24*60,0))</f>
        <v>283</v>
      </c>
      <c r="O21" s="96" t="s">
        <v>143</v>
      </c>
      <c r="P21" s="444" t="s">
        <v>145</v>
      </c>
      <c r="Q21" s="97">
        <f aca="true" t="shared" si="3" ref="Q21:Q39">IF(I21="A",$M$14,IF(I21="B",$M$15,$M$16))</f>
        <v>10</v>
      </c>
      <c r="R21" s="98">
        <f aca="true" t="shared" si="4" ref="R21:R39">IF(O21="P",ROUND(N21/60,2)*J21*Q21*0.01,"--")</f>
        <v>82.60719986175536</v>
      </c>
      <c r="S21" s="99" t="str">
        <f aca="true" t="shared" si="5" ref="S21:S39">IF(O21="RP",ROUND(N21/60,2)*J21*Q21*0.01*P21/100,"--")</f>
        <v>--</v>
      </c>
      <c r="T21" s="100" t="str">
        <f aca="true" t="shared" si="6" ref="T21:T39">IF(O21="F",J21*Q21,"--")</f>
        <v>--</v>
      </c>
      <c r="U21" s="100" t="str">
        <f aca="true" t="shared" si="7" ref="U21:U39">IF(AND(N21&gt;10,O21="F"),J21*Q21*IF(N21&gt;180,3,ROUND((N21)/60,2)),"--")</f>
        <v>--</v>
      </c>
      <c r="V21" s="101" t="str">
        <f aca="true" t="shared" si="8" ref="V21:V39">IF(AND(O21="F",N21&gt;180),(ROUND(N21/60,2)-3)*J21*Q21*0.1,"--")</f>
        <v>--</v>
      </c>
      <c r="W21" s="102" t="str">
        <f aca="true" t="shared" si="9" ref="W21:W39">IF(O21="R",J21*Q21*P21/100,"--")</f>
        <v>--</v>
      </c>
      <c r="X21" s="102" t="str">
        <f aca="true" t="shared" si="10" ref="X21:X39">IF(AND(N21&gt;10,O21="R"),Q21*J21*P21/100*IF(N21&gt;180,3,ROUND((N21)/60,2)),"--")</f>
        <v>--</v>
      </c>
      <c r="Y21" s="103" t="str">
        <f aca="true" t="shared" si="11" ref="Y21:Y39">IF(AND(O21="R",N21&gt;180),(ROUND(N21/60,2)-3)*J21*Q21*0.1*P21/100,"--")</f>
        <v>--</v>
      </c>
      <c r="Z21" s="104" t="str">
        <f aca="true" t="shared" si="12" ref="Z21:Z39">IF(O21="RF",ROUND(N21/60,2)*J21*Q21*0.1,"--")</f>
        <v>--</v>
      </c>
      <c r="AA21" s="105" t="str">
        <f aca="true" t="shared" si="13" ref="AA21:AA39">IF(O21="RR",ROUND(N21/60,2)*J21*Q21*0.1*P21/100,"--")</f>
        <v>--</v>
      </c>
      <c r="AB21" s="441" t="s">
        <v>144</v>
      </c>
      <c r="AC21" s="106">
        <f aca="true" t="shared" si="14" ref="AC21:AC39">IF(F21="","",SUM(R21:AA21)*IF(AB21="SI",1,2))</f>
        <v>82.60719986175536</v>
      </c>
      <c r="AD21" s="107"/>
    </row>
    <row r="22" spans="2:30" s="1" customFormat="1" ht="16.5" customHeight="1">
      <c r="B22" s="13"/>
      <c r="C22" s="79">
        <v>2</v>
      </c>
      <c r="D22" s="79">
        <v>251356</v>
      </c>
      <c r="E22" s="79">
        <v>1444</v>
      </c>
      <c r="F22" s="77" t="s">
        <v>146</v>
      </c>
      <c r="G22" s="77">
        <v>132</v>
      </c>
      <c r="H22" s="90">
        <v>64.4000015258789</v>
      </c>
      <c r="I22" s="91" t="s">
        <v>142</v>
      </c>
      <c r="J22" s="92">
        <f t="shared" si="0"/>
        <v>127.78892302780152</v>
      </c>
      <c r="K22" s="446">
        <v>41153.34305555555</v>
      </c>
      <c r="L22" s="446">
        <v>41153.53888888889</v>
      </c>
      <c r="M22" s="94">
        <f t="shared" si="1"/>
        <v>4.700000000128057</v>
      </c>
      <c r="N22" s="95">
        <f t="shared" si="2"/>
        <v>282</v>
      </c>
      <c r="O22" s="96" t="s">
        <v>143</v>
      </c>
      <c r="P22" s="444" t="s">
        <v>145</v>
      </c>
      <c r="Q22" s="97">
        <f t="shared" si="3"/>
        <v>10</v>
      </c>
      <c r="R22" s="98">
        <f t="shared" si="4"/>
        <v>60.06079382306672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41" t="s">
        <v>144</v>
      </c>
      <c r="AC22" s="106">
        <f t="shared" si="14"/>
        <v>60.06079382306672</v>
      </c>
      <c r="AD22" s="107"/>
    </row>
    <row r="23" spans="2:30" s="1" customFormat="1" ht="16.5" customHeight="1">
      <c r="B23" s="13"/>
      <c r="C23" s="79">
        <v>3</v>
      </c>
      <c r="D23" s="79">
        <v>251357</v>
      </c>
      <c r="E23" s="79">
        <v>1521</v>
      </c>
      <c r="F23" s="77" t="s">
        <v>147</v>
      </c>
      <c r="G23" s="77">
        <v>132</v>
      </c>
      <c r="H23" s="90">
        <v>122.19999694824219</v>
      </c>
      <c r="I23" s="91" t="s">
        <v>142</v>
      </c>
      <c r="J23" s="92">
        <f t="shared" si="0"/>
        <v>242.481453944397</v>
      </c>
      <c r="K23" s="446">
        <v>41153.34305555555</v>
      </c>
      <c r="L23" s="446">
        <v>41153.53888888889</v>
      </c>
      <c r="M23" s="94">
        <f t="shared" si="1"/>
        <v>4.700000000128057</v>
      </c>
      <c r="N23" s="95">
        <f t="shared" si="2"/>
        <v>282</v>
      </c>
      <c r="O23" s="96" t="s">
        <v>143</v>
      </c>
      <c r="P23" s="444" t="s">
        <v>145</v>
      </c>
      <c r="Q23" s="97">
        <f t="shared" si="3"/>
        <v>10</v>
      </c>
      <c r="R23" s="98">
        <f t="shared" si="4"/>
        <v>113.9662833538666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41" t="s">
        <v>144</v>
      </c>
      <c r="AC23" s="106">
        <f t="shared" si="14"/>
        <v>113.9662833538666</v>
      </c>
      <c r="AD23" s="107"/>
    </row>
    <row r="24" spans="2:30" s="1" customFormat="1" ht="16.5" customHeight="1">
      <c r="B24" s="13"/>
      <c r="C24" s="79">
        <v>4</v>
      </c>
      <c r="D24" s="79">
        <v>251360</v>
      </c>
      <c r="E24" s="79">
        <v>1438</v>
      </c>
      <c r="F24" s="77" t="s">
        <v>148</v>
      </c>
      <c r="G24" s="77">
        <v>132</v>
      </c>
      <c r="H24" s="90">
        <v>70.80000305175781</v>
      </c>
      <c r="I24" s="91" t="s">
        <v>149</v>
      </c>
      <c r="J24" s="92">
        <f t="shared" si="0"/>
        <v>140.48844605560305</v>
      </c>
      <c r="K24" s="446">
        <v>41154.333333333336</v>
      </c>
      <c r="L24" s="446">
        <v>41154.643055555556</v>
      </c>
      <c r="M24" s="94">
        <f t="shared" si="1"/>
        <v>7.433333333290648</v>
      </c>
      <c r="N24" s="95">
        <f t="shared" si="2"/>
        <v>446</v>
      </c>
      <c r="O24" s="96" t="s">
        <v>143</v>
      </c>
      <c r="P24" s="444" t="s">
        <v>145</v>
      </c>
      <c r="Q24" s="97">
        <f t="shared" si="3"/>
        <v>50</v>
      </c>
      <c r="R24" s="98">
        <f t="shared" si="4"/>
        <v>521.9145770965653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41" t="s">
        <v>144</v>
      </c>
      <c r="AC24" s="106">
        <f t="shared" si="14"/>
        <v>521.9145770965653</v>
      </c>
      <c r="AD24" s="107"/>
    </row>
    <row r="25" spans="2:30" s="1" customFormat="1" ht="16.5" customHeight="1">
      <c r="B25" s="13"/>
      <c r="C25" s="79">
        <v>5</v>
      </c>
      <c r="D25" s="79">
        <v>251514</v>
      </c>
      <c r="E25" s="79">
        <v>1537</v>
      </c>
      <c r="F25" s="77" t="s">
        <v>150</v>
      </c>
      <c r="G25" s="77">
        <v>132</v>
      </c>
      <c r="H25" s="90">
        <v>47.599998474121094</v>
      </c>
      <c r="I25" s="91" t="s">
        <v>142</v>
      </c>
      <c r="J25" s="92">
        <f t="shared" si="0"/>
        <v>94.4526769721985</v>
      </c>
      <c r="K25" s="446">
        <v>41155.47986111111</v>
      </c>
      <c r="L25" s="446">
        <v>41155.665972222225</v>
      </c>
      <c r="M25" s="94">
        <f t="shared" si="1"/>
        <v>4.466666666732635</v>
      </c>
      <c r="N25" s="95">
        <f t="shared" si="2"/>
        <v>268</v>
      </c>
      <c r="O25" s="96" t="s">
        <v>143</v>
      </c>
      <c r="P25" s="444" t="s">
        <v>145</v>
      </c>
      <c r="Q25" s="97">
        <f t="shared" si="3"/>
        <v>10</v>
      </c>
      <c r="R25" s="98">
        <f t="shared" si="4"/>
        <v>42.22034660657273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41" t="s">
        <v>144</v>
      </c>
      <c r="AC25" s="106">
        <f t="shared" si="14"/>
        <v>42.22034660657273</v>
      </c>
      <c r="AD25" s="107"/>
    </row>
    <row r="26" spans="2:30" s="1" customFormat="1" ht="16.5" customHeight="1">
      <c r="B26" s="13"/>
      <c r="C26" s="79">
        <v>6</v>
      </c>
      <c r="D26" s="79">
        <v>251515</v>
      </c>
      <c r="E26" s="79">
        <v>1537</v>
      </c>
      <c r="F26" s="77" t="s">
        <v>150</v>
      </c>
      <c r="G26" s="77">
        <v>132</v>
      </c>
      <c r="H26" s="90">
        <v>47.599998474121094</v>
      </c>
      <c r="I26" s="91" t="s">
        <v>142</v>
      </c>
      <c r="J26" s="92">
        <f t="shared" si="0"/>
        <v>94.4526769721985</v>
      </c>
      <c r="K26" s="446">
        <v>41156.34861111111</v>
      </c>
      <c r="L26" s="446">
        <v>41156.73333333333</v>
      </c>
      <c r="M26" s="94">
        <f t="shared" si="1"/>
        <v>9.233333333220799</v>
      </c>
      <c r="N26" s="95">
        <f t="shared" si="2"/>
        <v>554</v>
      </c>
      <c r="O26" s="93" t="s">
        <v>143</v>
      </c>
      <c r="P26" s="444" t="s">
        <v>145</v>
      </c>
      <c r="Q26" s="97">
        <f t="shared" si="3"/>
        <v>10</v>
      </c>
      <c r="R26" s="98">
        <f t="shared" si="4"/>
        <v>87.17982084533922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41" t="s">
        <v>144</v>
      </c>
      <c r="AC26" s="106">
        <f t="shared" si="14"/>
        <v>87.17982084533922</v>
      </c>
      <c r="AD26" s="107"/>
    </row>
    <row r="27" spans="2:30" s="1" customFormat="1" ht="16.5" customHeight="1">
      <c r="B27" s="13"/>
      <c r="C27" s="79">
        <v>7</v>
      </c>
      <c r="D27" s="79">
        <v>251517</v>
      </c>
      <c r="E27" s="79">
        <v>1420</v>
      </c>
      <c r="F27" s="77" t="s">
        <v>151</v>
      </c>
      <c r="G27" s="77">
        <v>132</v>
      </c>
      <c r="H27" s="90">
        <v>36</v>
      </c>
      <c r="I27" s="91" t="s">
        <v>142</v>
      </c>
      <c r="J27" s="92">
        <f t="shared" si="0"/>
        <v>71.43480000000001</v>
      </c>
      <c r="K27" s="446">
        <v>41156.410416666666</v>
      </c>
      <c r="L27" s="446">
        <v>41156.64027777778</v>
      </c>
      <c r="M27" s="94">
        <f t="shared" si="1"/>
        <v>5.516666666662786</v>
      </c>
      <c r="N27" s="95">
        <f t="shared" si="2"/>
        <v>331</v>
      </c>
      <c r="O27" s="93" t="s">
        <v>143</v>
      </c>
      <c r="P27" s="444" t="s">
        <v>145</v>
      </c>
      <c r="Q27" s="97">
        <f t="shared" si="3"/>
        <v>10</v>
      </c>
      <c r="R27" s="98">
        <f t="shared" si="4"/>
        <v>39.4320096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41" t="s">
        <v>144</v>
      </c>
      <c r="AC27" s="106">
        <f t="shared" si="14"/>
        <v>39.4320096</v>
      </c>
      <c r="AD27" s="107"/>
    </row>
    <row r="28" spans="2:30" s="1" customFormat="1" ht="16.5" customHeight="1">
      <c r="B28" s="13"/>
      <c r="C28" s="79">
        <v>8</v>
      </c>
      <c r="D28" s="79">
        <v>251528</v>
      </c>
      <c r="E28" s="79">
        <v>1533</v>
      </c>
      <c r="F28" s="77" t="s">
        <v>152</v>
      </c>
      <c r="G28" s="77">
        <v>132</v>
      </c>
      <c r="H28" s="90">
        <v>151</v>
      </c>
      <c r="I28" s="91" t="s">
        <v>142</v>
      </c>
      <c r="J28" s="92">
        <f t="shared" si="0"/>
        <v>299.6293</v>
      </c>
      <c r="K28" s="446">
        <v>41156.71388888889</v>
      </c>
      <c r="L28" s="446">
        <v>41156.77291666667</v>
      </c>
      <c r="M28" s="94">
        <f t="shared" si="1"/>
        <v>1.4166666667442769</v>
      </c>
      <c r="N28" s="95">
        <f t="shared" si="2"/>
        <v>85</v>
      </c>
      <c r="O28" s="93" t="s">
        <v>153</v>
      </c>
      <c r="P28" s="444" t="s">
        <v>145</v>
      </c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>
        <f t="shared" si="6"/>
        <v>2996.293</v>
      </c>
      <c r="U28" s="100">
        <f t="shared" si="7"/>
        <v>4254.73606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41" t="s">
        <v>144</v>
      </c>
      <c r="AC28" s="106">
        <f t="shared" si="14"/>
        <v>7251.029060000001</v>
      </c>
      <c r="AD28" s="107"/>
    </row>
    <row r="29" spans="2:30" s="1" customFormat="1" ht="16.5" customHeight="1">
      <c r="B29" s="13"/>
      <c r="C29" s="79">
        <v>9</v>
      </c>
      <c r="D29" s="79">
        <v>251532</v>
      </c>
      <c r="E29" s="79">
        <v>1537</v>
      </c>
      <c r="F29" s="77" t="s">
        <v>150</v>
      </c>
      <c r="G29" s="77">
        <v>132</v>
      </c>
      <c r="H29" s="90">
        <v>47.599998474121094</v>
      </c>
      <c r="I29" s="91" t="s">
        <v>142</v>
      </c>
      <c r="J29" s="92">
        <f t="shared" si="0"/>
        <v>94.4526769721985</v>
      </c>
      <c r="K29" s="446">
        <v>41157.34861111111</v>
      </c>
      <c r="L29" s="446">
        <v>41157.77222222222</v>
      </c>
      <c r="M29" s="94">
        <f t="shared" si="1"/>
        <v>10.166666666627862</v>
      </c>
      <c r="N29" s="95">
        <f t="shared" si="2"/>
        <v>610</v>
      </c>
      <c r="O29" s="93" t="s">
        <v>143</v>
      </c>
      <c r="P29" s="444" t="s">
        <v>145</v>
      </c>
      <c r="Q29" s="97">
        <f t="shared" si="3"/>
        <v>10</v>
      </c>
      <c r="R29" s="98">
        <f t="shared" si="4"/>
        <v>96.0583724807259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41" t="s">
        <v>144</v>
      </c>
      <c r="AC29" s="106">
        <f t="shared" si="14"/>
        <v>96.0583724807259</v>
      </c>
      <c r="AD29" s="107"/>
    </row>
    <row r="30" spans="2:30" s="1" customFormat="1" ht="16.5" customHeight="1">
      <c r="B30" s="13"/>
      <c r="C30" s="79">
        <v>10</v>
      </c>
      <c r="D30" s="79">
        <v>251534</v>
      </c>
      <c r="E30" s="79">
        <v>1420</v>
      </c>
      <c r="F30" s="77" t="s">
        <v>151</v>
      </c>
      <c r="G30" s="77">
        <v>132</v>
      </c>
      <c r="H30" s="90">
        <v>36</v>
      </c>
      <c r="I30" s="91" t="s">
        <v>142</v>
      </c>
      <c r="J30" s="92">
        <f t="shared" si="0"/>
        <v>71.43480000000001</v>
      </c>
      <c r="K30" s="446">
        <v>41157.38333333333</v>
      </c>
      <c r="L30" s="446">
        <v>41157.736805555556</v>
      </c>
      <c r="M30" s="94">
        <f t="shared" si="1"/>
        <v>8.483333333395422</v>
      </c>
      <c r="N30" s="95">
        <f t="shared" si="2"/>
        <v>509</v>
      </c>
      <c r="O30" s="93" t="s">
        <v>143</v>
      </c>
      <c r="P30" s="444" t="s">
        <v>145</v>
      </c>
      <c r="Q30" s="97">
        <f t="shared" si="3"/>
        <v>10</v>
      </c>
      <c r="R30" s="98">
        <f t="shared" si="4"/>
        <v>60.57671040000001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41" t="s">
        <v>144</v>
      </c>
      <c r="AC30" s="106">
        <f t="shared" si="14"/>
        <v>60.57671040000001</v>
      </c>
      <c r="AD30" s="107"/>
    </row>
    <row r="31" spans="2:30" s="1" customFormat="1" ht="16.5" customHeight="1">
      <c r="B31" s="13"/>
      <c r="C31" s="79">
        <v>11</v>
      </c>
      <c r="D31" s="79">
        <v>251541</v>
      </c>
      <c r="E31" s="79">
        <v>1530</v>
      </c>
      <c r="F31" s="77" t="s">
        <v>155</v>
      </c>
      <c r="G31" s="77">
        <v>66</v>
      </c>
      <c r="H31" s="90">
        <v>53.099998474121094</v>
      </c>
      <c r="I31" s="91" t="s">
        <v>142</v>
      </c>
      <c r="J31" s="92">
        <f t="shared" si="0"/>
        <v>105.3663269721985</v>
      </c>
      <c r="K31" s="446">
        <v>41157.532638888886</v>
      </c>
      <c r="L31" s="446">
        <v>41157.80138888889</v>
      </c>
      <c r="M31" s="94">
        <f t="shared" si="1"/>
        <v>6.450000000069849</v>
      </c>
      <c r="N31" s="95">
        <f t="shared" si="2"/>
        <v>387</v>
      </c>
      <c r="O31" s="93" t="s">
        <v>153</v>
      </c>
      <c r="P31" s="444" t="s">
        <v>145</v>
      </c>
      <c r="Q31" s="97">
        <f t="shared" si="3"/>
        <v>10</v>
      </c>
      <c r="R31" s="98" t="str">
        <f t="shared" si="4"/>
        <v>--</v>
      </c>
      <c r="S31" s="99" t="str">
        <f t="shared" si="5"/>
        <v>--</v>
      </c>
      <c r="T31" s="100">
        <f t="shared" si="6"/>
        <v>1053.663269721985</v>
      </c>
      <c r="U31" s="100">
        <f t="shared" si="7"/>
        <v>3160.989809165955</v>
      </c>
      <c r="V31" s="101">
        <f t="shared" si="8"/>
        <v>363.5138280540848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41" t="s">
        <v>144</v>
      </c>
      <c r="AC31" s="106">
        <f t="shared" si="14"/>
        <v>4578.166906942025</v>
      </c>
      <c r="AD31" s="107"/>
    </row>
    <row r="32" spans="2:30" s="1" customFormat="1" ht="16.5" customHeight="1">
      <c r="B32" s="13"/>
      <c r="C32" s="79">
        <v>12</v>
      </c>
      <c r="D32" s="79">
        <v>251542</v>
      </c>
      <c r="E32" s="79">
        <v>1537</v>
      </c>
      <c r="F32" s="77" t="s">
        <v>150</v>
      </c>
      <c r="G32" s="77">
        <v>132</v>
      </c>
      <c r="H32" s="90">
        <v>47.599998474121094</v>
      </c>
      <c r="I32" s="91" t="s">
        <v>142</v>
      </c>
      <c r="J32" s="92">
        <f t="shared" si="0"/>
        <v>94.4526769721985</v>
      </c>
      <c r="K32" s="446">
        <v>41158.34027777778</v>
      </c>
      <c r="L32" s="446">
        <v>41158.76111111111</v>
      </c>
      <c r="M32" s="94">
        <f t="shared" si="1"/>
        <v>10.09999999991851</v>
      </c>
      <c r="N32" s="95">
        <f t="shared" si="2"/>
        <v>606</v>
      </c>
      <c r="O32" s="93" t="s">
        <v>143</v>
      </c>
      <c r="P32" s="444" t="s">
        <v>145</v>
      </c>
      <c r="Q32" s="97">
        <f t="shared" si="3"/>
        <v>10</v>
      </c>
      <c r="R32" s="98">
        <f t="shared" si="4"/>
        <v>95.39720374192049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41" t="s">
        <v>144</v>
      </c>
      <c r="AC32" s="106">
        <f t="shared" si="14"/>
        <v>95.39720374192049</v>
      </c>
      <c r="AD32" s="107"/>
    </row>
    <row r="33" spans="2:30" s="1" customFormat="1" ht="16.5" customHeight="1">
      <c r="B33" s="108"/>
      <c r="C33" s="79">
        <v>13</v>
      </c>
      <c r="D33" s="79">
        <v>251548</v>
      </c>
      <c r="E33" s="79">
        <v>1420</v>
      </c>
      <c r="F33" s="77" t="s">
        <v>151</v>
      </c>
      <c r="G33" s="77">
        <v>132</v>
      </c>
      <c r="H33" s="90">
        <v>36</v>
      </c>
      <c r="I33" s="91" t="s">
        <v>142</v>
      </c>
      <c r="J33" s="92">
        <f t="shared" si="0"/>
        <v>71.43480000000001</v>
      </c>
      <c r="K33" s="446">
        <v>41158.520833333336</v>
      </c>
      <c r="L33" s="446">
        <v>41158.680555555555</v>
      </c>
      <c r="M33" s="94">
        <f t="shared" si="1"/>
        <v>3.833333333255723</v>
      </c>
      <c r="N33" s="95">
        <f t="shared" si="2"/>
        <v>230</v>
      </c>
      <c r="O33" s="93" t="s">
        <v>143</v>
      </c>
      <c r="P33" s="444" t="s">
        <v>145</v>
      </c>
      <c r="Q33" s="97">
        <f t="shared" si="3"/>
        <v>10</v>
      </c>
      <c r="R33" s="98">
        <f t="shared" si="4"/>
        <v>27.359528400000006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41" t="s">
        <v>144</v>
      </c>
      <c r="AC33" s="106">
        <f t="shared" si="14"/>
        <v>27.359528400000006</v>
      </c>
      <c r="AD33" s="107"/>
    </row>
    <row r="34" spans="2:30" s="1" customFormat="1" ht="16.5" customHeight="1">
      <c r="B34" s="108"/>
      <c r="C34" s="79">
        <v>14</v>
      </c>
      <c r="D34" s="79">
        <v>251550</v>
      </c>
      <c r="E34" s="79">
        <v>1537</v>
      </c>
      <c r="F34" s="77" t="s">
        <v>150</v>
      </c>
      <c r="G34" s="77">
        <v>132</v>
      </c>
      <c r="H34" s="90">
        <v>47.599998474121094</v>
      </c>
      <c r="I34" s="91" t="s">
        <v>142</v>
      </c>
      <c r="J34" s="92">
        <f t="shared" si="0"/>
        <v>94.4526769721985</v>
      </c>
      <c r="K34" s="446">
        <v>41159.32013888889</v>
      </c>
      <c r="L34" s="446">
        <v>41159.33263888889</v>
      </c>
      <c r="M34" s="94">
        <f t="shared" si="1"/>
        <v>0.2999999999301508</v>
      </c>
      <c r="N34" s="95">
        <f t="shared" si="2"/>
        <v>18</v>
      </c>
      <c r="O34" s="93" t="s">
        <v>153</v>
      </c>
      <c r="P34" s="444" t="s">
        <v>145</v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>
        <f t="shared" si="6"/>
        <v>944.526769721985</v>
      </c>
      <c r="U34" s="100">
        <f t="shared" si="7"/>
        <v>283.3580309165955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41" t="s">
        <v>144</v>
      </c>
      <c r="AC34" s="106">
        <f t="shared" si="14"/>
        <v>1227.8848006385806</v>
      </c>
      <c r="AD34" s="107"/>
    </row>
    <row r="35" spans="2:30" s="1" customFormat="1" ht="16.5" customHeight="1">
      <c r="B35" s="108"/>
      <c r="C35" s="79">
        <v>15</v>
      </c>
      <c r="D35" s="79">
        <v>251551</v>
      </c>
      <c r="E35" s="79">
        <v>1537</v>
      </c>
      <c r="F35" s="77" t="s">
        <v>150</v>
      </c>
      <c r="G35" s="77">
        <v>132</v>
      </c>
      <c r="H35" s="90">
        <v>47.599998474121094</v>
      </c>
      <c r="I35" s="91" t="s">
        <v>142</v>
      </c>
      <c r="J35" s="92">
        <f t="shared" si="0"/>
        <v>94.4526769721985</v>
      </c>
      <c r="K35" s="446">
        <v>41159.333333333336</v>
      </c>
      <c r="L35" s="446">
        <v>41159.646527777775</v>
      </c>
      <c r="M35" s="94">
        <f t="shared" si="1"/>
        <v>7.516666666546371</v>
      </c>
      <c r="N35" s="95">
        <f t="shared" si="2"/>
        <v>451</v>
      </c>
      <c r="O35" s="93" t="s">
        <v>143</v>
      </c>
      <c r="P35" s="444" t="s">
        <v>145</v>
      </c>
      <c r="Q35" s="97">
        <f t="shared" si="3"/>
        <v>10</v>
      </c>
      <c r="R35" s="98">
        <f t="shared" si="4"/>
        <v>71.02841308309327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41" t="s">
        <v>144</v>
      </c>
      <c r="AC35" s="106">
        <f t="shared" si="14"/>
        <v>71.02841308309327</v>
      </c>
      <c r="AD35" s="107"/>
    </row>
    <row r="36" spans="2:30" s="1" customFormat="1" ht="16.5" customHeight="1">
      <c r="B36" s="108"/>
      <c r="C36" s="79">
        <v>16</v>
      </c>
      <c r="D36" s="79">
        <v>251553</v>
      </c>
      <c r="E36" s="79">
        <v>1420</v>
      </c>
      <c r="F36" s="77" t="s">
        <v>151</v>
      </c>
      <c r="G36" s="77">
        <v>132</v>
      </c>
      <c r="H36" s="90">
        <v>36</v>
      </c>
      <c r="I36" s="91" t="s">
        <v>142</v>
      </c>
      <c r="J36" s="92">
        <f t="shared" si="0"/>
        <v>71.43480000000001</v>
      </c>
      <c r="K36" s="446">
        <v>41159.41458333333</v>
      </c>
      <c r="L36" s="446">
        <v>41159.625</v>
      </c>
      <c r="M36" s="94">
        <f t="shared" si="1"/>
        <v>5.050000000046566</v>
      </c>
      <c r="N36" s="95">
        <f t="shared" si="2"/>
        <v>303</v>
      </c>
      <c r="O36" s="93" t="s">
        <v>143</v>
      </c>
      <c r="P36" s="444" t="s">
        <v>145</v>
      </c>
      <c r="Q36" s="97">
        <f t="shared" si="3"/>
        <v>10</v>
      </c>
      <c r="R36" s="98">
        <f t="shared" si="4"/>
        <v>36.074574000000005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41" t="s">
        <v>144</v>
      </c>
      <c r="AC36" s="106">
        <f t="shared" si="14"/>
        <v>36.074574000000005</v>
      </c>
      <c r="AD36" s="107"/>
    </row>
    <row r="37" spans="2:30" s="1" customFormat="1" ht="16.5" customHeight="1">
      <c r="B37" s="108"/>
      <c r="C37" s="79">
        <v>17</v>
      </c>
      <c r="D37" s="79">
        <v>251755</v>
      </c>
      <c r="E37" s="79">
        <v>4096</v>
      </c>
      <c r="F37" s="77" t="s">
        <v>156</v>
      </c>
      <c r="G37" s="77">
        <v>132</v>
      </c>
      <c r="H37" s="90">
        <v>58.400001525878906</v>
      </c>
      <c r="I37" s="91" t="s">
        <v>142</v>
      </c>
      <c r="J37" s="92">
        <f t="shared" si="0"/>
        <v>115.88312302780152</v>
      </c>
      <c r="K37" s="446">
        <v>41162.28194444445</v>
      </c>
      <c r="L37" s="446">
        <v>41163.541666666664</v>
      </c>
      <c r="M37" s="94">
        <f t="shared" si="1"/>
        <v>30.2333333332208</v>
      </c>
      <c r="N37" s="95">
        <f t="shared" si="2"/>
        <v>1814</v>
      </c>
      <c r="O37" s="93" t="s">
        <v>153</v>
      </c>
      <c r="P37" s="444" t="s">
        <v>145</v>
      </c>
      <c r="Q37" s="97">
        <f t="shared" si="3"/>
        <v>10</v>
      </c>
      <c r="R37" s="98" t="str">
        <f t="shared" si="4"/>
        <v>--</v>
      </c>
      <c r="S37" s="99" t="str">
        <f t="shared" si="5"/>
        <v>--</v>
      </c>
      <c r="T37" s="100">
        <f t="shared" si="6"/>
        <v>1158.8312302780153</v>
      </c>
      <c r="U37" s="100">
        <f t="shared" si="7"/>
        <v>3476.493690834046</v>
      </c>
      <c r="V37" s="101">
        <f t="shared" si="8"/>
        <v>3155.4974400470355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41" t="s">
        <v>144</v>
      </c>
      <c r="AC37" s="106">
        <f t="shared" si="14"/>
        <v>7790.8223611590965</v>
      </c>
      <c r="AD37" s="107"/>
    </row>
    <row r="38" spans="2:30" s="1" customFormat="1" ht="16.5" customHeight="1">
      <c r="B38" s="108"/>
      <c r="C38" s="79">
        <v>18</v>
      </c>
      <c r="D38" s="79">
        <v>251758</v>
      </c>
      <c r="E38" s="79">
        <v>2740</v>
      </c>
      <c r="F38" s="77" t="s">
        <v>157</v>
      </c>
      <c r="G38" s="77">
        <v>132</v>
      </c>
      <c r="H38" s="90">
        <v>66.80000305175781</v>
      </c>
      <c r="I38" s="91" t="s">
        <v>142</v>
      </c>
      <c r="J38" s="92">
        <f t="shared" si="0"/>
        <v>132.55124605560303</v>
      </c>
      <c r="K38" s="446">
        <v>41162.381944444445</v>
      </c>
      <c r="L38" s="446">
        <v>41162.62222222222</v>
      </c>
      <c r="M38" s="94">
        <f t="shared" si="1"/>
        <v>5.7666666666045785</v>
      </c>
      <c r="N38" s="95">
        <f t="shared" si="2"/>
        <v>346</v>
      </c>
      <c r="O38" s="93" t="s">
        <v>143</v>
      </c>
      <c r="P38" s="444" t="s">
        <v>145</v>
      </c>
      <c r="Q38" s="97">
        <f t="shared" si="3"/>
        <v>10</v>
      </c>
      <c r="R38" s="98">
        <f t="shared" si="4"/>
        <v>76.48206897408294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41" t="s">
        <v>144</v>
      </c>
      <c r="AC38" s="106">
        <f t="shared" si="14"/>
        <v>76.48206897408294</v>
      </c>
      <c r="AD38" s="107"/>
    </row>
    <row r="39" spans="2:30" s="1" customFormat="1" ht="16.5" customHeight="1">
      <c r="B39" s="108"/>
      <c r="C39" s="79"/>
      <c r="D39" s="79"/>
      <c r="E39" s="79"/>
      <c r="F39" s="77"/>
      <c r="G39" s="77"/>
      <c r="H39" s="90"/>
      <c r="I39" s="91"/>
      <c r="J39" s="92">
        <f t="shared" si="0"/>
        <v>49.6075</v>
      </c>
      <c r="K39" s="446"/>
      <c r="L39" s="446"/>
      <c r="M39" s="94">
        <f t="shared" si="1"/>
      </c>
      <c r="N39" s="95">
        <f t="shared" si="2"/>
      </c>
      <c r="O39" s="93"/>
      <c r="P39" s="440">
        <f>IF(F39="","","--")</f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41">
        <f>IF(F39="","","SI")</f>
      </c>
      <c r="AC39" s="106">
        <f t="shared" si="14"/>
      </c>
      <c r="AD39" s="107"/>
    </row>
    <row r="40" spans="2:30" s="1" customFormat="1" ht="16.5" customHeight="1" thickBot="1">
      <c r="B40" s="13"/>
      <c r="C40" s="109"/>
      <c r="D40" s="109"/>
      <c r="E40" s="109"/>
      <c r="F40" s="332"/>
      <c r="G40" s="333"/>
      <c r="H40" s="334"/>
      <c r="I40" s="334"/>
      <c r="J40" s="111"/>
      <c r="K40" s="407"/>
      <c r="L40" s="407"/>
      <c r="M40" s="110"/>
      <c r="N40" s="110"/>
      <c r="O40" s="334"/>
      <c r="P40" s="335"/>
      <c r="Q40" s="336"/>
      <c r="R40" s="337"/>
      <c r="S40" s="338"/>
      <c r="T40" s="339"/>
      <c r="U40" s="340"/>
      <c r="V40" s="340"/>
      <c r="W40" s="341"/>
      <c r="X40" s="341"/>
      <c r="Y40" s="341"/>
      <c r="Z40" s="342"/>
      <c r="AA40" s="343"/>
      <c r="AB40" s="344"/>
      <c r="AC40" s="112"/>
      <c r="AD40" s="107"/>
    </row>
    <row r="41" spans="2:30" s="1" customFormat="1" ht="16.5" customHeight="1" thickBot="1" thickTop="1">
      <c r="B41" s="13"/>
      <c r="C41" s="452" t="s">
        <v>296</v>
      </c>
      <c r="D41" s="451" t="s">
        <v>295</v>
      </c>
      <c r="E41" s="128"/>
      <c r="F41" s="113"/>
      <c r="G41" s="114"/>
      <c r="H41" s="115"/>
      <c r="I41" s="115"/>
      <c r="J41" s="116"/>
      <c r="K41" s="116"/>
      <c r="L41" s="116"/>
      <c r="M41" s="116"/>
      <c r="N41" s="116"/>
      <c r="O41" s="116"/>
      <c r="P41" s="117"/>
      <c r="Q41" s="117"/>
      <c r="R41" s="118">
        <f aca="true" t="shared" si="15" ref="R41:AA41">SUM(R19:R40)</f>
        <v>1410.3579022669885</v>
      </c>
      <c r="S41" s="119">
        <f t="shared" si="15"/>
        <v>0</v>
      </c>
      <c r="T41" s="120">
        <f t="shared" si="15"/>
        <v>6153.3142697219855</v>
      </c>
      <c r="U41" s="120">
        <f t="shared" si="15"/>
        <v>11175.577590916597</v>
      </c>
      <c r="V41" s="120">
        <f t="shared" si="15"/>
        <v>3519.0112681011205</v>
      </c>
      <c r="W41" s="121">
        <f t="shared" si="15"/>
        <v>0</v>
      </c>
      <c r="X41" s="121">
        <f t="shared" si="15"/>
        <v>0</v>
      </c>
      <c r="Y41" s="121">
        <f t="shared" si="15"/>
        <v>0</v>
      </c>
      <c r="Z41" s="122">
        <f t="shared" si="15"/>
        <v>0</v>
      </c>
      <c r="AA41" s="123">
        <f t="shared" si="15"/>
        <v>0</v>
      </c>
      <c r="AB41" s="124"/>
      <c r="AC41" s="417">
        <f>ROUND(SUM(AC19:AC40),2)</f>
        <v>22258.26</v>
      </c>
      <c r="AD41" s="125"/>
    </row>
    <row r="42" spans="2:30" s="126" customFormat="1" ht="9.75" thickTop="1">
      <c r="B42" s="127"/>
      <c r="C42" s="128"/>
      <c r="D42" s="128"/>
      <c r="E42" s="128"/>
      <c r="F42" s="129"/>
      <c r="G42" s="130"/>
      <c r="H42" s="131"/>
      <c r="I42" s="131"/>
      <c r="J42" s="132"/>
      <c r="K42" s="132"/>
      <c r="L42" s="132"/>
      <c r="M42" s="132"/>
      <c r="N42" s="132"/>
      <c r="O42" s="132"/>
      <c r="P42" s="133"/>
      <c r="Q42" s="133"/>
      <c r="R42" s="134"/>
      <c r="S42" s="134"/>
      <c r="T42" s="135"/>
      <c r="U42" s="135"/>
      <c r="V42" s="136"/>
      <c r="W42" s="136"/>
      <c r="X42" s="136"/>
      <c r="Y42" s="136"/>
      <c r="Z42" s="136"/>
      <c r="AA42" s="136"/>
      <c r="AB42" s="136"/>
      <c r="AC42" s="137"/>
      <c r="AD42" s="138"/>
    </row>
    <row r="43" spans="2:30" s="1" customFormat="1" ht="16.5" customHeight="1" thickBot="1"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0" ht="13.5" thickTop="1">
      <c r="B44" s="142"/>
      <c r="AD44" s="142"/>
    </row>
    <row r="89" ht="12.75">
      <c r="B89" s="142"/>
    </row>
  </sheetData>
  <printOptions/>
  <pageMargins left="0.2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D90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9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'TOT-0912'!B2</f>
        <v>ANEXO IV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+'TOT-0912'!B14</f>
        <v>Desde el 01 al 30 de septiembre de 2012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207.657</v>
      </c>
      <c r="H14" s="37"/>
      <c r="I14" s="38"/>
      <c r="J14" s="34"/>
      <c r="K14" s="34"/>
      <c r="L14" s="39" t="s">
        <v>8</v>
      </c>
      <c r="M14" s="40">
        <f>150*'TOT-0912'!B13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198.43</v>
      </c>
      <c r="H15" s="42"/>
      <c r="I15" s="43"/>
      <c r="J15" s="7"/>
      <c r="K15" s="44"/>
      <c r="L15" s="39" t="s">
        <v>10</v>
      </c>
      <c r="M15" s="40">
        <f>50*'TOT-0912'!B13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198.43</v>
      </c>
      <c r="H16" s="42"/>
      <c r="I16" s="43"/>
      <c r="J16" s="7"/>
      <c r="K16" s="7"/>
      <c r="L16" s="39" t="s">
        <v>12</v>
      </c>
      <c r="M16" s="40">
        <f>10*'TOT-0912'!B13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36">
        <v>3</v>
      </c>
      <c r="D17" s="436">
        <v>4</v>
      </c>
      <c r="E17" s="436">
        <v>5</v>
      </c>
      <c r="F17" s="436">
        <v>6</v>
      </c>
      <c r="G17" s="436">
        <v>7</v>
      </c>
      <c r="H17" s="436">
        <v>8</v>
      </c>
      <c r="I17" s="436">
        <v>9</v>
      </c>
      <c r="J17" s="436">
        <v>10</v>
      </c>
      <c r="K17" s="436">
        <v>11</v>
      </c>
      <c r="L17" s="436">
        <v>12</v>
      </c>
      <c r="M17" s="436">
        <v>13</v>
      </c>
      <c r="N17" s="436">
        <v>14</v>
      </c>
      <c r="O17" s="436">
        <v>15</v>
      </c>
      <c r="P17" s="436">
        <v>16</v>
      </c>
      <c r="Q17" s="436">
        <v>17</v>
      </c>
      <c r="R17" s="436">
        <v>18</v>
      </c>
      <c r="S17" s="436">
        <v>19</v>
      </c>
      <c r="T17" s="436">
        <v>20</v>
      </c>
      <c r="U17" s="436">
        <v>21</v>
      </c>
      <c r="V17" s="436">
        <v>22</v>
      </c>
      <c r="W17" s="436">
        <v>23</v>
      </c>
      <c r="X17" s="436">
        <v>24</v>
      </c>
      <c r="Y17" s="436">
        <v>25</v>
      </c>
      <c r="Z17" s="436">
        <v>26</v>
      </c>
      <c r="AA17" s="436">
        <v>27</v>
      </c>
      <c r="AB17" s="436">
        <v>28</v>
      </c>
      <c r="AC17" s="436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82</v>
      </c>
      <c r="E18" s="421" t="s">
        <v>83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'LI-09 (1)'!AC41</f>
        <v>22258.26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46"/>
      <c r="L20" s="447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19</v>
      </c>
      <c r="D21" s="79">
        <v>251760</v>
      </c>
      <c r="E21" s="79">
        <v>1409</v>
      </c>
      <c r="F21" s="77" t="s">
        <v>158</v>
      </c>
      <c r="G21" s="77">
        <v>132</v>
      </c>
      <c r="H21" s="90">
        <v>69.0999984741211</v>
      </c>
      <c r="I21" s="91" t="s">
        <v>142</v>
      </c>
      <c r="J21" s="92">
        <f aca="true" t="shared" si="0" ref="J21:J40">IF(G21=220,$G$14,IF(G21=132,$G$15,$G$16))*IF(H21&gt;25,H21,25)/100</f>
        <v>137.11512697219848</v>
      </c>
      <c r="K21" s="446">
        <v>41162.40277777778</v>
      </c>
      <c r="L21" s="446">
        <v>41162.618055555555</v>
      </c>
      <c r="M21" s="94">
        <f aca="true" t="shared" si="1" ref="M21:M40">IF(F21="","",(L21-K21)*24)</f>
        <v>5.166666666569654</v>
      </c>
      <c r="N21" s="95">
        <f aca="true" t="shared" si="2" ref="N21:N40">IF(F21="","",ROUND((L21-K21)*24*60,0))</f>
        <v>310</v>
      </c>
      <c r="O21" s="96" t="s">
        <v>143</v>
      </c>
      <c r="P21" s="444" t="s">
        <v>145</v>
      </c>
      <c r="Q21" s="97">
        <f aca="true" t="shared" si="3" ref="Q21:Q40">IF(I21="A",$M$14,IF(I21="B",$M$15,$M$16))</f>
        <v>10</v>
      </c>
      <c r="R21" s="98">
        <f aca="true" t="shared" si="4" ref="R21:R40">IF(O21="P",ROUND(N21/60,2)*J21*Q21*0.01,"--")</f>
        <v>70.88852064462661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41" t="s">
        <v>144</v>
      </c>
      <c r="AC21" s="106">
        <f aca="true" t="shared" si="14" ref="AC21:AC40">IF(F21="","",SUM(R21:AA21)*IF(AB21="SI",1,2))</f>
        <v>70.88852064462661</v>
      </c>
      <c r="AD21" s="107"/>
    </row>
    <row r="22" spans="2:30" s="1" customFormat="1" ht="16.5" customHeight="1">
      <c r="B22" s="13"/>
      <c r="C22" s="79">
        <v>20</v>
      </c>
      <c r="D22" s="79">
        <v>251767</v>
      </c>
      <c r="E22" s="79">
        <v>2740</v>
      </c>
      <c r="F22" s="77" t="s">
        <v>157</v>
      </c>
      <c r="G22" s="77">
        <v>132</v>
      </c>
      <c r="H22" s="90">
        <v>66.80000305175781</v>
      </c>
      <c r="I22" s="91" t="s">
        <v>142</v>
      </c>
      <c r="J22" s="92">
        <f t="shared" si="0"/>
        <v>132.55124605560303</v>
      </c>
      <c r="K22" s="446">
        <v>41163.39166666667</v>
      </c>
      <c r="L22" s="446">
        <v>41163.62013888889</v>
      </c>
      <c r="M22" s="94">
        <f t="shared" si="1"/>
        <v>5.4833333332207985</v>
      </c>
      <c r="N22" s="95">
        <f t="shared" si="2"/>
        <v>329</v>
      </c>
      <c r="O22" s="96" t="s">
        <v>143</v>
      </c>
      <c r="P22" s="444" t="s">
        <v>145</v>
      </c>
      <c r="Q22" s="97">
        <f t="shared" si="3"/>
        <v>10</v>
      </c>
      <c r="R22" s="98">
        <f t="shared" si="4"/>
        <v>72.63808283847047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41" t="s">
        <v>144</v>
      </c>
      <c r="AC22" s="106">
        <f t="shared" si="14"/>
        <v>72.63808283847047</v>
      </c>
      <c r="AD22" s="107"/>
    </row>
    <row r="23" spans="2:30" s="1" customFormat="1" ht="16.5" customHeight="1">
      <c r="B23" s="13"/>
      <c r="C23" s="79">
        <v>21</v>
      </c>
      <c r="D23" s="79">
        <v>251768</v>
      </c>
      <c r="E23" s="79">
        <v>1409</v>
      </c>
      <c r="F23" s="77" t="s">
        <v>158</v>
      </c>
      <c r="G23" s="77">
        <v>132</v>
      </c>
      <c r="H23" s="90">
        <v>69.0999984741211</v>
      </c>
      <c r="I23" s="91" t="s">
        <v>142</v>
      </c>
      <c r="J23" s="92">
        <f t="shared" si="0"/>
        <v>137.11512697219848</v>
      </c>
      <c r="K23" s="446">
        <v>41163.40069444444</v>
      </c>
      <c r="L23" s="446">
        <v>41163.597916666666</v>
      </c>
      <c r="M23" s="94">
        <f t="shared" si="1"/>
        <v>4.7333333333954215</v>
      </c>
      <c r="N23" s="95">
        <f t="shared" si="2"/>
        <v>284</v>
      </c>
      <c r="O23" s="96" t="s">
        <v>143</v>
      </c>
      <c r="P23" s="444" t="s">
        <v>145</v>
      </c>
      <c r="Q23" s="97">
        <f t="shared" si="3"/>
        <v>10</v>
      </c>
      <c r="R23" s="98">
        <f t="shared" si="4"/>
        <v>64.85545505784988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41" t="s">
        <v>144</v>
      </c>
      <c r="AC23" s="106">
        <f t="shared" si="14"/>
        <v>64.85545505784988</v>
      </c>
      <c r="AD23" s="107"/>
    </row>
    <row r="24" spans="2:30" s="1" customFormat="1" ht="16.5" customHeight="1">
      <c r="B24" s="13"/>
      <c r="C24" s="79">
        <v>22</v>
      </c>
      <c r="D24" s="79">
        <v>251773</v>
      </c>
      <c r="E24" s="79">
        <v>1439</v>
      </c>
      <c r="F24" s="77" t="s">
        <v>159</v>
      </c>
      <c r="G24" s="77">
        <v>132</v>
      </c>
      <c r="H24" s="90">
        <v>102.5999984741211</v>
      </c>
      <c r="I24" s="91" t="s">
        <v>142</v>
      </c>
      <c r="J24" s="92">
        <f t="shared" si="0"/>
        <v>203.58917697219852</v>
      </c>
      <c r="K24" s="446">
        <v>41164.34027777778</v>
      </c>
      <c r="L24" s="446">
        <v>41164.69027777778</v>
      </c>
      <c r="M24" s="94">
        <f t="shared" si="1"/>
        <v>8.399999999965075</v>
      </c>
      <c r="N24" s="95">
        <f t="shared" si="2"/>
        <v>504</v>
      </c>
      <c r="O24" s="96" t="s">
        <v>143</v>
      </c>
      <c r="P24" s="444" t="s">
        <v>145</v>
      </c>
      <c r="Q24" s="97">
        <f t="shared" si="3"/>
        <v>10</v>
      </c>
      <c r="R24" s="98">
        <f t="shared" si="4"/>
        <v>171.01490865664678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41" t="s">
        <v>144</v>
      </c>
      <c r="AC24" s="106">
        <f t="shared" si="14"/>
        <v>171.01490865664678</v>
      </c>
      <c r="AD24" s="107"/>
    </row>
    <row r="25" spans="2:30" s="1" customFormat="1" ht="16.5" customHeight="1">
      <c r="B25" s="13"/>
      <c r="C25" s="79">
        <v>23</v>
      </c>
      <c r="D25" s="79">
        <v>251774</v>
      </c>
      <c r="E25" s="79">
        <v>1533</v>
      </c>
      <c r="F25" s="77" t="s">
        <v>152</v>
      </c>
      <c r="G25" s="77">
        <v>132</v>
      </c>
      <c r="H25" s="90">
        <v>151</v>
      </c>
      <c r="I25" s="91" t="s">
        <v>142</v>
      </c>
      <c r="J25" s="92">
        <f t="shared" si="0"/>
        <v>299.6293</v>
      </c>
      <c r="K25" s="446">
        <v>41164.34444444445</v>
      </c>
      <c r="L25" s="446">
        <v>41164.72361111111</v>
      </c>
      <c r="M25" s="94">
        <f t="shared" si="1"/>
        <v>9.099999999976717</v>
      </c>
      <c r="N25" s="95">
        <f t="shared" si="2"/>
        <v>546</v>
      </c>
      <c r="O25" s="96" t="s">
        <v>143</v>
      </c>
      <c r="P25" s="444" t="s">
        <v>145</v>
      </c>
      <c r="Q25" s="97">
        <f t="shared" si="3"/>
        <v>10</v>
      </c>
      <c r="R25" s="98">
        <f t="shared" si="4"/>
        <v>272.66266299999995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41" t="s">
        <v>144</v>
      </c>
      <c r="AC25" s="106">
        <f t="shared" si="14"/>
        <v>272.66266299999995</v>
      </c>
      <c r="AD25" s="107"/>
    </row>
    <row r="26" spans="2:30" s="1" customFormat="1" ht="16.5" customHeight="1">
      <c r="B26" s="13"/>
      <c r="C26" s="79">
        <v>24</v>
      </c>
      <c r="D26" s="79">
        <v>251779</v>
      </c>
      <c r="E26" s="79">
        <v>1409</v>
      </c>
      <c r="F26" s="77" t="s">
        <v>158</v>
      </c>
      <c r="G26" s="77">
        <v>132</v>
      </c>
      <c r="H26" s="90">
        <v>69.0999984741211</v>
      </c>
      <c r="I26" s="91" t="s">
        <v>142</v>
      </c>
      <c r="J26" s="92">
        <f t="shared" si="0"/>
        <v>137.11512697219848</v>
      </c>
      <c r="K26" s="446">
        <v>41164.37152777778</v>
      </c>
      <c r="L26" s="446">
        <v>41164.61944444444</v>
      </c>
      <c r="M26" s="94">
        <f t="shared" si="1"/>
        <v>5.9499999998370185</v>
      </c>
      <c r="N26" s="95">
        <f t="shared" si="2"/>
        <v>357</v>
      </c>
      <c r="O26" s="93" t="s">
        <v>143</v>
      </c>
      <c r="P26" s="444" t="s">
        <v>145</v>
      </c>
      <c r="Q26" s="97">
        <f t="shared" si="3"/>
        <v>10</v>
      </c>
      <c r="R26" s="98">
        <f t="shared" si="4"/>
        <v>81.5835005484581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41" t="s">
        <v>144</v>
      </c>
      <c r="AC26" s="106">
        <f t="shared" si="14"/>
        <v>81.5835005484581</v>
      </c>
      <c r="AD26" s="107"/>
    </row>
    <row r="27" spans="2:30" s="1" customFormat="1" ht="16.5" customHeight="1">
      <c r="B27" s="13"/>
      <c r="C27" s="79">
        <v>25</v>
      </c>
      <c r="D27" s="79">
        <v>251785</v>
      </c>
      <c r="E27" s="79">
        <v>5043</v>
      </c>
      <c r="F27" s="77" t="s">
        <v>284</v>
      </c>
      <c r="G27" s="77">
        <v>132</v>
      </c>
      <c r="H27" s="90">
        <v>6.75</v>
      </c>
      <c r="I27" s="91" t="s">
        <v>142</v>
      </c>
      <c r="J27" s="92">
        <f t="shared" si="0"/>
        <v>49.6075</v>
      </c>
      <c r="K27" s="446">
        <v>41164.47222222222</v>
      </c>
      <c r="L27" s="446">
        <v>41164.606944444444</v>
      </c>
      <c r="M27" s="94">
        <f t="shared" si="1"/>
        <v>3.2333333333954215</v>
      </c>
      <c r="N27" s="95">
        <f t="shared" si="2"/>
        <v>194</v>
      </c>
      <c r="O27" s="93" t="s">
        <v>143</v>
      </c>
      <c r="P27" s="444" t="s">
        <v>145</v>
      </c>
      <c r="Q27" s="97">
        <f t="shared" si="3"/>
        <v>10</v>
      </c>
      <c r="R27" s="98">
        <f t="shared" si="4"/>
        <v>16.0232225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41" t="s">
        <v>144</v>
      </c>
      <c r="AC27" s="106">
        <v>0</v>
      </c>
      <c r="AD27" s="107"/>
    </row>
    <row r="28" spans="2:30" s="1" customFormat="1" ht="16.5" customHeight="1">
      <c r="B28" s="13"/>
      <c r="C28" s="79">
        <v>26</v>
      </c>
      <c r="D28" s="79">
        <v>251793</v>
      </c>
      <c r="E28" s="79">
        <v>1533</v>
      </c>
      <c r="F28" s="77" t="s">
        <v>152</v>
      </c>
      <c r="G28" s="77">
        <v>132</v>
      </c>
      <c r="H28" s="90">
        <v>151</v>
      </c>
      <c r="I28" s="91" t="s">
        <v>142</v>
      </c>
      <c r="J28" s="92">
        <f t="shared" si="0"/>
        <v>299.6293</v>
      </c>
      <c r="K28" s="446">
        <v>41165.34861111111</v>
      </c>
      <c r="L28" s="446">
        <v>41165.72361111111</v>
      </c>
      <c r="M28" s="94">
        <f t="shared" si="1"/>
        <v>9</v>
      </c>
      <c r="N28" s="95">
        <f t="shared" si="2"/>
        <v>540</v>
      </c>
      <c r="O28" s="93" t="s">
        <v>143</v>
      </c>
      <c r="P28" s="444" t="s">
        <v>145</v>
      </c>
      <c r="Q28" s="97">
        <f t="shared" si="3"/>
        <v>10</v>
      </c>
      <c r="R28" s="98">
        <f t="shared" si="4"/>
        <v>269.66637000000003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41" t="s">
        <v>144</v>
      </c>
      <c r="AC28" s="106">
        <f t="shared" si="14"/>
        <v>269.66637000000003</v>
      </c>
      <c r="AD28" s="107"/>
    </row>
    <row r="29" spans="2:30" s="1" customFormat="1" ht="16.5" customHeight="1">
      <c r="B29" s="13"/>
      <c r="C29" s="79">
        <v>27</v>
      </c>
      <c r="D29" s="79">
        <v>251794</v>
      </c>
      <c r="E29" s="79">
        <v>1446</v>
      </c>
      <c r="F29" s="77" t="s">
        <v>160</v>
      </c>
      <c r="G29" s="77">
        <v>132</v>
      </c>
      <c r="H29" s="90">
        <v>139.89999389648438</v>
      </c>
      <c r="I29" s="91" t="s">
        <v>142</v>
      </c>
      <c r="J29" s="92">
        <f t="shared" si="0"/>
        <v>277.60355788879394</v>
      </c>
      <c r="K29" s="446">
        <v>41165.353472222225</v>
      </c>
      <c r="L29" s="446">
        <v>41165.513194444444</v>
      </c>
      <c r="M29" s="94">
        <f t="shared" si="1"/>
        <v>3.833333333255723</v>
      </c>
      <c r="N29" s="95">
        <f t="shared" si="2"/>
        <v>230</v>
      </c>
      <c r="O29" s="93" t="s">
        <v>143</v>
      </c>
      <c r="P29" s="444" t="s">
        <v>145</v>
      </c>
      <c r="Q29" s="97">
        <f t="shared" si="3"/>
        <v>10</v>
      </c>
      <c r="R29" s="98">
        <f t="shared" si="4"/>
        <v>106.3221626714081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41" t="s">
        <v>144</v>
      </c>
      <c r="AC29" s="106">
        <f t="shared" si="14"/>
        <v>106.3221626714081</v>
      </c>
      <c r="AD29" s="107"/>
    </row>
    <row r="30" spans="2:30" s="1" customFormat="1" ht="16.5" customHeight="1">
      <c r="B30" s="13"/>
      <c r="C30" s="79">
        <v>28</v>
      </c>
      <c r="D30" s="79">
        <v>251800</v>
      </c>
      <c r="E30" s="79">
        <v>1547</v>
      </c>
      <c r="F30" s="77" t="s">
        <v>161</v>
      </c>
      <c r="G30" s="77">
        <v>132</v>
      </c>
      <c r="H30" s="90">
        <v>1.899999976158142</v>
      </c>
      <c r="I30" s="91" t="s">
        <v>142</v>
      </c>
      <c r="J30" s="92">
        <f t="shared" si="0"/>
        <v>49.6075</v>
      </c>
      <c r="K30" s="446">
        <v>41165.40972222222</v>
      </c>
      <c r="L30" s="446">
        <v>41165.6125</v>
      </c>
      <c r="M30" s="94">
        <f t="shared" si="1"/>
        <v>4.866666666814126</v>
      </c>
      <c r="N30" s="95">
        <f t="shared" si="2"/>
        <v>292</v>
      </c>
      <c r="O30" s="93" t="s">
        <v>143</v>
      </c>
      <c r="P30" s="444" t="s">
        <v>145</v>
      </c>
      <c r="Q30" s="97">
        <f t="shared" si="3"/>
        <v>10</v>
      </c>
      <c r="R30" s="98">
        <f t="shared" si="4"/>
        <v>24.158852500000002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41" t="s">
        <v>144</v>
      </c>
      <c r="AC30" s="106">
        <f t="shared" si="14"/>
        <v>24.158852500000002</v>
      </c>
      <c r="AD30" s="107"/>
    </row>
    <row r="31" spans="2:30" s="1" customFormat="1" ht="16.5" customHeight="1">
      <c r="B31" s="13"/>
      <c r="C31" s="79">
        <v>29</v>
      </c>
      <c r="D31" s="79">
        <v>251801</v>
      </c>
      <c r="E31" s="79">
        <v>1410</v>
      </c>
      <c r="F31" s="77" t="s">
        <v>162</v>
      </c>
      <c r="G31" s="77">
        <v>132</v>
      </c>
      <c r="H31" s="90">
        <v>41.29999923706055</v>
      </c>
      <c r="I31" s="91" t="s">
        <v>149</v>
      </c>
      <c r="J31" s="92">
        <f t="shared" si="0"/>
        <v>81.95158848609924</v>
      </c>
      <c r="K31" s="446">
        <v>41165.44583333333</v>
      </c>
      <c r="L31" s="446">
        <v>41165.63125</v>
      </c>
      <c r="M31" s="94">
        <f t="shared" si="1"/>
        <v>4.4500000000116415</v>
      </c>
      <c r="N31" s="95">
        <f t="shared" si="2"/>
        <v>267</v>
      </c>
      <c r="O31" s="93" t="s">
        <v>143</v>
      </c>
      <c r="P31" s="444" t="s">
        <v>145</v>
      </c>
      <c r="Q31" s="97">
        <f t="shared" si="3"/>
        <v>50</v>
      </c>
      <c r="R31" s="98">
        <f t="shared" si="4"/>
        <v>182.3422843815708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41" t="s">
        <v>144</v>
      </c>
      <c r="AC31" s="106">
        <f t="shared" si="14"/>
        <v>182.3422843815708</v>
      </c>
      <c r="AD31" s="107"/>
    </row>
    <row r="32" spans="2:30" s="1" customFormat="1" ht="16.5" customHeight="1">
      <c r="B32" s="13"/>
      <c r="C32" s="79">
        <v>30</v>
      </c>
      <c r="D32" s="79">
        <v>251805</v>
      </c>
      <c r="E32" s="79">
        <v>1533</v>
      </c>
      <c r="F32" s="77" t="s">
        <v>152</v>
      </c>
      <c r="G32" s="77">
        <v>132</v>
      </c>
      <c r="H32" s="90">
        <v>151</v>
      </c>
      <c r="I32" s="91" t="s">
        <v>142</v>
      </c>
      <c r="J32" s="92">
        <f t="shared" si="0"/>
        <v>299.6293</v>
      </c>
      <c r="K32" s="446">
        <v>41166.34930555556</v>
      </c>
      <c r="L32" s="446">
        <v>41166.71875</v>
      </c>
      <c r="M32" s="94">
        <f t="shared" si="1"/>
        <v>8.866666666581295</v>
      </c>
      <c r="N32" s="95">
        <f t="shared" si="2"/>
        <v>532</v>
      </c>
      <c r="O32" s="93" t="s">
        <v>143</v>
      </c>
      <c r="P32" s="444" t="s">
        <v>145</v>
      </c>
      <c r="Q32" s="97">
        <f t="shared" si="3"/>
        <v>10</v>
      </c>
      <c r="R32" s="98">
        <f t="shared" si="4"/>
        <v>265.77118909999996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41" t="s">
        <v>144</v>
      </c>
      <c r="AC32" s="106">
        <f t="shared" si="14"/>
        <v>265.77118909999996</v>
      </c>
      <c r="AD32" s="107"/>
    </row>
    <row r="33" spans="2:30" s="1" customFormat="1" ht="16.5" customHeight="1">
      <c r="B33" s="13"/>
      <c r="C33" s="79">
        <v>31</v>
      </c>
      <c r="D33" s="79">
        <v>251807</v>
      </c>
      <c r="E33" s="79">
        <v>1410</v>
      </c>
      <c r="F33" s="77" t="s">
        <v>162</v>
      </c>
      <c r="G33" s="77">
        <v>132</v>
      </c>
      <c r="H33" s="90">
        <v>41.29999923706055</v>
      </c>
      <c r="I33" s="91" t="s">
        <v>149</v>
      </c>
      <c r="J33" s="92">
        <f t="shared" si="0"/>
        <v>81.95158848609924</v>
      </c>
      <c r="K33" s="446">
        <v>41166.395833333336</v>
      </c>
      <c r="L33" s="446">
        <v>41166.59027777778</v>
      </c>
      <c r="M33" s="94">
        <f t="shared" si="1"/>
        <v>4.666666666686069</v>
      </c>
      <c r="N33" s="95">
        <f t="shared" si="2"/>
        <v>280</v>
      </c>
      <c r="O33" s="93" t="s">
        <v>143</v>
      </c>
      <c r="P33" s="444" t="s">
        <v>145</v>
      </c>
      <c r="Q33" s="97">
        <f t="shared" si="3"/>
        <v>50</v>
      </c>
      <c r="R33" s="98">
        <f t="shared" si="4"/>
        <v>191.35695911504172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41" t="s">
        <v>144</v>
      </c>
      <c r="AC33" s="106">
        <f t="shared" si="14"/>
        <v>191.35695911504172</v>
      </c>
      <c r="AD33" s="107"/>
    </row>
    <row r="34" spans="2:30" s="1" customFormat="1" ht="16.5" customHeight="1">
      <c r="B34" s="108"/>
      <c r="C34" s="79">
        <v>32</v>
      </c>
      <c r="D34" s="79">
        <v>251812</v>
      </c>
      <c r="E34" s="79">
        <v>1547</v>
      </c>
      <c r="F34" s="77" t="s">
        <v>161</v>
      </c>
      <c r="G34" s="77">
        <v>132</v>
      </c>
      <c r="H34" s="90">
        <v>1.899999976158142</v>
      </c>
      <c r="I34" s="91" t="s">
        <v>142</v>
      </c>
      <c r="J34" s="92">
        <f t="shared" si="0"/>
        <v>49.6075</v>
      </c>
      <c r="K34" s="446">
        <v>41166.41805555556</v>
      </c>
      <c r="L34" s="446">
        <v>41166.58541666667</v>
      </c>
      <c r="M34" s="94">
        <f t="shared" si="1"/>
        <v>4.016666666662786</v>
      </c>
      <c r="N34" s="95">
        <f t="shared" si="2"/>
        <v>241</v>
      </c>
      <c r="O34" s="93" t="s">
        <v>143</v>
      </c>
      <c r="P34" s="444" t="s">
        <v>145</v>
      </c>
      <c r="Q34" s="97">
        <f t="shared" si="3"/>
        <v>10</v>
      </c>
      <c r="R34" s="98">
        <f t="shared" si="4"/>
        <v>19.942215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41" t="s">
        <v>144</v>
      </c>
      <c r="AC34" s="106">
        <f t="shared" si="14"/>
        <v>19.942215</v>
      </c>
      <c r="AD34" s="107"/>
    </row>
    <row r="35" spans="2:30" s="1" customFormat="1" ht="16.5" customHeight="1">
      <c r="B35" s="108"/>
      <c r="C35" s="79">
        <v>33</v>
      </c>
      <c r="D35" s="79">
        <v>251818</v>
      </c>
      <c r="E35" s="79">
        <v>1450</v>
      </c>
      <c r="F35" s="77" t="s">
        <v>163</v>
      </c>
      <c r="G35" s="77">
        <v>132</v>
      </c>
      <c r="H35" s="90">
        <v>51.400001525878906</v>
      </c>
      <c r="I35" s="91" t="s">
        <v>142</v>
      </c>
      <c r="J35" s="92">
        <f t="shared" si="0"/>
        <v>101.99302302780151</v>
      </c>
      <c r="K35" s="446">
        <v>41167.34375</v>
      </c>
      <c r="L35" s="446">
        <v>41167.572222222225</v>
      </c>
      <c r="M35" s="94">
        <f t="shared" si="1"/>
        <v>5.4833333333954215</v>
      </c>
      <c r="N35" s="95">
        <f t="shared" si="2"/>
        <v>329</v>
      </c>
      <c r="O35" s="93" t="s">
        <v>143</v>
      </c>
      <c r="P35" s="444" t="s">
        <v>145</v>
      </c>
      <c r="Q35" s="97">
        <f t="shared" si="3"/>
        <v>10</v>
      </c>
      <c r="R35" s="98">
        <f t="shared" si="4"/>
        <v>55.89217661923524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41" t="s">
        <v>144</v>
      </c>
      <c r="AC35" s="106">
        <f t="shared" si="14"/>
        <v>55.89217661923524</v>
      </c>
      <c r="AD35" s="107"/>
    </row>
    <row r="36" spans="2:30" s="1" customFormat="1" ht="16.5" customHeight="1">
      <c r="B36" s="108"/>
      <c r="C36" s="79">
        <v>34</v>
      </c>
      <c r="D36" s="79">
        <v>251828</v>
      </c>
      <c r="E36" s="79" t="s">
        <v>285</v>
      </c>
      <c r="F36" s="77" t="s">
        <v>286</v>
      </c>
      <c r="G36" s="77">
        <v>132</v>
      </c>
      <c r="H36" s="90">
        <v>16.33</v>
      </c>
      <c r="I36" s="91" t="s">
        <v>164</v>
      </c>
      <c r="J36" s="92">
        <f t="shared" si="0"/>
        <v>49.6075</v>
      </c>
      <c r="K36" s="446">
        <v>41168.29652777778</v>
      </c>
      <c r="L36" s="446">
        <v>41168.72638888889</v>
      </c>
      <c r="M36" s="94">
        <f t="shared" si="1"/>
        <v>10.31666666676756</v>
      </c>
      <c r="N36" s="95">
        <f t="shared" si="2"/>
        <v>619</v>
      </c>
      <c r="O36" s="93" t="s">
        <v>143</v>
      </c>
      <c r="P36" s="444" t="s">
        <v>145</v>
      </c>
      <c r="Q36" s="97">
        <f t="shared" si="3"/>
        <v>150</v>
      </c>
      <c r="R36" s="98">
        <f t="shared" si="4"/>
        <v>767.9241000000001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41" t="s">
        <v>144</v>
      </c>
      <c r="AC36" s="106">
        <f t="shared" si="14"/>
        <v>767.9241000000001</v>
      </c>
      <c r="AD36" s="107"/>
    </row>
    <row r="37" spans="2:30" s="1" customFormat="1" ht="16.5" customHeight="1">
      <c r="B37" s="108"/>
      <c r="C37" s="79">
        <v>35</v>
      </c>
      <c r="D37" s="79">
        <v>251995</v>
      </c>
      <c r="E37" s="79">
        <v>1409</v>
      </c>
      <c r="F37" s="77" t="s">
        <v>158</v>
      </c>
      <c r="G37" s="77">
        <v>132</v>
      </c>
      <c r="H37" s="90">
        <v>69.0999984741211</v>
      </c>
      <c r="I37" s="91" t="s">
        <v>142</v>
      </c>
      <c r="J37" s="92">
        <f t="shared" si="0"/>
        <v>137.11512697219848</v>
      </c>
      <c r="K37" s="446">
        <v>41169.42013888889</v>
      </c>
      <c r="L37" s="446">
        <v>41169.74930555555</v>
      </c>
      <c r="M37" s="94">
        <f t="shared" si="1"/>
        <v>7.899999999906868</v>
      </c>
      <c r="N37" s="95">
        <f t="shared" si="2"/>
        <v>474</v>
      </c>
      <c r="O37" s="93" t="s">
        <v>143</v>
      </c>
      <c r="P37" s="444" t="s">
        <v>145</v>
      </c>
      <c r="Q37" s="97">
        <f t="shared" si="3"/>
        <v>10</v>
      </c>
      <c r="R37" s="98">
        <f t="shared" si="4"/>
        <v>108.32095030803681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41" t="s">
        <v>144</v>
      </c>
      <c r="AC37" s="106">
        <f t="shared" si="14"/>
        <v>108.32095030803681</v>
      </c>
      <c r="AD37" s="107"/>
    </row>
    <row r="38" spans="2:30" s="1" customFormat="1" ht="16.5" customHeight="1">
      <c r="B38" s="108"/>
      <c r="C38" s="79">
        <v>36</v>
      </c>
      <c r="D38" s="79">
        <v>251996</v>
      </c>
      <c r="E38" s="79">
        <v>2617</v>
      </c>
      <c r="F38" s="77" t="s">
        <v>154</v>
      </c>
      <c r="G38" s="77">
        <v>132</v>
      </c>
      <c r="H38" s="90">
        <v>2.700000047683716</v>
      </c>
      <c r="I38" s="91" t="s">
        <v>142</v>
      </c>
      <c r="J38" s="92">
        <f t="shared" si="0"/>
        <v>49.6075</v>
      </c>
      <c r="K38" s="446">
        <v>41169.4375</v>
      </c>
      <c r="L38" s="446">
        <v>41169.600694444445</v>
      </c>
      <c r="M38" s="94">
        <f t="shared" si="1"/>
        <v>3.916666666686069</v>
      </c>
      <c r="N38" s="95">
        <f t="shared" si="2"/>
        <v>235</v>
      </c>
      <c r="O38" s="93" t="s">
        <v>143</v>
      </c>
      <c r="P38" s="444" t="s">
        <v>145</v>
      </c>
      <c r="Q38" s="97">
        <f t="shared" si="3"/>
        <v>10</v>
      </c>
      <c r="R38" s="98">
        <f t="shared" si="4"/>
        <v>19.44614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41" t="s">
        <v>144</v>
      </c>
      <c r="AC38" s="106">
        <v>0</v>
      </c>
      <c r="AD38" s="107"/>
    </row>
    <row r="39" spans="2:30" s="1" customFormat="1" ht="16.5" customHeight="1">
      <c r="B39" s="108"/>
      <c r="C39" s="79">
        <v>37</v>
      </c>
      <c r="D39" s="79">
        <v>251997</v>
      </c>
      <c r="E39" s="79">
        <v>1410</v>
      </c>
      <c r="F39" s="77" t="s">
        <v>162</v>
      </c>
      <c r="G39" s="77">
        <v>132</v>
      </c>
      <c r="H39" s="90">
        <v>41.29999923706055</v>
      </c>
      <c r="I39" s="91" t="s">
        <v>149</v>
      </c>
      <c r="J39" s="92">
        <f t="shared" si="0"/>
        <v>81.95158848609924</v>
      </c>
      <c r="K39" s="446">
        <v>41170.29375</v>
      </c>
      <c r="L39" s="446">
        <v>41170.407638888886</v>
      </c>
      <c r="M39" s="94">
        <f t="shared" si="1"/>
        <v>2.733333333337214</v>
      </c>
      <c r="N39" s="95">
        <f t="shared" si="2"/>
        <v>164</v>
      </c>
      <c r="O39" s="93" t="s">
        <v>143</v>
      </c>
      <c r="P39" s="444" t="s">
        <v>145</v>
      </c>
      <c r="Q39" s="97">
        <f t="shared" si="3"/>
        <v>50</v>
      </c>
      <c r="R39" s="98">
        <f t="shared" si="4"/>
        <v>111.86391828352548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41" t="s">
        <v>144</v>
      </c>
      <c r="AC39" s="106">
        <f t="shared" si="14"/>
        <v>111.86391828352548</v>
      </c>
      <c r="AD39" s="107"/>
    </row>
    <row r="40" spans="2:30" s="1" customFormat="1" ht="16.5" customHeight="1">
      <c r="B40" s="108"/>
      <c r="C40" s="79">
        <v>38</v>
      </c>
      <c r="D40" s="79">
        <v>252002</v>
      </c>
      <c r="E40" s="79">
        <v>1409</v>
      </c>
      <c r="F40" s="77" t="s">
        <v>158</v>
      </c>
      <c r="G40" s="77">
        <v>132</v>
      </c>
      <c r="H40" s="90">
        <v>69.0999984741211</v>
      </c>
      <c r="I40" s="91" t="s">
        <v>142</v>
      </c>
      <c r="J40" s="92">
        <f t="shared" si="0"/>
        <v>137.11512697219848</v>
      </c>
      <c r="K40" s="446">
        <v>41170.41111111111</v>
      </c>
      <c r="L40" s="446">
        <v>41170.709027777775</v>
      </c>
      <c r="M40" s="94">
        <f t="shared" si="1"/>
        <v>7.149999999906868</v>
      </c>
      <c r="N40" s="95">
        <f t="shared" si="2"/>
        <v>429</v>
      </c>
      <c r="O40" s="93" t="s">
        <v>143</v>
      </c>
      <c r="P40" s="444" t="s">
        <v>145</v>
      </c>
      <c r="Q40" s="97">
        <f t="shared" si="3"/>
        <v>10</v>
      </c>
      <c r="R40" s="98">
        <f t="shared" si="4"/>
        <v>98.03731578512192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41" t="s">
        <v>144</v>
      </c>
      <c r="AC40" s="106">
        <f t="shared" si="14"/>
        <v>98.03731578512192</v>
      </c>
      <c r="AD40" s="107"/>
    </row>
    <row r="41" spans="2:30" s="1" customFormat="1" ht="16.5" customHeight="1" thickBot="1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6.5" customHeight="1" thickBot="1" thickTop="1">
      <c r="B42" s="13"/>
      <c r="C42" s="452" t="s">
        <v>296</v>
      </c>
      <c r="D42" s="451" t="s">
        <v>297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5" ref="R42:AA42">SUM(R19:R41)</f>
        <v>2970.710987009992</v>
      </c>
      <c r="S42" s="119">
        <f t="shared" si="15"/>
        <v>0</v>
      </c>
      <c r="T42" s="120">
        <f t="shared" si="15"/>
        <v>0</v>
      </c>
      <c r="U42" s="120">
        <f t="shared" si="15"/>
        <v>0</v>
      </c>
      <c r="V42" s="120">
        <f t="shared" si="15"/>
        <v>0</v>
      </c>
      <c r="W42" s="121">
        <f t="shared" si="15"/>
        <v>0</v>
      </c>
      <c r="X42" s="121">
        <f t="shared" si="15"/>
        <v>0</v>
      </c>
      <c r="Y42" s="121">
        <f t="shared" si="15"/>
        <v>0</v>
      </c>
      <c r="Z42" s="122">
        <f t="shared" si="15"/>
        <v>0</v>
      </c>
      <c r="AA42" s="123">
        <f t="shared" si="15"/>
        <v>0</v>
      </c>
      <c r="AB42" s="124"/>
      <c r="AC42" s="417">
        <f>ROUND(SUM(AC19:AC41),2)</f>
        <v>25193.5</v>
      </c>
      <c r="AD42" s="125"/>
    </row>
    <row r="43" spans="2:30" s="126" customFormat="1" ht="9.75" thickTop="1">
      <c r="B43" s="127"/>
      <c r="C43" s="128"/>
      <c r="D43" s="128"/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" customFormat="1" ht="16.5" customHeight="1" thickBo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</row>
    <row r="45" spans="2:30" ht="13.5" thickTop="1">
      <c r="B45" s="142"/>
      <c r="AD45" s="142"/>
    </row>
    <row r="90" ht="12.75">
      <c r="B90" s="142"/>
    </row>
  </sheetData>
  <printOptions/>
  <pageMargins left="0.2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D90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9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'TOT-0912'!B2</f>
        <v>ANEXO IV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+'TOT-0912'!B14</f>
        <v>Desde el 01 al 30 de septiembre de 2012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207.657</v>
      </c>
      <c r="H14" s="37"/>
      <c r="I14" s="38"/>
      <c r="J14" s="34"/>
      <c r="K14" s="34"/>
      <c r="L14" s="39" t="s">
        <v>8</v>
      </c>
      <c r="M14" s="40">
        <f>150*'TOT-0912'!B13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198.43</v>
      </c>
      <c r="H15" s="42"/>
      <c r="I15" s="43"/>
      <c r="J15" s="7"/>
      <c r="K15" s="44"/>
      <c r="L15" s="39" t="s">
        <v>10</v>
      </c>
      <c r="M15" s="40">
        <f>50*'TOT-0912'!B13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198.43</v>
      </c>
      <c r="H16" s="42"/>
      <c r="I16" s="43"/>
      <c r="J16" s="7"/>
      <c r="K16" s="7"/>
      <c r="L16" s="39" t="s">
        <v>12</v>
      </c>
      <c r="M16" s="40">
        <f>10*'TOT-0912'!B13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36">
        <v>3</v>
      </c>
      <c r="D17" s="436">
        <v>4</v>
      </c>
      <c r="E17" s="436">
        <v>5</v>
      </c>
      <c r="F17" s="436">
        <v>6</v>
      </c>
      <c r="G17" s="436">
        <v>7</v>
      </c>
      <c r="H17" s="436">
        <v>8</v>
      </c>
      <c r="I17" s="436">
        <v>9</v>
      </c>
      <c r="J17" s="436">
        <v>10</v>
      </c>
      <c r="K17" s="436">
        <v>11</v>
      </c>
      <c r="L17" s="436">
        <v>12</v>
      </c>
      <c r="M17" s="436">
        <v>13</v>
      </c>
      <c r="N17" s="436">
        <v>14</v>
      </c>
      <c r="O17" s="436">
        <v>15</v>
      </c>
      <c r="P17" s="436">
        <v>16</v>
      </c>
      <c r="Q17" s="436">
        <v>17</v>
      </c>
      <c r="R17" s="436">
        <v>18</v>
      </c>
      <c r="S17" s="436">
        <v>19</v>
      </c>
      <c r="T17" s="436">
        <v>20</v>
      </c>
      <c r="U17" s="436">
        <v>21</v>
      </c>
      <c r="V17" s="436">
        <v>22</v>
      </c>
      <c r="W17" s="436">
        <v>23</v>
      </c>
      <c r="X17" s="436">
        <v>24</v>
      </c>
      <c r="Y17" s="436">
        <v>25</v>
      </c>
      <c r="Z17" s="436">
        <v>26</v>
      </c>
      <c r="AA17" s="436">
        <v>27</v>
      </c>
      <c r="AB17" s="436">
        <v>28</v>
      </c>
      <c r="AC17" s="436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82</v>
      </c>
      <c r="E18" s="421" t="s">
        <v>83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66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'LI-09 (2)'!AC42</f>
        <v>25193.5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46"/>
      <c r="L20" s="447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39</v>
      </c>
      <c r="D21" s="79">
        <v>252008</v>
      </c>
      <c r="E21" s="79">
        <v>1439</v>
      </c>
      <c r="F21" s="77" t="s">
        <v>159</v>
      </c>
      <c r="G21" s="77">
        <v>132</v>
      </c>
      <c r="H21" s="90">
        <v>102.5999984741211</v>
      </c>
      <c r="I21" s="91" t="s">
        <v>142</v>
      </c>
      <c r="J21" s="92">
        <f aca="true" t="shared" si="0" ref="J21:J40">IF(G21=220,$G$14,IF(G21=132,$G$15,$G$16))*IF(H21&gt;25,H21,25)/100</f>
        <v>203.58917697219852</v>
      </c>
      <c r="K21" s="446">
        <v>41171.4125</v>
      </c>
      <c r="L21" s="446">
        <v>41171.51527777778</v>
      </c>
      <c r="M21" s="94">
        <f aca="true" t="shared" si="1" ref="M21:M40">IF(F21="","",(L21-K21)*24)</f>
        <v>2.4666666666744277</v>
      </c>
      <c r="N21" s="95">
        <f aca="true" t="shared" si="2" ref="N21:N40">IF(F21="","",ROUND((L21-K21)*24*60,0))</f>
        <v>148</v>
      </c>
      <c r="O21" s="96" t="s">
        <v>153</v>
      </c>
      <c r="P21" s="444" t="s">
        <v>145</v>
      </c>
      <c r="Q21" s="97">
        <f aca="true" t="shared" si="3" ref="Q21:Q40">IF(I21="A",$M$14,IF(I21="B",$M$15,$M$16))</f>
        <v>10</v>
      </c>
      <c r="R21" s="98" t="str">
        <f aca="true" t="shared" si="4" ref="R21:R40">IF(O21="P",ROUND(N21/60,2)*J21*Q21*0.01,"--")</f>
        <v>--</v>
      </c>
      <c r="S21" s="99" t="str">
        <f aca="true" t="shared" si="5" ref="S21:S40">IF(O21="RP",ROUND(N21/60,2)*J21*Q21*0.01*P21/100,"--")</f>
        <v>--</v>
      </c>
      <c r="T21" s="100">
        <f aca="true" t="shared" si="6" ref="T21:T40">IF(O21="F",J21*Q21,"--")</f>
        <v>2035.8917697219852</v>
      </c>
      <c r="U21" s="100">
        <f aca="true" t="shared" si="7" ref="U21:U40">IF(AND(N21&gt;10,O21="F"),J21*Q21*IF(N21&gt;180,3,ROUND((N21)/60,2)),"--")</f>
        <v>5028.652671213304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41" t="s">
        <v>144</v>
      </c>
      <c r="AC21" s="106">
        <f aca="true" t="shared" si="14" ref="AC21:AC40">IF(F21="","",SUM(R21:AA21)*IF(AB21="SI",1,2))</f>
        <v>7064.544440935289</v>
      </c>
      <c r="AD21" s="107"/>
    </row>
    <row r="22" spans="2:30" s="1" customFormat="1" ht="16.5" customHeight="1">
      <c r="B22" s="13"/>
      <c r="C22" s="79">
        <v>40</v>
      </c>
      <c r="D22" s="79">
        <v>252011</v>
      </c>
      <c r="E22" s="79">
        <v>5042</v>
      </c>
      <c r="F22" s="77" t="s">
        <v>287</v>
      </c>
      <c r="G22" s="77">
        <v>132</v>
      </c>
      <c r="H22" s="90">
        <v>1.31</v>
      </c>
      <c r="I22" s="91" t="s">
        <v>142</v>
      </c>
      <c r="J22" s="92">
        <f t="shared" si="0"/>
        <v>49.6075</v>
      </c>
      <c r="K22" s="446">
        <v>41172.3625</v>
      </c>
      <c r="L22" s="446">
        <v>41172.652083333334</v>
      </c>
      <c r="M22" s="94">
        <f t="shared" si="1"/>
        <v>6.949999999953434</v>
      </c>
      <c r="N22" s="95">
        <f t="shared" si="2"/>
        <v>417</v>
      </c>
      <c r="O22" s="96" t="s">
        <v>143</v>
      </c>
      <c r="P22" s="444" t="s">
        <v>145</v>
      </c>
      <c r="Q22" s="97">
        <f t="shared" si="3"/>
        <v>10</v>
      </c>
      <c r="R22" s="98">
        <f t="shared" si="4"/>
        <v>34.4772125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41" t="s">
        <v>144</v>
      </c>
      <c r="AC22" s="106">
        <f t="shared" si="14"/>
        <v>34.4772125</v>
      </c>
      <c r="AD22" s="107"/>
    </row>
    <row r="23" spans="2:30" s="1" customFormat="1" ht="16.5" customHeight="1">
      <c r="B23" s="13"/>
      <c r="C23" s="79">
        <v>41</v>
      </c>
      <c r="D23" s="79">
        <v>252012</v>
      </c>
      <c r="E23" s="79">
        <v>1424</v>
      </c>
      <c r="F23" s="77" t="s">
        <v>165</v>
      </c>
      <c r="G23" s="77">
        <v>132</v>
      </c>
      <c r="H23" s="90">
        <v>22.100000381469727</v>
      </c>
      <c r="I23" s="91" t="s">
        <v>142</v>
      </c>
      <c r="J23" s="92">
        <f t="shared" si="0"/>
        <v>49.6075</v>
      </c>
      <c r="K23" s="446">
        <v>41172.36666666667</v>
      </c>
      <c r="L23" s="446">
        <v>41172.645833333336</v>
      </c>
      <c r="M23" s="94">
        <f t="shared" si="1"/>
        <v>6.7000000000116415</v>
      </c>
      <c r="N23" s="95">
        <f t="shared" si="2"/>
        <v>402</v>
      </c>
      <c r="O23" s="96" t="s">
        <v>143</v>
      </c>
      <c r="P23" s="444" t="s">
        <v>145</v>
      </c>
      <c r="Q23" s="97">
        <f t="shared" si="3"/>
        <v>10</v>
      </c>
      <c r="R23" s="98">
        <f t="shared" si="4"/>
        <v>33.237025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41" t="s">
        <v>144</v>
      </c>
      <c r="AC23" s="106">
        <f t="shared" si="14"/>
        <v>33.237025</v>
      </c>
      <c r="AD23" s="107"/>
    </row>
    <row r="24" spans="2:30" s="1" customFormat="1" ht="16.5" customHeight="1">
      <c r="B24" s="13"/>
      <c r="C24" s="79">
        <v>42</v>
      </c>
      <c r="D24" s="79">
        <v>252019</v>
      </c>
      <c r="E24" s="79">
        <v>1424</v>
      </c>
      <c r="F24" s="77" t="s">
        <v>165</v>
      </c>
      <c r="G24" s="77">
        <v>132</v>
      </c>
      <c r="H24" s="90">
        <v>22.100000381469727</v>
      </c>
      <c r="I24" s="91" t="s">
        <v>142</v>
      </c>
      <c r="J24" s="92">
        <f t="shared" si="0"/>
        <v>49.6075</v>
      </c>
      <c r="K24" s="446">
        <v>41173.356944444444</v>
      </c>
      <c r="L24" s="446">
        <v>41173.61388888889</v>
      </c>
      <c r="M24" s="94">
        <f t="shared" si="1"/>
        <v>6.166666666686069</v>
      </c>
      <c r="N24" s="95">
        <f t="shared" si="2"/>
        <v>370</v>
      </c>
      <c r="O24" s="96" t="s">
        <v>143</v>
      </c>
      <c r="P24" s="444" t="s">
        <v>145</v>
      </c>
      <c r="Q24" s="97">
        <f t="shared" si="3"/>
        <v>10</v>
      </c>
      <c r="R24" s="98">
        <f t="shared" si="4"/>
        <v>30.607827500000003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41" t="s">
        <v>144</v>
      </c>
      <c r="AC24" s="106">
        <f t="shared" si="14"/>
        <v>30.607827500000003</v>
      </c>
      <c r="AD24" s="107"/>
    </row>
    <row r="25" spans="2:30" s="1" customFormat="1" ht="16.5" customHeight="1">
      <c r="B25" s="13"/>
      <c r="C25" s="79">
        <v>43</v>
      </c>
      <c r="D25" s="79">
        <v>252020</v>
      </c>
      <c r="E25" s="79">
        <v>5042</v>
      </c>
      <c r="F25" s="77" t="s">
        <v>287</v>
      </c>
      <c r="G25" s="77">
        <v>132</v>
      </c>
      <c r="H25" s="90">
        <v>1.31</v>
      </c>
      <c r="I25" s="91" t="s">
        <v>142</v>
      </c>
      <c r="J25" s="92">
        <f t="shared" si="0"/>
        <v>49.6075</v>
      </c>
      <c r="K25" s="446">
        <v>41173.37013888889</v>
      </c>
      <c r="L25" s="446">
        <v>41173.60625</v>
      </c>
      <c r="M25" s="94">
        <f t="shared" si="1"/>
        <v>5.666666666627862</v>
      </c>
      <c r="N25" s="95">
        <f t="shared" si="2"/>
        <v>340</v>
      </c>
      <c r="O25" s="96" t="s">
        <v>143</v>
      </c>
      <c r="P25" s="444" t="s">
        <v>145</v>
      </c>
      <c r="Q25" s="97">
        <f t="shared" si="3"/>
        <v>10</v>
      </c>
      <c r="R25" s="98">
        <f t="shared" si="4"/>
        <v>28.1274525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41" t="s">
        <v>144</v>
      </c>
      <c r="AC25" s="106">
        <f t="shared" si="14"/>
        <v>28.1274525</v>
      </c>
      <c r="AD25" s="107"/>
    </row>
    <row r="26" spans="2:30" s="1" customFormat="1" ht="16.5" customHeight="1">
      <c r="B26" s="13"/>
      <c r="C26" s="79">
        <v>44</v>
      </c>
      <c r="D26" s="79">
        <v>252022</v>
      </c>
      <c r="E26" s="79">
        <v>1416</v>
      </c>
      <c r="F26" s="77" t="s">
        <v>166</v>
      </c>
      <c r="G26" s="77">
        <v>132</v>
      </c>
      <c r="H26" s="90">
        <v>109.4000015258789</v>
      </c>
      <c r="I26" s="91" t="s">
        <v>142</v>
      </c>
      <c r="J26" s="92">
        <f t="shared" si="0"/>
        <v>217.08242302780152</v>
      </c>
      <c r="K26" s="446">
        <v>41173.37430555555</v>
      </c>
      <c r="L26" s="446">
        <v>41173.61041666667</v>
      </c>
      <c r="M26" s="94">
        <f t="shared" si="1"/>
        <v>5.6666666668024845</v>
      </c>
      <c r="N26" s="95">
        <f t="shared" si="2"/>
        <v>340</v>
      </c>
      <c r="O26" s="93" t="s">
        <v>143</v>
      </c>
      <c r="P26" s="444" t="s">
        <v>145</v>
      </c>
      <c r="Q26" s="97">
        <f t="shared" si="3"/>
        <v>10</v>
      </c>
      <c r="R26" s="98">
        <f t="shared" si="4"/>
        <v>123.08573385676345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41" t="s">
        <v>144</v>
      </c>
      <c r="AC26" s="106">
        <f t="shared" si="14"/>
        <v>123.08573385676345</v>
      </c>
      <c r="AD26" s="107"/>
    </row>
    <row r="27" spans="2:30" s="1" customFormat="1" ht="16.5" customHeight="1">
      <c r="B27" s="13"/>
      <c r="C27" s="79">
        <v>45</v>
      </c>
      <c r="D27" s="79">
        <v>252028</v>
      </c>
      <c r="E27" s="79">
        <v>1529</v>
      </c>
      <c r="F27" s="77" t="s">
        <v>167</v>
      </c>
      <c r="G27" s="77">
        <v>132</v>
      </c>
      <c r="H27" s="90">
        <v>103.29000091552734</v>
      </c>
      <c r="I27" s="91" t="s">
        <v>164</v>
      </c>
      <c r="J27" s="92">
        <f t="shared" si="0"/>
        <v>204.9583488166809</v>
      </c>
      <c r="K27" s="446">
        <v>41174.34861111111</v>
      </c>
      <c r="L27" s="446">
        <v>41174.745833333334</v>
      </c>
      <c r="M27" s="94">
        <f t="shared" si="1"/>
        <v>9.533333333325572</v>
      </c>
      <c r="N27" s="95">
        <f t="shared" si="2"/>
        <v>572</v>
      </c>
      <c r="O27" s="93" t="s">
        <v>143</v>
      </c>
      <c r="P27" s="444" t="s">
        <v>145</v>
      </c>
      <c r="Q27" s="97">
        <f t="shared" si="3"/>
        <v>150</v>
      </c>
      <c r="R27" s="98">
        <f t="shared" si="4"/>
        <v>2929.8795963344537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41" t="s">
        <v>144</v>
      </c>
      <c r="AC27" s="106">
        <f t="shared" si="14"/>
        <v>2929.8795963344537</v>
      </c>
      <c r="AD27" s="107"/>
    </row>
    <row r="28" spans="2:30" s="1" customFormat="1" ht="16.5" customHeight="1">
      <c r="B28" s="13"/>
      <c r="C28" s="79">
        <v>46</v>
      </c>
      <c r="D28" s="79">
        <v>252029</v>
      </c>
      <c r="E28" s="79">
        <v>2621</v>
      </c>
      <c r="F28" s="77" t="s">
        <v>168</v>
      </c>
      <c r="G28" s="77">
        <v>132</v>
      </c>
      <c r="H28" s="90">
        <v>43</v>
      </c>
      <c r="I28" s="91" t="s">
        <v>164</v>
      </c>
      <c r="J28" s="92">
        <f t="shared" si="0"/>
        <v>85.3249</v>
      </c>
      <c r="K28" s="446">
        <v>41175.275</v>
      </c>
      <c r="L28" s="446">
        <v>41175.77569444444</v>
      </c>
      <c r="M28" s="94">
        <f t="shared" si="1"/>
        <v>12.01666666654637</v>
      </c>
      <c r="N28" s="95">
        <f t="shared" si="2"/>
        <v>721</v>
      </c>
      <c r="O28" s="93" t="s">
        <v>143</v>
      </c>
      <c r="P28" s="444" t="s">
        <v>145</v>
      </c>
      <c r="Q28" s="97">
        <f t="shared" si="3"/>
        <v>150</v>
      </c>
      <c r="R28" s="98">
        <f t="shared" si="4"/>
        <v>1538.407947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41" t="s">
        <v>144</v>
      </c>
      <c r="AC28" s="106">
        <f t="shared" si="14"/>
        <v>1538.407947</v>
      </c>
      <c r="AD28" s="107"/>
    </row>
    <row r="29" spans="2:30" s="1" customFormat="1" ht="16.5" customHeight="1">
      <c r="B29" s="13"/>
      <c r="C29" s="79">
        <v>47</v>
      </c>
      <c r="D29" s="79">
        <v>252030</v>
      </c>
      <c r="E29" s="79">
        <v>1529</v>
      </c>
      <c r="F29" s="77" t="s">
        <v>167</v>
      </c>
      <c r="G29" s="77">
        <v>132</v>
      </c>
      <c r="H29" s="90">
        <v>103.29000091552734</v>
      </c>
      <c r="I29" s="91" t="s">
        <v>164</v>
      </c>
      <c r="J29" s="92">
        <f t="shared" si="0"/>
        <v>204.9583488166809</v>
      </c>
      <c r="K29" s="446">
        <v>41175.336805555555</v>
      </c>
      <c r="L29" s="446">
        <v>41175.66875</v>
      </c>
      <c r="M29" s="94">
        <f t="shared" si="1"/>
        <v>7.96666666661622</v>
      </c>
      <c r="N29" s="95">
        <f t="shared" si="2"/>
        <v>478</v>
      </c>
      <c r="O29" s="93" t="s">
        <v>143</v>
      </c>
      <c r="P29" s="444" t="s">
        <v>145</v>
      </c>
      <c r="Q29" s="97">
        <f t="shared" si="3"/>
        <v>150</v>
      </c>
      <c r="R29" s="98">
        <f t="shared" si="4"/>
        <v>2450.2770601034204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41" t="s">
        <v>144</v>
      </c>
      <c r="AC29" s="106">
        <f t="shared" si="14"/>
        <v>2450.2770601034204</v>
      </c>
      <c r="AD29" s="107"/>
    </row>
    <row r="30" spans="2:30" s="1" customFormat="1" ht="16.5" customHeight="1">
      <c r="B30" s="13"/>
      <c r="C30" s="79">
        <v>48</v>
      </c>
      <c r="D30" s="79">
        <v>252219</v>
      </c>
      <c r="E30" s="79">
        <v>4888</v>
      </c>
      <c r="F30" s="77" t="s">
        <v>288</v>
      </c>
      <c r="G30" s="77">
        <v>132</v>
      </c>
      <c r="H30" s="90">
        <v>16.8</v>
      </c>
      <c r="I30" s="91" t="s">
        <v>142</v>
      </c>
      <c r="J30" s="92">
        <f t="shared" si="0"/>
        <v>49.6075</v>
      </c>
      <c r="K30" s="446">
        <v>41177.35902777778</v>
      </c>
      <c r="L30" s="446">
        <v>41177.62291666667</v>
      </c>
      <c r="M30" s="94">
        <f t="shared" si="1"/>
        <v>6.333333333372138</v>
      </c>
      <c r="N30" s="95">
        <f t="shared" si="2"/>
        <v>380</v>
      </c>
      <c r="O30" s="93" t="s">
        <v>143</v>
      </c>
      <c r="P30" s="444" t="s">
        <v>145</v>
      </c>
      <c r="Q30" s="97">
        <f t="shared" si="3"/>
        <v>10</v>
      </c>
      <c r="R30" s="98">
        <f t="shared" si="4"/>
        <v>31.401547500000007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41" t="s">
        <v>144</v>
      </c>
      <c r="AC30" s="106">
        <f t="shared" si="14"/>
        <v>31.401547500000007</v>
      </c>
      <c r="AD30" s="107"/>
    </row>
    <row r="31" spans="2:30" s="1" customFormat="1" ht="16.5" customHeight="1">
      <c r="B31" s="13"/>
      <c r="C31" s="79">
        <v>49</v>
      </c>
      <c r="D31" s="79">
        <v>252228</v>
      </c>
      <c r="E31" s="79">
        <v>4888</v>
      </c>
      <c r="F31" s="77" t="s">
        <v>288</v>
      </c>
      <c r="G31" s="77">
        <v>132</v>
      </c>
      <c r="H31" s="90">
        <v>16.8</v>
      </c>
      <c r="I31" s="91" t="s">
        <v>142</v>
      </c>
      <c r="J31" s="92">
        <f t="shared" si="0"/>
        <v>49.6075</v>
      </c>
      <c r="K31" s="446">
        <v>41178.36597222222</v>
      </c>
      <c r="L31" s="446">
        <v>41178.631944444445</v>
      </c>
      <c r="M31" s="94">
        <f t="shared" si="1"/>
        <v>6.383333333360497</v>
      </c>
      <c r="N31" s="95">
        <f t="shared" si="2"/>
        <v>383</v>
      </c>
      <c r="O31" s="93" t="s">
        <v>143</v>
      </c>
      <c r="P31" s="444" t="s">
        <v>145</v>
      </c>
      <c r="Q31" s="97">
        <f t="shared" si="3"/>
        <v>10</v>
      </c>
      <c r="R31" s="98">
        <f t="shared" si="4"/>
        <v>31.649585000000002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41" t="s">
        <v>144</v>
      </c>
      <c r="AC31" s="106">
        <f t="shared" si="14"/>
        <v>31.649585000000002</v>
      </c>
      <c r="AD31" s="107"/>
    </row>
    <row r="32" spans="2:30" s="1" customFormat="1" ht="16.5" customHeight="1">
      <c r="B32" s="13"/>
      <c r="C32" s="79">
        <v>50</v>
      </c>
      <c r="D32" s="79">
        <v>252229</v>
      </c>
      <c r="E32" s="79">
        <v>1536</v>
      </c>
      <c r="F32" s="77" t="s">
        <v>169</v>
      </c>
      <c r="G32" s="77">
        <v>66</v>
      </c>
      <c r="H32" s="90">
        <v>46.79999923706055</v>
      </c>
      <c r="I32" s="91" t="s">
        <v>142</v>
      </c>
      <c r="J32" s="92">
        <f t="shared" si="0"/>
        <v>92.86523848609924</v>
      </c>
      <c r="K32" s="446">
        <v>41178.37986111111</v>
      </c>
      <c r="L32" s="446">
        <v>41178.60902777778</v>
      </c>
      <c r="M32" s="94">
        <f t="shared" si="1"/>
        <v>5.499999999941792</v>
      </c>
      <c r="N32" s="95">
        <f t="shared" si="2"/>
        <v>330</v>
      </c>
      <c r="O32" s="93" t="s">
        <v>143</v>
      </c>
      <c r="P32" s="444" t="s">
        <v>145</v>
      </c>
      <c r="Q32" s="97">
        <f t="shared" si="3"/>
        <v>10</v>
      </c>
      <c r="R32" s="98">
        <f t="shared" si="4"/>
        <v>51.07588116735458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41" t="s">
        <v>144</v>
      </c>
      <c r="AC32" s="106">
        <f t="shared" si="14"/>
        <v>51.07588116735458</v>
      </c>
      <c r="AD32" s="107"/>
    </row>
    <row r="33" spans="2:30" s="1" customFormat="1" ht="16.5" customHeight="1">
      <c r="B33" s="13"/>
      <c r="C33" s="79">
        <v>51</v>
      </c>
      <c r="D33" s="79">
        <v>252230</v>
      </c>
      <c r="E33" s="79">
        <v>1421</v>
      </c>
      <c r="F33" s="77" t="s">
        <v>170</v>
      </c>
      <c r="G33" s="77">
        <v>66</v>
      </c>
      <c r="H33" s="90">
        <v>31.899999618530273</v>
      </c>
      <c r="I33" s="91" t="s">
        <v>142</v>
      </c>
      <c r="J33" s="92">
        <f t="shared" si="0"/>
        <v>63.299169243049626</v>
      </c>
      <c r="K33" s="446">
        <v>41178.385416666664</v>
      </c>
      <c r="L33" s="446">
        <v>41178.62430555555</v>
      </c>
      <c r="M33" s="94">
        <f t="shared" si="1"/>
        <v>5.733333333337214</v>
      </c>
      <c r="N33" s="95">
        <f t="shared" si="2"/>
        <v>344</v>
      </c>
      <c r="O33" s="93" t="s">
        <v>143</v>
      </c>
      <c r="P33" s="444" t="s">
        <v>145</v>
      </c>
      <c r="Q33" s="97">
        <f t="shared" si="3"/>
        <v>10</v>
      </c>
      <c r="R33" s="98">
        <f t="shared" si="4"/>
        <v>36.27042397626744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41" t="s">
        <v>144</v>
      </c>
      <c r="AC33" s="106">
        <f t="shared" si="14"/>
        <v>36.27042397626744</v>
      </c>
      <c r="AD33" s="107"/>
    </row>
    <row r="34" spans="2:30" s="1" customFormat="1" ht="16.5" customHeight="1">
      <c r="B34" s="108"/>
      <c r="C34" s="79">
        <v>52</v>
      </c>
      <c r="D34" s="79">
        <v>252235</v>
      </c>
      <c r="E34" s="79">
        <v>1530</v>
      </c>
      <c r="F34" s="77" t="s">
        <v>155</v>
      </c>
      <c r="G34" s="77">
        <v>66</v>
      </c>
      <c r="H34" s="90">
        <v>53.099998474121094</v>
      </c>
      <c r="I34" s="91" t="s">
        <v>142</v>
      </c>
      <c r="J34" s="92">
        <f t="shared" si="0"/>
        <v>105.3663269721985</v>
      </c>
      <c r="K34" s="446">
        <v>41178.61388888889</v>
      </c>
      <c r="L34" s="446">
        <v>41178.631944444445</v>
      </c>
      <c r="M34" s="94">
        <f t="shared" si="1"/>
        <v>0.4333333333488554</v>
      </c>
      <c r="N34" s="95">
        <f t="shared" si="2"/>
        <v>26</v>
      </c>
      <c r="O34" s="93" t="s">
        <v>153</v>
      </c>
      <c r="P34" s="444" t="s">
        <v>145</v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>
        <f t="shared" si="6"/>
        <v>1053.663269721985</v>
      </c>
      <c r="U34" s="100">
        <f t="shared" si="7"/>
        <v>453.0752059804535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41" t="s">
        <v>144</v>
      </c>
      <c r="AC34" s="106">
        <f t="shared" si="14"/>
        <v>1506.7384757024386</v>
      </c>
      <c r="AD34" s="107"/>
    </row>
    <row r="35" spans="2:30" s="1" customFormat="1" ht="16.5" customHeight="1">
      <c r="B35" s="108"/>
      <c r="C35" s="79">
        <v>53</v>
      </c>
      <c r="D35" s="79">
        <v>252239</v>
      </c>
      <c r="E35" s="79">
        <v>1421</v>
      </c>
      <c r="F35" s="77" t="s">
        <v>170</v>
      </c>
      <c r="G35" s="77">
        <v>66</v>
      </c>
      <c r="H35" s="90">
        <v>31.899999618530273</v>
      </c>
      <c r="I35" s="91" t="s">
        <v>142</v>
      </c>
      <c r="J35" s="92">
        <f t="shared" si="0"/>
        <v>63.299169243049626</v>
      </c>
      <c r="K35" s="446">
        <v>41179.38888888889</v>
      </c>
      <c r="L35" s="446">
        <v>41179.623611111114</v>
      </c>
      <c r="M35" s="94">
        <f t="shared" si="1"/>
        <v>5.633333333360497</v>
      </c>
      <c r="N35" s="95">
        <f t="shared" si="2"/>
        <v>338</v>
      </c>
      <c r="O35" s="93" t="s">
        <v>143</v>
      </c>
      <c r="P35" s="444" t="s">
        <v>145</v>
      </c>
      <c r="Q35" s="97">
        <f t="shared" si="3"/>
        <v>10</v>
      </c>
      <c r="R35" s="98">
        <f t="shared" si="4"/>
        <v>35.63743228383694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41" t="s">
        <v>144</v>
      </c>
      <c r="AC35" s="106">
        <f t="shared" si="14"/>
        <v>35.63743228383694</v>
      </c>
      <c r="AD35" s="107"/>
    </row>
    <row r="36" spans="2:30" s="1" customFormat="1" ht="16.5" customHeight="1">
      <c r="B36" s="108"/>
      <c r="C36" s="79">
        <v>54</v>
      </c>
      <c r="D36" s="79">
        <v>252240</v>
      </c>
      <c r="E36" s="79" t="s">
        <v>289</v>
      </c>
      <c r="F36" s="77" t="s">
        <v>290</v>
      </c>
      <c r="G36" s="77">
        <v>132</v>
      </c>
      <c r="H36" s="90">
        <v>43</v>
      </c>
      <c r="I36" s="91" t="s">
        <v>164</v>
      </c>
      <c r="J36" s="92">
        <f t="shared" si="0"/>
        <v>85.3249</v>
      </c>
      <c r="K36" s="446">
        <v>41179.395833333336</v>
      </c>
      <c r="L36" s="446">
        <v>41179.604166666664</v>
      </c>
      <c r="M36" s="94">
        <f t="shared" si="1"/>
        <v>4.999999999883585</v>
      </c>
      <c r="N36" s="95">
        <f t="shared" si="2"/>
        <v>300</v>
      </c>
      <c r="O36" s="93" t="s">
        <v>143</v>
      </c>
      <c r="P36" s="444" t="s">
        <v>145</v>
      </c>
      <c r="Q36" s="97">
        <f t="shared" si="3"/>
        <v>150</v>
      </c>
      <c r="R36" s="98">
        <f t="shared" si="4"/>
        <v>639.9367500000001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41" t="s">
        <v>144</v>
      </c>
      <c r="AC36" s="106">
        <f t="shared" si="14"/>
        <v>639.9367500000001</v>
      </c>
      <c r="AD36" s="107"/>
    </row>
    <row r="37" spans="2:30" s="1" customFormat="1" ht="16.5" customHeight="1">
      <c r="B37" s="108"/>
      <c r="C37" s="79">
        <v>55</v>
      </c>
      <c r="D37" s="79">
        <v>252244</v>
      </c>
      <c r="E37" s="79">
        <v>4888</v>
      </c>
      <c r="F37" s="77" t="s">
        <v>288</v>
      </c>
      <c r="G37" s="77">
        <v>132</v>
      </c>
      <c r="H37" s="90">
        <v>16.8</v>
      </c>
      <c r="I37" s="91" t="s">
        <v>142</v>
      </c>
      <c r="J37" s="92">
        <f t="shared" si="0"/>
        <v>49.6075</v>
      </c>
      <c r="K37" s="446">
        <v>41180.35208333333</v>
      </c>
      <c r="L37" s="446">
        <v>41180.62986111111</v>
      </c>
      <c r="M37" s="94">
        <f t="shared" si="1"/>
        <v>6.666666666744277</v>
      </c>
      <c r="N37" s="95">
        <f t="shared" si="2"/>
        <v>400</v>
      </c>
      <c r="O37" s="93" t="s">
        <v>143</v>
      </c>
      <c r="P37" s="444" t="s">
        <v>145</v>
      </c>
      <c r="Q37" s="97">
        <f t="shared" si="3"/>
        <v>10</v>
      </c>
      <c r="R37" s="98">
        <f t="shared" si="4"/>
        <v>33.0882025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41" t="s">
        <v>144</v>
      </c>
      <c r="AC37" s="106">
        <f t="shared" si="14"/>
        <v>33.0882025</v>
      </c>
      <c r="AD37" s="107"/>
    </row>
    <row r="38" spans="2:30" s="1" customFormat="1" ht="16.5" customHeight="1">
      <c r="B38" s="108"/>
      <c r="C38" s="79">
        <v>56</v>
      </c>
      <c r="D38" s="79">
        <v>252247</v>
      </c>
      <c r="E38" s="79">
        <v>1421</v>
      </c>
      <c r="F38" s="77" t="s">
        <v>170</v>
      </c>
      <c r="G38" s="77">
        <v>66</v>
      </c>
      <c r="H38" s="90">
        <v>31.899999618530273</v>
      </c>
      <c r="I38" s="91" t="s">
        <v>142</v>
      </c>
      <c r="J38" s="92">
        <f t="shared" si="0"/>
        <v>63.299169243049626</v>
      </c>
      <c r="K38" s="446">
        <v>41180.384722222225</v>
      </c>
      <c r="L38" s="446">
        <v>41180.49722222222</v>
      </c>
      <c r="M38" s="94">
        <f t="shared" si="1"/>
        <v>2.699999999895226</v>
      </c>
      <c r="N38" s="95">
        <f t="shared" si="2"/>
        <v>162</v>
      </c>
      <c r="O38" s="93" t="s">
        <v>143</v>
      </c>
      <c r="P38" s="444" t="s">
        <v>145</v>
      </c>
      <c r="Q38" s="97">
        <f t="shared" si="3"/>
        <v>10</v>
      </c>
      <c r="R38" s="98">
        <f t="shared" si="4"/>
        <v>17.090775695623403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41" t="s">
        <v>144</v>
      </c>
      <c r="AC38" s="106">
        <f t="shared" si="14"/>
        <v>17.090775695623403</v>
      </c>
      <c r="AD38" s="107"/>
    </row>
    <row r="39" spans="2:30" s="1" customFormat="1" ht="16.5" customHeight="1">
      <c r="B39" s="108"/>
      <c r="C39" s="79"/>
      <c r="D39" s="79"/>
      <c r="E39" s="79"/>
      <c r="F39" s="77"/>
      <c r="G39" s="77"/>
      <c r="H39" s="90"/>
      <c r="I39" s="91"/>
      <c r="J39" s="92">
        <f t="shared" si="0"/>
        <v>49.6075</v>
      </c>
      <c r="K39" s="446"/>
      <c r="L39" s="446"/>
      <c r="M39" s="94">
        <f t="shared" si="1"/>
      </c>
      <c r="N39" s="95">
        <f t="shared" si="2"/>
      </c>
      <c r="O39" s="93"/>
      <c r="P39" s="440">
        <f>IF(F39="","","--")</f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41">
        <f>IF(F39="","","SI")</f>
      </c>
      <c r="AC39" s="106">
        <f t="shared" si="14"/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49.6075</v>
      </c>
      <c r="K40" s="446"/>
      <c r="L40" s="446"/>
      <c r="M40" s="94">
        <f t="shared" si="1"/>
      </c>
      <c r="N40" s="95">
        <f t="shared" si="2"/>
      </c>
      <c r="O40" s="93"/>
      <c r="P40" s="440">
        <f>IF(F40="","","--")</f>
      </c>
      <c r="Q40" s="97">
        <f t="shared" si="3"/>
        <v>10</v>
      </c>
      <c r="R40" s="98" t="str">
        <f t="shared" si="4"/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41">
        <f>IF(F40="","","SI")</f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6.5" customHeight="1" thickBot="1" thickTop="1">
      <c r="B42" s="13"/>
      <c r="C42" s="452" t="s">
        <v>296</v>
      </c>
      <c r="D42" s="451" t="s">
        <v>295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5" ref="R42:AA42">SUM(R19:R41)</f>
        <v>8044.25045291772</v>
      </c>
      <c r="S42" s="119">
        <f t="shared" si="15"/>
        <v>0</v>
      </c>
      <c r="T42" s="120">
        <f t="shared" si="15"/>
        <v>3089.55503944397</v>
      </c>
      <c r="U42" s="120">
        <f t="shared" si="15"/>
        <v>5481.727877193757</v>
      </c>
      <c r="V42" s="120">
        <f t="shared" si="15"/>
        <v>0</v>
      </c>
      <c r="W42" s="121">
        <f t="shared" si="15"/>
        <v>0</v>
      </c>
      <c r="X42" s="121">
        <f t="shared" si="15"/>
        <v>0</v>
      </c>
      <c r="Y42" s="121">
        <f t="shared" si="15"/>
        <v>0</v>
      </c>
      <c r="Z42" s="122">
        <f t="shared" si="15"/>
        <v>0</v>
      </c>
      <c r="AA42" s="123">
        <f t="shared" si="15"/>
        <v>0</v>
      </c>
      <c r="AB42" s="124"/>
      <c r="AC42" s="417">
        <f>ROUND(SUM(AC19:AC41),2)</f>
        <v>41809.03</v>
      </c>
      <c r="AD42" s="125"/>
    </row>
    <row r="43" spans="2:30" s="126" customFormat="1" ht="9.75" thickTop="1">
      <c r="B43" s="127"/>
      <c r="C43" s="128"/>
      <c r="D43" s="128"/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" customFormat="1" ht="16.5" customHeight="1" thickBo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</row>
    <row r="45" spans="2:30" ht="13.5" thickTop="1">
      <c r="B45" s="142"/>
      <c r="AD45" s="142"/>
    </row>
    <row r="90" ht="12.75">
      <c r="B90" s="142"/>
    </row>
  </sheetData>
  <printOptions/>
  <pageMargins left="0.2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D44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7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14"/>
    </row>
    <row r="2" spans="2:30" s="3" customFormat="1" ht="26.25">
      <c r="B2" s="16" t="str">
        <f>'TOT-0912'!B2</f>
        <v>ANEXO IV al Memorándum  D.T.E.E.  N°          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2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2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2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'TOT-0912'!B14</f>
        <v>Desde el 01 al 30 de septiembre de 2012</v>
      </c>
      <c r="C14" s="28"/>
      <c r="D14" s="28"/>
      <c r="E14" s="28"/>
      <c r="F14" s="166"/>
      <c r="G14" s="166"/>
      <c r="H14" s="166"/>
      <c r="I14" s="166"/>
      <c r="J14" s="166"/>
      <c r="K14" s="29"/>
      <c r="L14" s="29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315">
        <v>0.693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60*'TOT-0912'!B13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437">
        <v>23</v>
      </c>
      <c r="X18" s="437">
        <v>24</v>
      </c>
      <c r="Y18" s="437">
        <v>25</v>
      </c>
      <c r="Z18" s="437">
        <v>26</v>
      </c>
      <c r="AA18" s="437">
        <v>27</v>
      </c>
      <c r="AB18" s="437">
        <v>28</v>
      </c>
      <c r="AC18" s="437">
        <v>29</v>
      </c>
      <c r="AD18" s="158"/>
    </row>
    <row r="19" spans="2:30" s="178" customFormat="1" ht="34.5" customHeight="1" thickBot="1" thickTop="1">
      <c r="B19" s="179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8" t="s">
        <v>66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405"/>
      <c r="L20" s="406"/>
      <c r="M20" s="199"/>
      <c r="N20" s="199"/>
      <c r="O20" s="197"/>
      <c r="P20" s="197"/>
      <c r="Q20" s="197"/>
      <c r="R20" s="197"/>
      <c r="S20" s="74"/>
      <c r="T20" s="72"/>
      <c r="U20" s="200"/>
      <c r="V20" s="201"/>
      <c r="W20" s="202"/>
      <c r="X20" s="203"/>
      <c r="Y20" s="204"/>
      <c r="Z20" s="205"/>
      <c r="AA20" s="206"/>
      <c r="AB20" s="197"/>
      <c r="AC20" s="207"/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446"/>
      <c r="L21" s="447"/>
      <c r="M21" s="212"/>
      <c r="N21" s="212"/>
      <c r="O21" s="210"/>
      <c r="P21" s="210"/>
      <c r="Q21" s="210"/>
      <c r="R21" s="210"/>
      <c r="S21" s="88"/>
      <c r="T21" s="86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57</v>
      </c>
      <c r="D22" s="208">
        <v>250897</v>
      </c>
      <c r="E22" s="208">
        <v>2309</v>
      </c>
      <c r="F22" s="77" t="s">
        <v>171</v>
      </c>
      <c r="G22" s="79" t="s">
        <v>172</v>
      </c>
      <c r="H22" s="221">
        <v>30</v>
      </c>
      <c r="I22" s="90" t="s">
        <v>173</v>
      </c>
      <c r="J22" s="223">
        <f aca="true" t="shared" si="0" ref="J22:J39">H22*$I$16</f>
        <v>20.79</v>
      </c>
      <c r="K22" s="446">
        <v>41153</v>
      </c>
      <c r="L22" s="446">
        <v>41153.53611111111</v>
      </c>
      <c r="M22" s="224">
        <f aca="true" t="shared" si="1" ref="M22:M39">IF(F22="","",(L22-K22)*24)</f>
        <v>12.86666666669771</v>
      </c>
      <c r="N22" s="225">
        <f aca="true" t="shared" si="2" ref="N22:N39">IF(F22="","",ROUND((L22-K22)*24*60,0))</f>
        <v>772</v>
      </c>
      <c r="O22" s="226" t="s">
        <v>318</v>
      </c>
      <c r="P22" s="438" t="str">
        <f aca="true" t="shared" si="3" ref="P22:P39">IF(F22="","",IF(OR(O22="P",O22="RP"),"--","NO"))</f>
        <v>NO</v>
      </c>
      <c r="Q22" s="438"/>
      <c r="R22" s="438" t="s">
        <v>319</v>
      </c>
      <c r="S22" s="105">
        <f aca="true" t="shared" si="4" ref="S22:S39">$I$17*IF(OR(O22="P",O22="RP"),0.1,1)*IF(R22="SI",1,0.1)</f>
        <v>6</v>
      </c>
      <c r="T22" s="228" t="str">
        <f aca="true" t="shared" si="5" ref="T22:T39">IF(O22="P",J22*S22*ROUND(N22/60,2),"--")</f>
        <v>--</v>
      </c>
      <c r="U22" s="229" t="str">
        <f aca="true" t="shared" si="6" ref="U22:U39">IF(O22="RP",J22*S22*ROUND(N22/60,2)*Q22/100,"--")</f>
        <v>--</v>
      </c>
      <c r="V22" s="230" t="str">
        <f aca="true" t="shared" si="7" ref="V22:V39">IF(AND(O22="F",P22="NO"),J22*S22,"--")</f>
        <v>--</v>
      </c>
      <c r="W22" s="231" t="str">
        <f aca="true" t="shared" si="8" ref="W22:W39">IF(O22="F",J22*S22*ROUND(N22/60,2),"--")</f>
        <v>--</v>
      </c>
      <c r="X22" s="232" t="str">
        <f aca="true" t="shared" si="9" ref="X22:X39">IF(AND(O22="R",P22="NO"),J22*S22*Q22/100,"--")</f>
        <v>--</v>
      </c>
      <c r="Y22" s="233" t="str">
        <f aca="true" t="shared" si="10" ref="Y22:Y39">IF(O22="R",J22*S22*ROUND(N22/60,2)*Q22/100,"--")</f>
        <v>--</v>
      </c>
      <c r="Z22" s="234">
        <f aca="true" t="shared" si="11" ref="Z22:Z39">IF(O22="RF",J22*S22*ROUND(N22/60,2),"--")</f>
        <v>1605.4037999999998</v>
      </c>
      <c r="AA22" s="235" t="str">
        <f aca="true" t="shared" si="12" ref="AA22:AA39">IF(O22="RR",J22*S22*ROUND(N22/60,2)*Q22/100,"--")</f>
        <v>--</v>
      </c>
      <c r="AB22" s="438" t="s">
        <v>144</v>
      </c>
      <c r="AC22" s="236">
        <f aca="true" t="shared" si="13" ref="AC22:AC39">IF(F22="","",SUM(T22:AA22)*IF(AB22="SI",1,2)*IF(AND(Q22&lt;&gt;"",O22="RF"),Q22/100,1))</f>
        <v>1605.4037999999998</v>
      </c>
      <c r="AD22" s="237"/>
    </row>
    <row r="23" spans="2:30" s="1" customFormat="1" ht="16.5" customHeight="1">
      <c r="B23" s="157"/>
      <c r="C23" s="208">
        <v>58</v>
      </c>
      <c r="D23" s="208">
        <v>251353</v>
      </c>
      <c r="E23" s="208">
        <v>2404</v>
      </c>
      <c r="F23" s="77" t="s">
        <v>174</v>
      </c>
      <c r="G23" s="79" t="s">
        <v>175</v>
      </c>
      <c r="H23" s="221">
        <v>10</v>
      </c>
      <c r="I23" s="90" t="s">
        <v>173</v>
      </c>
      <c r="J23" s="223">
        <f t="shared" si="0"/>
        <v>6.93</v>
      </c>
      <c r="K23" s="446">
        <v>41153.31736111111</v>
      </c>
      <c r="L23" s="446">
        <v>41153.544444444444</v>
      </c>
      <c r="M23" s="224">
        <f t="shared" si="1"/>
        <v>5.449999999953434</v>
      </c>
      <c r="N23" s="225">
        <f t="shared" si="2"/>
        <v>327</v>
      </c>
      <c r="O23" s="226" t="s">
        <v>143</v>
      </c>
      <c r="P23" s="438" t="str">
        <f t="shared" si="3"/>
        <v>--</v>
      </c>
      <c r="Q23" s="438" t="s">
        <v>145</v>
      </c>
      <c r="R23" s="438" t="str">
        <f aca="true" t="shared" si="14" ref="R23:R39">IF(F23="","","NO")</f>
        <v>NO</v>
      </c>
      <c r="S23" s="105">
        <f t="shared" si="4"/>
        <v>0.6000000000000001</v>
      </c>
      <c r="T23" s="228">
        <f t="shared" si="5"/>
        <v>22.6611</v>
      </c>
      <c r="U23" s="229" t="str">
        <f t="shared" si="6"/>
        <v>--</v>
      </c>
      <c r="V23" s="230" t="str">
        <f t="shared" si="7"/>
        <v>--</v>
      </c>
      <c r="W23" s="231" t="str">
        <f t="shared" si="8"/>
        <v>--</v>
      </c>
      <c r="X23" s="232" t="str">
        <f t="shared" si="9"/>
        <v>--</v>
      </c>
      <c r="Y23" s="233" t="str">
        <f t="shared" si="10"/>
        <v>--</v>
      </c>
      <c r="Z23" s="234" t="str">
        <f t="shared" si="11"/>
        <v>--</v>
      </c>
      <c r="AA23" s="235" t="str">
        <f t="shared" si="12"/>
        <v>--</v>
      </c>
      <c r="AB23" s="438" t="s">
        <v>144</v>
      </c>
      <c r="AC23" s="236">
        <f t="shared" si="13"/>
        <v>22.6611</v>
      </c>
      <c r="AD23" s="158"/>
    </row>
    <row r="24" spans="2:30" s="1" customFormat="1" ht="16.5" customHeight="1">
      <c r="B24" s="157"/>
      <c r="C24" s="208">
        <v>59</v>
      </c>
      <c r="D24" s="208">
        <v>251358</v>
      </c>
      <c r="E24" s="208">
        <v>2115</v>
      </c>
      <c r="F24" s="77" t="s">
        <v>176</v>
      </c>
      <c r="G24" s="79" t="s">
        <v>177</v>
      </c>
      <c r="H24" s="221">
        <v>15</v>
      </c>
      <c r="I24" s="90" t="s">
        <v>173</v>
      </c>
      <c r="J24" s="223">
        <f t="shared" si="0"/>
        <v>10.395</v>
      </c>
      <c r="K24" s="446">
        <v>41154.31875</v>
      </c>
      <c r="L24" s="446">
        <v>41154.33888888889</v>
      </c>
      <c r="M24" s="224">
        <f t="shared" si="1"/>
        <v>0.48333333333721384</v>
      </c>
      <c r="N24" s="225">
        <f t="shared" si="2"/>
        <v>29</v>
      </c>
      <c r="O24" s="226" t="s">
        <v>153</v>
      </c>
      <c r="P24" s="438" t="str">
        <f t="shared" si="3"/>
        <v>NO</v>
      </c>
      <c r="Q24" s="438" t="s">
        <v>145</v>
      </c>
      <c r="R24" s="438" t="s">
        <v>144</v>
      </c>
      <c r="S24" s="105">
        <f t="shared" si="4"/>
        <v>60</v>
      </c>
      <c r="T24" s="228" t="str">
        <f t="shared" si="5"/>
        <v>--</v>
      </c>
      <c r="U24" s="229" t="str">
        <f t="shared" si="6"/>
        <v>--</v>
      </c>
      <c r="V24" s="230">
        <f t="shared" si="7"/>
        <v>623.6999999999999</v>
      </c>
      <c r="W24" s="231">
        <f t="shared" si="8"/>
        <v>299.376</v>
      </c>
      <c r="X24" s="232" t="str">
        <f t="shared" si="9"/>
        <v>--</v>
      </c>
      <c r="Y24" s="233" t="str">
        <f t="shared" si="10"/>
        <v>--</v>
      </c>
      <c r="Z24" s="234" t="str">
        <f t="shared" si="11"/>
        <v>--</v>
      </c>
      <c r="AA24" s="235" t="str">
        <f t="shared" si="12"/>
        <v>--</v>
      </c>
      <c r="AB24" s="438" t="s">
        <v>144</v>
      </c>
      <c r="AC24" s="236">
        <f t="shared" si="13"/>
        <v>923.0759999999999</v>
      </c>
      <c r="AD24" s="158"/>
    </row>
    <row r="25" spans="2:30" s="1" customFormat="1" ht="16.5" customHeight="1">
      <c r="B25" s="157"/>
      <c r="C25" s="208">
        <v>60</v>
      </c>
      <c r="D25" s="208">
        <v>251361</v>
      </c>
      <c r="E25" s="208">
        <v>3716</v>
      </c>
      <c r="F25" s="77" t="s">
        <v>178</v>
      </c>
      <c r="G25" s="79" t="s">
        <v>179</v>
      </c>
      <c r="H25" s="221">
        <v>30</v>
      </c>
      <c r="I25" s="90" t="s">
        <v>173</v>
      </c>
      <c r="J25" s="223">
        <f t="shared" si="0"/>
        <v>20.79</v>
      </c>
      <c r="K25" s="446">
        <v>41154.336805555555</v>
      </c>
      <c r="L25" s="446">
        <v>41154.6125</v>
      </c>
      <c r="M25" s="224">
        <f t="shared" si="1"/>
        <v>6.616666666755918</v>
      </c>
      <c r="N25" s="225">
        <f t="shared" si="2"/>
        <v>397</v>
      </c>
      <c r="O25" s="226" t="s">
        <v>143</v>
      </c>
      <c r="P25" s="438" t="str">
        <f t="shared" si="3"/>
        <v>--</v>
      </c>
      <c r="Q25" s="438" t="s">
        <v>145</v>
      </c>
      <c r="R25" s="438" t="str">
        <f t="shared" si="14"/>
        <v>NO</v>
      </c>
      <c r="S25" s="105">
        <f t="shared" si="4"/>
        <v>0.6000000000000001</v>
      </c>
      <c r="T25" s="228">
        <f t="shared" si="5"/>
        <v>82.57788000000001</v>
      </c>
      <c r="U25" s="229" t="str">
        <f t="shared" si="6"/>
        <v>--</v>
      </c>
      <c r="V25" s="230" t="str">
        <f t="shared" si="7"/>
        <v>--</v>
      </c>
      <c r="W25" s="231" t="str">
        <f t="shared" si="8"/>
        <v>--</v>
      </c>
      <c r="X25" s="232" t="str">
        <f t="shared" si="9"/>
        <v>--</v>
      </c>
      <c r="Y25" s="233" t="str">
        <f t="shared" si="10"/>
        <v>--</v>
      </c>
      <c r="Z25" s="234" t="str">
        <f t="shared" si="11"/>
        <v>--</v>
      </c>
      <c r="AA25" s="235" t="str">
        <f t="shared" si="12"/>
        <v>--</v>
      </c>
      <c r="AB25" s="438" t="s">
        <v>144</v>
      </c>
      <c r="AC25" s="236">
        <f t="shared" si="13"/>
        <v>82.57788000000001</v>
      </c>
      <c r="AD25" s="158"/>
    </row>
    <row r="26" spans="2:30" s="1" customFormat="1" ht="16.5" customHeight="1">
      <c r="B26" s="157"/>
      <c r="C26" s="208">
        <v>61</v>
      </c>
      <c r="D26" s="208">
        <v>251362</v>
      </c>
      <c r="E26" s="208">
        <v>4430</v>
      </c>
      <c r="F26" s="77" t="s">
        <v>180</v>
      </c>
      <c r="G26" s="79" t="s">
        <v>181</v>
      </c>
      <c r="H26" s="221">
        <v>20</v>
      </c>
      <c r="I26" s="90" t="s">
        <v>182</v>
      </c>
      <c r="J26" s="223">
        <f t="shared" si="0"/>
        <v>13.86</v>
      </c>
      <c r="K26" s="446">
        <v>41154.350694444445</v>
      </c>
      <c r="L26" s="446">
        <v>41154.663194444445</v>
      </c>
      <c r="M26" s="224">
        <f t="shared" si="1"/>
        <v>7.5</v>
      </c>
      <c r="N26" s="225">
        <f t="shared" si="2"/>
        <v>450</v>
      </c>
      <c r="O26" s="226" t="s">
        <v>143</v>
      </c>
      <c r="P26" s="438" t="str">
        <f t="shared" si="3"/>
        <v>--</v>
      </c>
      <c r="Q26" s="438" t="s">
        <v>145</v>
      </c>
      <c r="R26" s="438" t="str">
        <f t="shared" si="14"/>
        <v>NO</v>
      </c>
      <c r="S26" s="105">
        <f t="shared" si="4"/>
        <v>0.6000000000000001</v>
      </c>
      <c r="T26" s="228">
        <f t="shared" si="5"/>
        <v>62.370000000000005</v>
      </c>
      <c r="U26" s="229" t="str">
        <f t="shared" si="6"/>
        <v>--</v>
      </c>
      <c r="V26" s="230" t="str">
        <f t="shared" si="7"/>
        <v>--</v>
      </c>
      <c r="W26" s="231" t="str">
        <f t="shared" si="8"/>
        <v>--</v>
      </c>
      <c r="X26" s="232" t="str">
        <f t="shared" si="9"/>
        <v>--</v>
      </c>
      <c r="Y26" s="233" t="str">
        <f t="shared" si="10"/>
        <v>--</v>
      </c>
      <c r="Z26" s="234" t="str">
        <f t="shared" si="11"/>
        <v>--</v>
      </c>
      <c r="AA26" s="235" t="str">
        <f t="shared" si="12"/>
        <v>--</v>
      </c>
      <c r="AB26" s="438" t="s">
        <v>144</v>
      </c>
      <c r="AC26" s="236">
        <f t="shared" si="13"/>
        <v>62.370000000000005</v>
      </c>
      <c r="AD26" s="158"/>
    </row>
    <row r="27" spans="2:30" s="1" customFormat="1" ht="16.5" customHeight="1">
      <c r="B27" s="157"/>
      <c r="C27" s="208">
        <v>62</v>
      </c>
      <c r="D27" s="208">
        <v>251512</v>
      </c>
      <c r="E27" s="208">
        <v>4585</v>
      </c>
      <c r="F27" s="77" t="s">
        <v>183</v>
      </c>
      <c r="G27" s="79" t="s">
        <v>177</v>
      </c>
      <c r="H27" s="221">
        <v>30</v>
      </c>
      <c r="I27" s="90" t="s">
        <v>173</v>
      </c>
      <c r="J27" s="223">
        <f t="shared" si="0"/>
        <v>20.79</v>
      </c>
      <c r="K27" s="446">
        <v>41155.395833333336</v>
      </c>
      <c r="L27" s="446">
        <v>41155.50208333333</v>
      </c>
      <c r="M27" s="224">
        <f t="shared" si="1"/>
        <v>2.549999999930151</v>
      </c>
      <c r="N27" s="225">
        <f t="shared" si="2"/>
        <v>153</v>
      </c>
      <c r="O27" s="226" t="s">
        <v>143</v>
      </c>
      <c r="P27" s="438" t="str">
        <f t="shared" si="3"/>
        <v>--</v>
      </c>
      <c r="Q27" s="438" t="s">
        <v>145</v>
      </c>
      <c r="R27" s="438" t="str">
        <f t="shared" si="14"/>
        <v>NO</v>
      </c>
      <c r="S27" s="105">
        <f t="shared" si="4"/>
        <v>0.6000000000000001</v>
      </c>
      <c r="T27" s="228">
        <f t="shared" si="5"/>
        <v>31.8087</v>
      </c>
      <c r="U27" s="229" t="str">
        <f t="shared" si="6"/>
        <v>--</v>
      </c>
      <c r="V27" s="230" t="str">
        <f t="shared" si="7"/>
        <v>--</v>
      </c>
      <c r="W27" s="231" t="str">
        <f t="shared" si="8"/>
        <v>--</v>
      </c>
      <c r="X27" s="232" t="str">
        <f t="shared" si="9"/>
        <v>--</v>
      </c>
      <c r="Y27" s="233" t="str">
        <f t="shared" si="10"/>
        <v>--</v>
      </c>
      <c r="Z27" s="234" t="str">
        <f t="shared" si="11"/>
        <v>--</v>
      </c>
      <c r="AA27" s="235" t="str">
        <f t="shared" si="12"/>
        <v>--</v>
      </c>
      <c r="AB27" s="438" t="s">
        <v>144</v>
      </c>
      <c r="AC27" s="236">
        <f t="shared" si="13"/>
        <v>31.8087</v>
      </c>
      <c r="AD27" s="158"/>
    </row>
    <row r="28" spans="2:30" s="1" customFormat="1" ht="16.5" customHeight="1">
      <c r="B28" s="157"/>
      <c r="C28" s="208">
        <v>63</v>
      </c>
      <c r="D28" s="208">
        <v>251513</v>
      </c>
      <c r="E28" s="208">
        <v>4485</v>
      </c>
      <c r="F28" s="77" t="s">
        <v>184</v>
      </c>
      <c r="G28" s="79" t="s">
        <v>185</v>
      </c>
      <c r="H28" s="221">
        <v>30</v>
      </c>
      <c r="I28" s="90" t="s">
        <v>173</v>
      </c>
      <c r="J28" s="223">
        <f t="shared" si="0"/>
        <v>20.79</v>
      </c>
      <c r="K28" s="446">
        <v>41155.41111111111</v>
      </c>
      <c r="L28" s="446">
        <v>41155.60486111111</v>
      </c>
      <c r="M28" s="224">
        <f t="shared" si="1"/>
        <v>4.649999999965075</v>
      </c>
      <c r="N28" s="225">
        <f t="shared" si="2"/>
        <v>279</v>
      </c>
      <c r="O28" s="226" t="s">
        <v>143</v>
      </c>
      <c r="P28" s="438" t="str">
        <f t="shared" si="3"/>
        <v>--</v>
      </c>
      <c r="Q28" s="438" t="s">
        <v>145</v>
      </c>
      <c r="R28" s="438" t="str">
        <f t="shared" si="14"/>
        <v>NO</v>
      </c>
      <c r="S28" s="105">
        <f t="shared" si="4"/>
        <v>0.6000000000000001</v>
      </c>
      <c r="T28" s="228">
        <f t="shared" si="5"/>
        <v>58.004100000000015</v>
      </c>
      <c r="U28" s="229" t="str">
        <f t="shared" si="6"/>
        <v>--</v>
      </c>
      <c r="V28" s="230" t="str">
        <f t="shared" si="7"/>
        <v>--</v>
      </c>
      <c r="W28" s="231" t="str">
        <f t="shared" si="8"/>
        <v>--</v>
      </c>
      <c r="X28" s="232" t="str">
        <f t="shared" si="9"/>
        <v>--</v>
      </c>
      <c r="Y28" s="233" t="str">
        <f t="shared" si="10"/>
        <v>--</v>
      </c>
      <c r="Z28" s="234" t="str">
        <f t="shared" si="11"/>
        <v>--</v>
      </c>
      <c r="AA28" s="235" t="str">
        <f t="shared" si="12"/>
        <v>--</v>
      </c>
      <c r="AB28" s="438" t="s">
        <v>144</v>
      </c>
      <c r="AC28" s="236">
        <f t="shared" si="13"/>
        <v>58.004100000000015</v>
      </c>
      <c r="AD28" s="158"/>
    </row>
    <row r="29" spans="2:30" s="1" customFormat="1" ht="16.5" customHeight="1">
      <c r="B29" s="157"/>
      <c r="C29" s="208">
        <v>64</v>
      </c>
      <c r="D29" s="208">
        <v>251518</v>
      </c>
      <c r="E29" s="208">
        <v>2375</v>
      </c>
      <c r="F29" s="77" t="s">
        <v>186</v>
      </c>
      <c r="G29" s="79" t="s">
        <v>187</v>
      </c>
      <c r="H29" s="221">
        <v>10</v>
      </c>
      <c r="I29" s="90" t="s">
        <v>291</v>
      </c>
      <c r="J29" s="223">
        <f t="shared" si="0"/>
        <v>6.93</v>
      </c>
      <c r="K29" s="446">
        <v>41156.43263888889</v>
      </c>
      <c r="L29" s="446">
        <v>41156.68680555555</v>
      </c>
      <c r="M29" s="224">
        <f t="shared" si="1"/>
        <v>6.099999999976717</v>
      </c>
      <c r="N29" s="225">
        <f t="shared" si="2"/>
        <v>366</v>
      </c>
      <c r="O29" s="226" t="s">
        <v>143</v>
      </c>
      <c r="P29" s="438" t="str">
        <f t="shared" si="3"/>
        <v>--</v>
      </c>
      <c r="Q29" s="438" t="s">
        <v>145</v>
      </c>
      <c r="R29" s="438" t="str">
        <f t="shared" si="14"/>
        <v>NO</v>
      </c>
      <c r="S29" s="105">
        <f t="shared" si="4"/>
        <v>0.6000000000000001</v>
      </c>
      <c r="T29" s="228">
        <f t="shared" si="5"/>
        <v>25.3638</v>
      </c>
      <c r="U29" s="229" t="str">
        <f t="shared" si="6"/>
        <v>--</v>
      </c>
      <c r="V29" s="230" t="str">
        <f t="shared" si="7"/>
        <v>--</v>
      </c>
      <c r="W29" s="231" t="str">
        <f t="shared" si="8"/>
        <v>--</v>
      </c>
      <c r="X29" s="232" t="str">
        <f t="shared" si="9"/>
        <v>--</v>
      </c>
      <c r="Y29" s="233" t="str">
        <f t="shared" si="10"/>
        <v>--</v>
      </c>
      <c r="Z29" s="234" t="str">
        <f t="shared" si="11"/>
        <v>--</v>
      </c>
      <c r="AA29" s="235" t="str">
        <f t="shared" si="12"/>
        <v>--</v>
      </c>
      <c r="AB29" s="438" t="s">
        <v>144</v>
      </c>
      <c r="AC29" s="236">
        <f t="shared" si="13"/>
        <v>25.3638</v>
      </c>
      <c r="AD29" s="158"/>
    </row>
    <row r="30" spans="2:30" s="1" customFormat="1" ht="16.5" customHeight="1">
      <c r="B30" s="157"/>
      <c r="C30" s="208">
        <v>65</v>
      </c>
      <c r="D30" s="208">
        <v>251520</v>
      </c>
      <c r="E30" s="208">
        <v>2115</v>
      </c>
      <c r="F30" s="77" t="s">
        <v>176</v>
      </c>
      <c r="G30" s="79" t="s">
        <v>177</v>
      </c>
      <c r="H30" s="221">
        <v>15</v>
      </c>
      <c r="I30" s="90" t="s">
        <v>173</v>
      </c>
      <c r="J30" s="223">
        <f t="shared" si="0"/>
        <v>10.395</v>
      </c>
      <c r="K30" s="446">
        <v>41156.479166666664</v>
      </c>
      <c r="L30" s="446">
        <v>41156.623611111114</v>
      </c>
      <c r="M30" s="224">
        <f t="shared" si="1"/>
        <v>3.466666666790843</v>
      </c>
      <c r="N30" s="225">
        <f t="shared" si="2"/>
        <v>208</v>
      </c>
      <c r="O30" s="226" t="s">
        <v>143</v>
      </c>
      <c r="P30" s="438" t="str">
        <f t="shared" si="3"/>
        <v>--</v>
      </c>
      <c r="Q30" s="438" t="s">
        <v>145</v>
      </c>
      <c r="R30" s="438" t="str">
        <f t="shared" si="14"/>
        <v>NO</v>
      </c>
      <c r="S30" s="105">
        <f t="shared" si="4"/>
        <v>0.6000000000000001</v>
      </c>
      <c r="T30" s="228">
        <f t="shared" si="5"/>
        <v>21.642390000000006</v>
      </c>
      <c r="U30" s="229" t="str">
        <f t="shared" si="6"/>
        <v>--</v>
      </c>
      <c r="V30" s="230" t="str">
        <f t="shared" si="7"/>
        <v>--</v>
      </c>
      <c r="W30" s="231" t="str">
        <f t="shared" si="8"/>
        <v>--</v>
      </c>
      <c r="X30" s="232" t="str">
        <f t="shared" si="9"/>
        <v>--</v>
      </c>
      <c r="Y30" s="233" t="str">
        <f t="shared" si="10"/>
        <v>--</v>
      </c>
      <c r="Z30" s="234" t="str">
        <f t="shared" si="11"/>
        <v>--</v>
      </c>
      <c r="AA30" s="235" t="str">
        <f t="shared" si="12"/>
        <v>--</v>
      </c>
      <c r="AB30" s="438" t="s">
        <v>144</v>
      </c>
      <c r="AC30" s="236">
        <f t="shared" si="13"/>
        <v>21.642390000000006</v>
      </c>
      <c r="AD30" s="158"/>
    </row>
    <row r="31" spans="2:30" s="1" customFormat="1" ht="16.5" customHeight="1">
      <c r="B31" s="157"/>
      <c r="C31" s="208">
        <v>66</v>
      </c>
      <c r="D31" s="208">
        <v>251533</v>
      </c>
      <c r="E31" s="208">
        <v>2431</v>
      </c>
      <c r="F31" s="77" t="s">
        <v>188</v>
      </c>
      <c r="G31" s="79" t="s">
        <v>189</v>
      </c>
      <c r="H31" s="221">
        <v>40</v>
      </c>
      <c r="I31" s="90" t="s">
        <v>190</v>
      </c>
      <c r="J31" s="223">
        <f t="shared" si="0"/>
        <v>27.72</v>
      </c>
      <c r="K31" s="446">
        <v>41157.37013888889</v>
      </c>
      <c r="L31" s="446">
        <v>41157.634722222225</v>
      </c>
      <c r="M31" s="224">
        <f t="shared" si="1"/>
        <v>6.350000000093132</v>
      </c>
      <c r="N31" s="225">
        <f t="shared" si="2"/>
        <v>381</v>
      </c>
      <c r="O31" s="226" t="s">
        <v>143</v>
      </c>
      <c r="P31" s="438" t="str">
        <f t="shared" si="3"/>
        <v>--</v>
      </c>
      <c r="Q31" s="438" t="s">
        <v>145</v>
      </c>
      <c r="R31" s="438" t="str">
        <f t="shared" si="14"/>
        <v>NO</v>
      </c>
      <c r="S31" s="105">
        <f t="shared" si="4"/>
        <v>0.6000000000000001</v>
      </c>
      <c r="T31" s="228">
        <f t="shared" si="5"/>
        <v>105.6132</v>
      </c>
      <c r="U31" s="229" t="str">
        <f t="shared" si="6"/>
        <v>--</v>
      </c>
      <c r="V31" s="230" t="str">
        <f t="shared" si="7"/>
        <v>--</v>
      </c>
      <c r="W31" s="231" t="str">
        <f t="shared" si="8"/>
        <v>--</v>
      </c>
      <c r="X31" s="232" t="str">
        <f t="shared" si="9"/>
        <v>--</v>
      </c>
      <c r="Y31" s="233" t="str">
        <f t="shared" si="10"/>
        <v>--</v>
      </c>
      <c r="Z31" s="234" t="str">
        <f t="shared" si="11"/>
        <v>--</v>
      </c>
      <c r="AA31" s="235" t="str">
        <f t="shared" si="12"/>
        <v>--</v>
      </c>
      <c r="AB31" s="438" t="s">
        <v>144</v>
      </c>
      <c r="AC31" s="236">
        <f t="shared" si="13"/>
        <v>105.6132</v>
      </c>
      <c r="AD31" s="158"/>
    </row>
    <row r="32" spans="2:30" s="1" customFormat="1" ht="16.5" customHeight="1">
      <c r="B32" s="157"/>
      <c r="C32" s="208">
        <v>67</v>
      </c>
      <c r="D32" s="208">
        <v>251537</v>
      </c>
      <c r="E32" s="208">
        <v>2375</v>
      </c>
      <c r="F32" s="77" t="s">
        <v>186</v>
      </c>
      <c r="G32" s="79" t="s">
        <v>187</v>
      </c>
      <c r="H32" s="221">
        <v>10</v>
      </c>
      <c r="I32" s="90" t="s">
        <v>291</v>
      </c>
      <c r="J32" s="223">
        <f t="shared" si="0"/>
        <v>6.93</v>
      </c>
      <c r="K32" s="446">
        <v>41157.40138888889</v>
      </c>
      <c r="L32" s="446">
        <v>41157.61736111111</v>
      </c>
      <c r="M32" s="224">
        <f t="shared" si="1"/>
        <v>5.183333333290648</v>
      </c>
      <c r="N32" s="225">
        <f t="shared" si="2"/>
        <v>311</v>
      </c>
      <c r="O32" s="226" t="s">
        <v>143</v>
      </c>
      <c r="P32" s="438" t="str">
        <f t="shared" si="3"/>
        <v>--</v>
      </c>
      <c r="Q32" s="438" t="s">
        <v>145</v>
      </c>
      <c r="R32" s="438" t="str">
        <f t="shared" si="14"/>
        <v>NO</v>
      </c>
      <c r="S32" s="105">
        <f t="shared" si="4"/>
        <v>0.6000000000000001</v>
      </c>
      <c r="T32" s="228">
        <f t="shared" si="5"/>
        <v>21.53844</v>
      </c>
      <c r="U32" s="229" t="str">
        <f t="shared" si="6"/>
        <v>--</v>
      </c>
      <c r="V32" s="230" t="str">
        <f t="shared" si="7"/>
        <v>--</v>
      </c>
      <c r="W32" s="231" t="str">
        <f t="shared" si="8"/>
        <v>--</v>
      </c>
      <c r="X32" s="232" t="str">
        <f t="shared" si="9"/>
        <v>--</v>
      </c>
      <c r="Y32" s="233" t="str">
        <f t="shared" si="10"/>
        <v>--</v>
      </c>
      <c r="Z32" s="234" t="str">
        <f t="shared" si="11"/>
        <v>--</v>
      </c>
      <c r="AA32" s="235" t="str">
        <f t="shared" si="12"/>
        <v>--</v>
      </c>
      <c r="AB32" s="438" t="s">
        <v>144</v>
      </c>
      <c r="AC32" s="236">
        <f t="shared" si="13"/>
        <v>21.53844</v>
      </c>
      <c r="AD32" s="158"/>
    </row>
    <row r="33" spans="2:30" s="1" customFormat="1" ht="16.5" customHeight="1">
      <c r="B33" s="157"/>
      <c r="C33" s="208">
        <v>68</v>
      </c>
      <c r="D33" s="208">
        <v>251538</v>
      </c>
      <c r="E33" s="208">
        <v>2510</v>
      </c>
      <c r="F33" s="77" t="s">
        <v>191</v>
      </c>
      <c r="G33" s="79" t="s">
        <v>179</v>
      </c>
      <c r="H33" s="221">
        <v>40</v>
      </c>
      <c r="I33" s="90" t="s">
        <v>173</v>
      </c>
      <c r="J33" s="223">
        <f t="shared" si="0"/>
        <v>27.72</v>
      </c>
      <c r="K33" s="446">
        <v>41157.427083333336</v>
      </c>
      <c r="L33" s="446">
        <v>41157.60972222222</v>
      </c>
      <c r="M33" s="224">
        <f t="shared" si="1"/>
        <v>4.383333333302289</v>
      </c>
      <c r="N33" s="225">
        <f t="shared" si="2"/>
        <v>263</v>
      </c>
      <c r="O33" s="226" t="s">
        <v>143</v>
      </c>
      <c r="P33" s="438" t="str">
        <f t="shared" si="3"/>
        <v>--</v>
      </c>
      <c r="Q33" s="438" t="s">
        <v>145</v>
      </c>
      <c r="R33" s="438" t="str">
        <f t="shared" si="14"/>
        <v>NO</v>
      </c>
      <c r="S33" s="105">
        <f t="shared" si="4"/>
        <v>0.6000000000000001</v>
      </c>
      <c r="T33" s="228">
        <f t="shared" si="5"/>
        <v>72.84816000000001</v>
      </c>
      <c r="U33" s="229" t="str">
        <f t="shared" si="6"/>
        <v>--</v>
      </c>
      <c r="V33" s="230" t="str">
        <f t="shared" si="7"/>
        <v>--</v>
      </c>
      <c r="W33" s="231" t="str">
        <f t="shared" si="8"/>
        <v>--</v>
      </c>
      <c r="X33" s="232" t="str">
        <f t="shared" si="9"/>
        <v>--</v>
      </c>
      <c r="Y33" s="233" t="str">
        <f t="shared" si="10"/>
        <v>--</v>
      </c>
      <c r="Z33" s="234" t="str">
        <f t="shared" si="11"/>
        <v>--</v>
      </c>
      <c r="AA33" s="235" t="str">
        <f t="shared" si="12"/>
        <v>--</v>
      </c>
      <c r="AB33" s="438" t="s">
        <v>144</v>
      </c>
      <c r="AC33" s="236">
        <f t="shared" si="13"/>
        <v>72.84816000000001</v>
      </c>
      <c r="AD33" s="158"/>
    </row>
    <row r="34" spans="2:30" s="1" customFormat="1" ht="16.5" customHeight="1">
      <c r="B34" s="157"/>
      <c r="C34" s="208">
        <v>69</v>
      </c>
      <c r="D34" s="208">
        <v>251544</v>
      </c>
      <c r="E34" s="208">
        <v>2375</v>
      </c>
      <c r="F34" s="77" t="s">
        <v>186</v>
      </c>
      <c r="G34" s="79" t="s">
        <v>187</v>
      </c>
      <c r="H34" s="221">
        <v>10</v>
      </c>
      <c r="I34" s="90" t="s">
        <v>291</v>
      </c>
      <c r="J34" s="223">
        <f t="shared" si="0"/>
        <v>6.93</v>
      </c>
      <c r="K34" s="446">
        <v>41158.34583333333</v>
      </c>
      <c r="L34" s="446">
        <v>41167.57638888889</v>
      </c>
      <c r="M34" s="224">
        <f t="shared" si="1"/>
        <v>221.53333333338378</v>
      </c>
      <c r="N34" s="225">
        <f t="shared" si="2"/>
        <v>13292</v>
      </c>
      <c r="O34" s="226" t="s">
        <v>143</v>
      </c>
      <c r="P34" s="438" t="str">
        <f t="shared" si="3"/>
        <v>--</v>
      </c>
      <c r="Q34" s="438" t="s">
        <v>145</v>
      </c>
      <c r="R34" s="438" t="str">
        <f t="shared" si="14"/>
        <v>NO</v>
      </c>
      <c r="S34" s="105">
        <f t="shared" si="4"/>
        <v>0.6000000000000001</v>
      </c>
      <c r="T34" s="228">
        <f t="shared" si="5"/>
        <v>921.12174</v>
      </c>
      <c r="U34" s="229" t="str">
        <f t="shared" si="6"/>
        <v>--</v>
      </c>
      <c r="V34" s="230" t="str">
        <f t="shared" si="7"/>
        <v>--</v>
      </c>
      <c r="W34" s="231" t="str">
        <f t="shared" si="8"/>
        <v>--</v>
      </c>
      <c r="X34" s="232" t="str">
        <f t="shared" si="9"/>
        <v>--</v>
      </c>
      <c r="Y34" s="233" t="str">
        <f t="shared" si="10"/>
        <v>--</v>
      </c>
      <c r="Z34" s="234" t="str">
        <f t="shared" si="11"/>
        <v>--</v>
      </c>
      <c r="AA34" s="235" t="str">
        <f t="shared" si="12"/>
        <v>--</v>
      </c>
      <c r="AB34" s="438" t="s">
        <v>144</v>
      </c>
      <c r="AC34" s="236">
        <f t="shared" si="13"/>
        <v>921.12174</v>
      </c>
      <c r="AD34" s="158"/>
    </row>
    <row r="35" spans="2:30" s="1" customFormat="1" ht="16.5" customHeight="1">
      <c r="B35" s="157"/>
      <c r="C35" s="208">
        <v>70</v>
      </c>
      <c r="D35" s="208">
        <v>251545</v>
      </c>
      <c r="E35" s="208">
        <v>2431</v>
      </c>
      <c r="F35" s="77" t="s">
        <v>188</v>
      </c>
      <c r="G35" s="79" t="s">
        <v>189</v>
      </c>
      <c r="H35" s="221">
        <v>40</v>
      </c>
      <c r="I35" s="90" t="s">
        <v>190</v>
      </c>
      <c r="J35" s="223">
        <f t="shared" si="0"/>
        <v>27.72</v>
      </c>
      <c r="K35" s="446">
        <v>41158.35486111111</v>
      </c>
      <c r="L35" s="446">
        <v>41158.7625</v>
      </c>
      <c r="M35" s="224">
        <f t="shared" si="1"/>
        <v>9.783333333267365</v>
      </c>
      <c r="N35" s="225">
        <f t="shared" si="2"/>
        <v>587</v>
      </c>
      <c r="O35" s="226" t="s">
        <v>143</v>
      </c>
      <c r="P35" s="438" t="str">
        <f t="shared" si="3"/>
        <v>--</v>
      </c>
      <c r="Q35" s="438" t="s">
        <v>145</v>
      </c>
      <c r="R35" s="438" t="str">
        <f t="shared" si="14"/>
        <v>NO</v>
      </c>
      <c r="S35" s="105">
        <f t="shared" si="4"/>
        <v>0.6000000000000001</v>
      </c>
      <c r="T35" s="228">
        <f t="shared" si="5"/>
        <v>162.66096000000002</v>
      </c>
      <c r="U35" s="229" t="str">
        <f t="shared" si="6"/>
        <v>--</v>
      </c>
      <c r="V35" s="230" t="str">
        <f t="shared" si="7"/>
        <v>--</v>
      </c>
      <c r="W35" s="231" t="str">
        <f t="shared" si="8"/>
        <v>--</v>
      </c>
      <c r="X35" s="232" t="str">
        <f t="shared" si="9"/>
        <v>--</v>
      </c>
      <c r="Y35" s="233" t="str">
        <f t="shared" si="10"/>
        <v>--</v>
      </c>
      <c r="Z35" s="234" t="str">
        <f t="shared" si="11"/>
        <v>--</v>
      </c>
      <c r="AA35" s="235" t="str">
        <f t="shared" si="12"/>
        <v>--</v>
      </c>
      <c r="AB35" s="438" t="s">
        <v>144</v>
      </c>
      <c r="AC35" s="236">
        <f t="shared" si="13"/>
        <v>162.66096000000002</v>
      </c>
      <c r="AD35" s="158"/>
    </row>
    <row r="36" spans="2:30" s="1" customFormat="1" ht="16.5" customHeight="1">
      <c r="B36" s="157"/>
      <c r="C36" s="208">
        <v>71</v>
      </c>
      <c r="D36" s="208">
        <v>251547</v>
      </c>
      <c r="E36" s="208">
        <v>4420</v>
      </c>
      <c r="F36" s="77" t="s">
        <v>184</v>
      </c>
      <c r="G36" s="79" t="s">
        <v>192</v>
      </c>
      <c r="H36" s="221">
        <v>30</v>
      </c>
      <c r="I36" s="90" t="s">
        <v>173</v>
      </c>
      <c r="J36" s="223">
        <f t="shared" si="0"/>
        <v>20.79</v>
      </c>
      <c r="K36" s="446">
        <v>41158.459027777775</v>
      </c>
      <c r="L36" s="446">
        <v>41158.61111111111</v>
      </c>
      <c r="M36" s="224">
        <f t="shared" si="1"/>
        <v>3.650000000023283</v>
      </c>
      <c r="N36" s="225">
        <f t="shared" si="2"/>
        <v>219</v>
      </c>
      <c r="O36" s="226" t="s">
        <v>143</v>
      </c>
      <c r="P36" s="438" t="str">
        <f t="shared" si="3"/>
        <v>--</v>
      </c>
      <c r="Q36" s="438" t="s">
        <v>145</v>
      </c>
      <c r="R36" s="438" t="str">
        <f t="shared" si="14"/>
        <v>NO</v>
      </c>
      <c r="S36" s="105">
        <f t="shared" si="4"/>
        <v>0.6000000000000001</v>
      </c>
      <c r="T36" s="228">
        <f t="shared" si="5"/>
        <v>45.530100000000004</v>
      </c>
      <c r="U36" s="229" t="str">
        <f t="shared" si="6"/>
        <v>--</v>
      </c>
      <c r="V36" s="230" t="str">
        <f t="shared" si="7"/>
        <v>--</v>
      </c>
      <c r="W36" s="231" t="str">
        <f t="shared" si="8"/>
        <v>--</v>
      </c>
      <c r="X36" s="232" t="str">
        <f t="shared" si="9"/>
        <v>--</v>
      </c>
      <c r="Y36" s="233" t="str">
        <f t="shared" si="10"/>
        <v>--</v>
      </c>
      <c r="Z36" s="234" t="str">
        <f t="shared" si="11"/>
        <v>--</v>
      </c>
      <c r="AA36" s="235" t="str">
        <f t="shared" si="12"/>
        <v>--</v>
      </c>
      <c r="AB36" s="438" t="s">
        <v>144</v>
      </c>
      <c r="AC36" s="236">
        <f t="shared" si="13"/>
        <v>45.530100000000004</v>
      </c>
      <c r="AD36" s="158"/>
    </row>
    <row r="37" spans="2:30" s="1" customFormat="1" ht="16.5" customHeight="1">
      <c r="B37" s="157"/>
      <c r="C37" s="208">
        <v>72</v>
      </c>
      <c r="D37" s="208">
        <v>251554</v>
      </c>
      <c r="E37" s="208">
        <v>4431</v>
      </c>
      <c r="F37" s="77" t="s">
        <v>180</v>
      </c>
      <c r="G37" s="79" t="s">
        <v>193</v>
      </c>
      <c r="H37" s="221">
        <v>20</v>
      </c>
      <c r="I37" s="90" t="s">
        <v>182</v>
      </c>
      <c r="J37" s="223">
        <f t="shared" si="0"/>
        <v>13.86</v>
      </c>
      <c r="K37" s="446">
        <v>41160.35208333333</v>
      </c>
      <c r="L37" s="446">
        <v>41160.72430555556</v>
      </c>
      <c r="M37" s="224">
        <f t="shared" si="1"/>
        <v>8.93333333346527</v>
      </c>
      <c r="N37" s="225">
        <f t="shared" si="2"/>
        <v>536</v>
      </c>
      <c r="O37" s="226" t="s">
        <v>143</v>
      </c>
      <c r="P37" s="438" t="str">
        <f t="shared" si="3"/>
        <v>--</v>
      </c>
      <c r="Q37" s="438" t="s">
        <v>145</v>
      </c>
      <c r="R37" s="438" t="str">
        <f t="shared" si="14"/>
        <v>NO</v>
      </c>
      <c r="S37" s="105">
        <f t="shared" si="4"/>
        <v>0.6000000000000001</v>
      </c>
      <c r="T37" s="228">
        <f t="shared" si="5"/>
        <v>74.26188</v>
      </c>
      <c r="U37" s="229" t="str">
        <f t="shared" si="6"/>
        <v>--</v>
      </c>
      <c r="V37" s="230" t="str">
        <f t="shared" si="7"/>
        <v>--</v>
      </c>
      <c r="W37" s="231" t="str">
        <f t="shared" si="8"/>
        <v>--</v>
      </c>
      <c r="X37" s="232" t="str">
        <f t="shared" si="9"/>
        <v>--</v>
      </c>
      <c r="Y37" s="233" t="str">
        <f t="shared" si="10"/>
        <v>--</v>
      </c>
      <c r="Z37" s="234" t="str">
        <f t="shared" si="11"/>
        <v>--</v>
      </c>
      <c r="AA37" s="235" t="str">
        <f t="shared" si="12"/>
        <v>--</v>
      </c>
      <c r="AB37" s="438" t="s">
        <v>144</v>
      </c>
      <c r="AC37" s="236">
        <f t="shared" si="13"/>
        <v>74.26188</v>
      </c>
      <c r="AD37" s="158"/>
    </row>
    <row r="38" spans="2:30" s="1" customFormat="1" ht="16.5" customHeight="1">
      <c r="B38" s="157"/>
      <c r="C38" s="208">
        <v>73</v>
      </c>
      <c r="D38" s="208">
        <v>251556</v>
      </c>
      <c r="E38" s="208">
        <v>4431</v>
      </c>
      <c r="F38" s="77" t="s">
        <v>180</v>
      </c>
      <c r="G38" s="79" t="s">
        <v>193</v>
      </c>
      <c r="H38" s="221">
        <v>20</v>
      </c>
      <c r="I38" s="90" t="s">
        <v>182</v>
      </c>
      <c r="J38" s="223">
        <f t="shared" si="0"/>
        <v>13.86</v>
      </c>
      <c r="K38" s="446">
        <v>41161.33888888889</v>
      </c>
      <c r="L38" s="446">
        <v>41161.697916666664</v>
      </c>
      <c r="M38" s="224">
        <f t="shared" si="1"/>
        <v>8.616666666639503</v>
      </c>
      <c r="N38" s="225">
        <f t="shared" si="2"/>
        <v>517</v>
      </c>
      <c r="O38" s="226" t="s">
        <v>143</v>
      </c>
      <c r="P38" s="438" t="str">
        <f t="shared" si="3"/>
        <v>--</v>
      </c>
      <c r="Q38" s="438" t="s">
        <v>145</v>
      </c>
      <c r="R38" s="438" t="str">
        <f t="shared" si="14"/>
        <v>NO</v>
      </c>
      <c r="S38" s="105">
        <f t="shared" si="4"/>
        <v>0.6000000000000001</v>
      </c>
      <c r="T38" s="228">
        <f t="shared" si="5"/>
        <v>71.68392</v>
      </c>
      <c r="U38" s="229" t="str">
        <f t="shared" si="6"/>
        <v>--</v>
      </c>
      <c r="V38" s="230" t="str">
        <f t="shared" si="7"/>
        <v>--</v>
      </c>
      <c r="W38" s="231" t="str">
        <f t="shared" si="8"/>
        <v>--</v>
      </c>
      <c r="X38" s="232" t="str">
        <f t="shared" si="9"/>
        <v>--</v>
      </c>
      <c r="Y38" s="233" t="str">
        <f t="shared" si="10"/>
        <v>--</v>
      </c>
      <c r="Z38" s="234" t="str">
        <f t="shared" si="11"/>
        <v>--</v>
      </c>
      <c r="AA38" s="235" t="str">
        <f t="shared" si="12"/>
        <v>--</v>
      </c>
      <c r="AB38" s="438" t="s">
        <v>144</v>
      </c>
      <c r="AC38" s="236">
        <f t="shared" si="13"/>
        <v>71.68392</v>
      </c>
      <c r="AD38" s="158"/>
    </row>
    <row r="39" spans="2:30" s="1" customFormat="1" ht="16.5" customHeight="1">
      <c r="B39" s="157"/>
      <c r="C39" s="208"/>
      <c r="D39" s="208"/>
      <c r="E39" s="208"/>
      <c r="F39" s="77"/>
      <c r="G39" s="79"/>
      <c r="H39" s="221"/>
      <c r="I39" s="222"/>
      <c r="J39" s="223">
        <f t="shared" si="0"/>
        <v>0</v>
      </c>
      <c r="K39" s="446"/>
      <c r="L39" s="446"/>
      <c r="M39" s="224">
        <f t="shared" si="1"/>
      </c>
      <c r="N39" s="225">
        <f t="shared" si="2"/>
      </c>
      <c r="O39" s="226"/>
      <c r="P39" s="438">
        <f t="shared" si="3"/>
      </c>
      <c r="Q39" s="439">
        <f>IF(F39="","","--")</f>
      </c>
      <c r="R39" s="438">
        <f t="shared" si="14"/>
      </c>
      <c r="S39" s="105">
        <f t="shared" si="4"/>
        <v>6</v>
      </c>
      <c r="T39" s="228" t="str">
        <f t="shared" si="5"/>
        <v>--</v>
      </c>
      <c r="U39" s="229" t="str">
        <f t="shared" si="6"/>
        <v>--</v>
      </c>
      <c r="V39" s="230" t="str">
        <f t="shared" si="7"/>
        <v>--</v>
      </c>
      <c r="W39" s="231" t="str">
        <f t="shared" si="8"/>
        <v>--</v>
      </c>
      <c r="X39" s="232" t="str">
        <f t="shared" si="9"/>
        <v>--</v>
      </c>
      <c r="Y39" s="233" t="str">
        <f t="shared" si="10"/>
        <v>--</v>
      </c>
      <c r="Z39" s="234" t="str">
        <f t="shared" si="11"/>
        <v>--</v>
      </c>
      <c r="AA39" s="235" t="str">
        <f t="shared" si="12"/>
        <v>--</v>
      </c>
      <c r="AB39" s="438">
        <f>IF(F39="","","SI")</f>
      </c>
      <c r="AC39" s="236">
        <f t="shared" si="13"/>
      </c>
      <c r="AD39" s="158"/>
    </row>
    <row r="40" spans="2:30" s="1" customFormat="1" ht="16.5" customHeight="1" thickBot="1">
      <c r="B40" s="157"/>
      <c r="C40" s="317"/>
      <c r="D40" s="317"/>
      <c r="E40" s="317"/>
      <c r="F40" s="317"/>
      <c r="G40" s="317"/>
      <c r="H40" s="317"/>
      <c r="I40" s="317"/>
      <c r="J40" s="239"/>
      <c r="K40" s="407"/>
      <c r="L40" s="407"/>
      <c r="M40" s="238"/>
      <c r="N40" s="238"/>
      <c r="O40" s="317"/>
      <c r="P40" s="317"/>
      <c r="Q40" s="317"/>
      <c r="R40" s="317"/>
      <c r="S40" s="318"/>
      <c r="T40" s="319"/>
      <c r="U40" s="320"/>
      <c r="V40" s="321"/>
      <c r="W40" s="322"/>
      <c r="X40" s="323"/>
      <c r="Y40" s="324"/>
      <c r="Z40" s="325"/>
      <c r="AA40" s="326"/>
      <c r="AB40" s="317"/>
      <c r="AC40" s="240"/>
      <c r="AD40" s="158"/>
    </row>
    <row r="41" spans="2:30" s="1" customFormat="1" ht="16.5" customHeight="1" thickBot="1" thickTop="1">
      <c r="B41" s="157"/>
      <c r="C41" s="452" t="s">
        <v>296</v>
      </c>
      <c r="D41" s="451" t="s">
        <v>320</v>
      </c>
      <c r="E41" s="128"/>
      <c r="F41" s="1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41">
        <f>SUM(T20:T40)</f>
        <v>1779.68637</v>
      </c>
      <c r="U41" s="242">
        <f>SUM(U20:U40)</f>
        <v>0</v>
      </c>
      <c r="V41" s="243">
        <f>SUM(V20:V40)</f>
        <v>623.6999999999999</v>
      </c>
      <c r="W41" s="244">
        <f>SUM(W22:W40)</f>
        <v>299.376</v>
      </c>
      <c r="X41" s="245">
        <f>SUM(X20:X40)</f>
        <v>0</v>
      </c>
      <c r="Y41" s="245">
        <f>SUM(Y22:Y40)</f>
        <v>0</v>
      </c>
      <c r="Z41" s="246">
        <f>SUM(Z20:Z40)</f>
        <v>1605.4037999999998</v>
      </c>
      <c r="AA41" s="247">
        <f>SUM(AA22:AA40)</f>
        <v>0</v>
      </c>
      <c r="AB41" s="248"/>
      <c r="AC41" s="418">
        <f>ROUND(SUM(AC20:AC40),2)</f>
        <v>4308.17</v>
      </c>
      <c r="AD41" s="158"/>
    </row>
    <row r="42" spans="2:30" s="126" customFormat="1" ht="9.75" thickTop="1">
      <c r="B42" s="249"/>
      <c r="C42" s="128"/>
      <c r="D42" s="128"/>
      <c r="E42" s="128"/>
      <c r="F42" s="129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1"/>
      <c r="U42" s="251"/>
      <c r="V42" s="251"/>
      <c r="W42" s="251"/>
      <c r="X42" s="251"/>
      <c r="Y42" s="251"/>
      <c r="Z42" s="251"/>
      <c r="AA42" s="251"/>
      <c r="AB42" s="250"/>
      <c r="AC42" s="252"/>
      <c r="AD42" s="253"/>
    </row>
    <row r="43" spans="2:30" s="1" customFormat="1" ht="16.5" customHeight="1" thickBot="1">
      <c r="B43" s="254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6"/>
    </row>
    <row r="44" spans="2:30" ht="16.5" customHeight="1" thickTop="1"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8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D48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14"/>
    </row>
    <row r="2" spans="2:30" s="3" customFormat="1" ht="26.25">
      <c r="B2" s="16" t="str">
        <f>'TOT-0912'!B2</f>
        <v>ANEXO IV al Memorándum  D.T.E.E.  N°          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2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2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2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'TOT-0912'!B14</f>
        <v>Desde el 01 al 30 de septiembre de 2012</v>
      </c>
      <c r="C14" s="28"/>
      <c r="D14" s="28"/>
      <c r="E14" s="28"/>
      <c r="F14" s="166"/>
      <c r="G14" s="166"/>
      <c r="H14" s="166"/>
      <c r="I14" s="166"/>
      <c r="J14" s="166"/>
      <c r="K14" s="29"/>
      <c r="L14" s="29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315">
        <v>0.693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60*'TOT-0912'!B13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437">
        <v>23</v>
      </c>
      <c r="X18" s="437">
        <v>24</v>
      </c>
      <c r="Y18" s="437">
        <v>25</v>
      </c>
      <c r="Z18" s="437">
        <v>26</v>
      </c>
      <c r="AA18" s="437">
        <v>27</v>
      </c>
      <c r="AB18" s="437">
        <v>28</v>
      </c>
      <c r="AC18" s="437">
        <v>29</v>
      </c>
      <c r="AD18" s="158"/>
    </row>
    <row r="19" spans="2:30" s="178" customFormat="1" ht="34.5" customHeight="1" thickBot="1" thickTop="1">
      <c r="B19" s="179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8" t="s">
        <v>66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405"/>
      <c r="L20" s="406"/>
      <c r="M20" s="199"/>
      <c r="N20" s="199"/>
      <c r="O20" s="197"/>
      <c r="P20" s="197"/>
      <c r="Q20" s="197"/>
      <c r="R20" s="197"/>
      <c r="S20" s="74"/>
      <c r="T20" s="72"/>
      <c r="U20" s="200"/>
      <c r="V20" s="201"/>
      <c r="W20" s="202"/>
      <c r="X20" s="203"/>
      <c r="Y20" s="204"/>
      <c r="Z20" s="205"/>
      <c r="AA20" s="206"/>
      <c r="AB20" s="197"/>
      <c r="AC20" s="207">
        <f>'T-09 (1)'!AC41</f>
        <v>4308.17</v>
      </c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446"/>
      <c r="L21" s="447"/>
      <c r="M21" s="212"/>
      <c r="N21" s="212"/>
      <c r="O21" s="210"/>
      <c r="P21" s="210"/>
      <c r="Q21" s="210"/>
      <c r="R21" s="210"/>
      <c r="S21" s="88"/>
      <c r="T21" s="86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74</v>
      </c>
      <c r="D22" s="208">
        <v>251557</v>
      </c>
      <c r="E22" s="208">
        <v>4679</v>
      </c>
      <c r="F22" s="77" t="s">
        <v>194</v>
      </c>
      <c r="G22" s="79" t="s">
        <v>179</v>
      </c>
      <c r="H22" s="221">
        <v>30</v>
      </c>
      <c r="I22" s="90" t="s">
        <v>173</v>
      </c>
      <c r="J22" s="223">
        <f aca="true" t="shared" si="0" ref="J22:J43">H22*$I$16</f>
        <v>20.79</v>
      </c>
      <c r="K22" s="446">
        <v>41161.34305555555</v>
      </c>
      <c r="L22" s="446">
        <v>41161.48333333333</v>
      </c>
      <c r="M22" s="224">
        <f aca="true" t="shared" si="1" ref="M22:M43">IF(F22="","",(L22-K22)*24)</f>
        <v>3.366666666639503</v>
      </c>
      <c r="N22" s="225">
        <f aca="true" t="shared" si="2" ref="N22:N43">IF(F22="","",ROUND((L22-K22)*24*60,0))</f>
        <v>202</v>
      </c>
      <c r="O22" s="226" t="s">
        <v>143</v>
      </c>
      <c r="P22" s="438" t="str">
        <f aca="true" t="shared" si="3" ref="P22:P43">IF(F22="","",IF(OR(O22="P",O22="RP"),"--","NO"))</f>
        <v>--</v>
      </c>
      <c r="Q22" s="438" t="s">
        <v>145</v>
      </c>
      <c r="R22" s="438" t="str">
        <f aca="true" t="shared" si="4" ref="R22:R43">IF(F22="","","NO")</f>
        <v>NO</v>
      </c>
      <c r="S22" s="105">
        <f aca="true" t="shared" si="5" ref="S22:S43">$I$17*IF(OR(O22="P",O22="RP"),0.1,1)*IF(R22="SI",1,0.1)</f>
        <v>0.6000000000000001</v>
      </c>
      <c r="T22" s="228">
        <f aca="true" t="shared" si="6" ref="T22:T43">IF(O22="P",J22*S22*ROUND(N22/60,2),"--")</f>
        <v>42.037380000000006</v>
      </c>
      <c r="U22" s="229" t="str">
        <f aca="true" t="shared" si="7" ref="U22:U43">IF(O22="RP",J22*S22*ROUND(N22/60,2)*Q22/100,"--")</f>
        <v>--</v>
      </c>
      <c r="V22" s="230" t="str">
        <f aca="true" t="shared" si="8" ref="V22:V43">IF(AND(O22="F",P22="NO"),J22*S22,"--")</f>
        <v>--</v>
      </c>
      <c r="W22" s="231" t="str">
        <f aca="true" t="shared" si="9" ref="W22:W43">IF(O22="F",J22*S22*ROUND(N22/60,2),"--")</f>
        <v>--</v>
      </c>
      <c r="X22" s="232" t="str">
        <f aca="true" t="shared" si="10" ref="X22:X43">IF(AND(O22="R",P22="NO"),J22*S22*Q22/100,"--")</f>
        <v>--</v>
      </c>
      <c r="Y22" s="233" t="str">
        <f aca="true" t="shared" si="11" ref="Y22:Y43">IF(O22="R",J22*S22*ROUND(N22/60,2)*Q22/100,"--")</f>
        <v>--</v>
      </c>
      <c r="Z22" s="234" t="str">
        <f aca="true" t="shared" si="12" ref="Z22:Z43">IF(O22="RF",J22*S22*ROUND(N22/60,2),"--")</f>
        <v>--</v>
      </c>
      <c r="AA22" s="235" t="str">
        <f aca="true" t="shared" si="13" ref="AA22:AA43">IF(O22="RR",J22*S22*ROUND(N22/60,2)*Q22/100,"--")</f>
        <v>--</v>
      </c>
      <c r="AB22" s="438" t="s">
        <v>144</v>
      </c>
      <c r="AC22" s="236">
        <f aca="true" t="shared" si="14" ref="AC22:AC43">IF(F22="","",SUM(T22:AA22)*IF(AB22="SI",1,2)*IF(AND(Q22&lt;&gt;"",O22="RF"),Q22/100,1))</f>
        <v>42.037380000000006</v>
      </c>
      <c r="AD22" s="237"/>
    </row>
    <row r="23" spans="2:30" s="1" customFormat="1" ht="16.5" customHeight="1">
      <c r="B23" s="157"/>
      <c r="C23" s="208">
        <v>75</v>
      </c>
      <c r="D23" s="208">
        <v>251759</v>
      </c>
      <c r="E23" s="208">
        <v>2510</v>
      </c>
      <c r="F23" s="77" t="s">
        <v>191</v>
      </c>
      <c r="G23" s="79" t="s">
        <v>179</v>
      </c>
      <c r="H23" s="221">
        <v>40</v>
      </c>
      <c r="I23" s="90" t="s">
        <v>173</v>
      </c>
      <c r="J23" s="223">
        <f t="shared" si="0"/>
        <v>27.72</v>
      </c>
      <c r="K23" s="446">
        <v>41162.39097222222</v>
      </c>
      <c r="L23" s="446">
        <v>41162.59652777778</v>
      </c>
      <c r="M23" s="224">
        <f t="shared" si="1"/>
        <v>4.933333333348855</v>
      </c>
      <c r="N23" s="225">
        <f t="shared" si="2"/>
        <v>296</v>
      </c>
      <c r="O23" s="226" t="s">
        <v>143</v>
      </c>
      <c r="P23" s="438" t="str">
        <f t="shared" si="3"/>
        <v>--</v>
      </c>
      <c r="Q23" s="438" t="s">
        <v>145</v>
      </c>
      <c r="R23" s="438" t="str">
        <f t="shared" si="4"/>
        <v>NO</v>
      </c>
      <c r="S23" s="105">
        <f t="shared" si="5"/>
        <v>0.6000000000000001</v>
      </c>
      <c r="T23" s="228">
        <f t="shared" si="6"/>
        <v>81.99576</v>
      </c>
      <c r="U23" s="229" t="str">
        <f t="shared" si="7"/>
        <v>--</v>
      </c>
      <c r="V23" s="230" t="str">
        <f t="shared" si="8"/>
        <v>--</v>
      </c>
      <c r="W23" s="231" t="str">
        <f t="shared" si="9"/>
        <v>--</v>
      </c>
      <c r="X23" s="232" t="str">
        <f t="shared" si="10"/>
        <v>--</v>
      </c>
      <c r="Y23" s="233" t="str">
        <f t="shared" si="11"/>
        <v>--</v>
      </c>
      <c r="Z23" s="234" t="str">
        <f t="shared" si="12"/>
        <v>--</v>
      </c>
      <c r="AA23" s="235" t="str">
        <f t="shared" si="13"/>
        <v>--</v>
      </c>
      <c r="AB23" s="438" t="s">
        <v>144</v>
      </c>
      <c r="AC23" s="236">
        <f t="shared" si="14"/>
        <v>81.99576</v>
      </c>
      <c r="AD23" s="237"/>
    </row>
    <row r="24" spans="2:30" s="1" customFormat="1" ht="16.5" customHeight="1">
      <c r="B24" s="157"/>
      <c r="C24" s="208">
        <v>76</v>
      </c>
      <c r="D24" s="208">
        <v>251762</v>
      </c>
      <c r="E24" s="208">
        <v>2272</v>
      </c>
      <c r="F24" s="77" t="s">
        <v>195</v>
      </c>
      <c r="G24" s="79" t="s">
        <v>179</v>
      </c>
      <c r="H24" s="221">
        <v>5</v>
      </c>
      <c r="I24" s="90" t="s">
        <v>196</v>
      </c>
      <c r="J24" s="223">
        <f t="shared" si="0"/>
        <v>3.465</v>
      </c>
      <c r="K24" s="446">
        <v>41162.44652777778</v>
      </c>
      <c r="L24" s="446">
        <v>41162.61111111111</v>
      </c>
      <c r="M24" s="224">
        <f t="shared" si="1"/>
        <v>3.949999999953434</v>
      </c>
      <c r="N24" s="225">
        <f t="shared" si="2"/>
        <v>237</v>
      </c>
      <c r="O24" s="226" t="s">
        <v>143</v>
      </c>
      <c r="P24" s="438" t="str">
        <f t="shared" si="3"/>
        <v>--</v>
      </c>
      <c r="Q24" s="438" t="s">
        <v>145</v>
      </c>
      <c r="R24" s="438" t="str">
        <f t="shared" si="4"/>
        <v>NO</v>
      </c>
      <c r="S24" s="105">
        <f t="shared" si="5"/>
        <v>0.6000000000000001</v>
      </c>
      <c r="T24" s="228">
        <f t="shared" si="6"/>
        <v>8.212050000000001</v>
      </c>
      <c r="U24" s="229" t="str">
        <f t="shared" si="7"/>
        <v>--</v>
      </c>
      <c r="V24" s="230" t="str">
        <f t="shared" si="8"/>
        <v>--</v>
      </c>
      <c r="W24" s="231" t="str">
        <f t="shared" si="9"/>
        <v>--</v>
      </c>
      <c r="X24" s="232" t="str">
        <f t="shared" si="10"/>
        <v>--</v>
      </c>
      <c r="Y24" s="233" t="str">
        <f t="shared" si="11"/>
        <v>--</v>
      </c>
      <c r="Z24" s="234" t="str">
        <f t="shared" si="12"/>
        <v>--</v>
      </c>
      <c r="AA24" s="235" t="str">
        <f t="shared" si="13"/>
        <v>--</v>
      </c>
      <c r="AB24" s="438" t="s">
        <v>144</v>
      </c>
      <c r="AC24" s="236">
        <f t="shared" si="14"/>
        <v>8.212050000000001</v>
      </c>
      <c r="AD24" s="158"/>
    </row>
    <row r="25" spans="2:30" s="1" customFormat="1" ht="16.5" customHeight="1">
      <c r="B25" s="157"/>
      <c r="C25" s="208">
        <v>77</v>
      </c>
      <c r="D25" s="208">
        <v>251763</v>
      </c>
      <c r="E25" s="208">
        <v>2458</v>
      </c>
      <c r="F25" s="77" t="s">
        <v>197</v>
      </c>
      <c r="G25" s="79" t="s">
        <v>179</v>
      </c>
      <c r="H25" s="221">
        <v>15</v>
      </c>
      <c r="I25" s="90" t="s">
        <v>173</v>
      </c>
      <c r="J25" s="223">
        <f t="shared" si="0"/>
        <v>10.395</v>
      </c>
      <c r="K25" s="446">
        <v>41162.45208333333</v>
      </c>
      <c r="L25" s="446">
        <v>41162.64791666667</v>
      </c>
      <c r="M25" s="224">
        <f t="shared" si="1"/>
        <v>4.700000000128057</v>
      </c>
      <c r="N25" s="225">
        <f t="shared" si="2"/>
        <v>282</v>
      </c>
      <c r="O25" s="226" t="s">
        <v>143</v>
      </c>
      <c r="P25" s="438" t="str">
        <f t="shared" si="3"/>
        <v>--</v>
      </c>
      <c r="Q25" s="438" t="s">
        <v>145</v>
      </c>
      <c r="R25" s="438" t="str">
        <f t="shared" si="4"/>
        <v>NO</v>
      </c>
      <c r="S25" s="105">
        <f t="shared" si="5"/>
        <v>0.6000000000000001</v>
      </c>
      <c r="T25" s="228">
        <f t="shared" si="6"/>
        <v>29.313900000000007</v>
      </c>
      <c r="U25" s="229" t="str">
        <f t="shared" si="7"/>
        <v>--</v>
      </c>
      <c r="V25" s="230" t="str">
        <f t="shared" si="8"/>
        <v>--</v>
      </c>
      <c r="W25" s="231" t="str">
        <f t="shared" si="9"/>
        <v>--</v>
      </c>
      <c r="X25" s="232" t="str">
        <f t="shared" si="10"/>
        <v>--</v>
      </c>
      <c r="Y25" s="233" t="str">
        <f t="shared" si="11"/>
        <v>--</v>
      </c>
      <c r="Z25" s="234" t="str">
        <f t="shared" si="12"/>
        <v>--</v>
      </c>
      <c r="AA25" s="235" t="str">
        <f t="shared" si="13"/>
        <v>--</v>
      </c>
      <c r="AB25" s="438" t="s">
        <v>144</v>
      </c>
      <c r="AC25" s="236">
        <f t="shared" si="14"/>
        <v>29.313900000000007</v>
      </c>
      <c r="AD25" s="158"/>
    </row>
    <row r="26" spans="2:30" s="1" customFormat="1" ht="16.5" customHeight="1">
      <c r="B26" s="157"/>
      <c r="C26" s="208">
        <v>78</v>
      </c>
      <c r="D26" s="208">
        <v>251764</v>
      </c>
      <c r="E26" s="208">
        <v>2458</v>
      </c>
      <c r="F26" s="77" t="s">
        <v>197</v>
      </c>
      <c r="G26" s="79" t="s">
        <v>179</v>
      </c>
      <c r="H26" s="221">
        <v>15</v>
      </c>
      <c r="I26" s="90" t="s">
        <v>173</v>
      </c>
      <c r="J26" s="223">
        <f t="shared" si="0"/>
        <v>10.395</v>
      </c>
      <c r="K26" s="446">
        <v>41163.33888888889</v>
      </c>
      <c r="L26" s="446">
        <v>41163.72430555556</v>
      </c>
      <c r="M26" s="224">
        <f t="shared" si="1"/>
        <v>9.250000000116415</v>
      </c>
      <c r="N26" s="225">
        <f t="shared" si="2"/>
        <v>555</v>
      </c>
      <c r="O26" s="226" t="s">
        <v>143</v>
      </c>
      <c r="P26" s="438" t="str">
        <f t="shared" si="3"/>
        <v>--</v>
      </c>
      <c r="Q26" s="438" t="s">
        <v>145</v>
      </c>
      <c r="R26" s="438" t="str">
        <f t="shared" si="4"/>
        <v>NO</v>
      </c>
      <c r="S26" s="105">
        <f t="shared" si="5"/>
        <v>0.6000000000000001</v>
      </c>
      <c r="T26" s="228">
        <f t="shared" si="6"/>
        <v>57.69225000000001</v>
      </c>
      <c r="U26" s="229" t="str">
        <f t="shared" si="7"/>
        <v>--</v>
      </c>
      <c r="V26" s="230" t="str">
        <f t="shared" si="8"/>
        <v>--</v>
      </c>
      <c r="W26" s="231" t="str">
        <f t="shared" si="9"/>
        <v>--</v>
      </c>
      <c r="X26" s="232" t="str">
        <f t="shared" si="10"/>
        <v>--</v>
      </c>
      <c r="Y26" s="233" t="str">
        <f t="shared" si="11"/>
        <v>--</v>
      </c>
      <c r="Z26" s="234" t="str">
        <f t="shared" si="12"/>
        <v>--</v>
      </c>
      <c r="AA26" s="235" t="str">
        <f t="shared" si="13"/>
        <v>--</v>
      </c>
      <c r="AB26" s="438" t="s">
        <v>144</v>
      </c>
      <c r="AC26" s="236">
        <f t="shared" si="14"/>
        <v>57.69225000000001</v>
      </c>
      <c r="AD26" s="158"/>
    </row>
    <row r="27" spans="2:30" s="1" customFormat="1" ht="16.5" customHeight="1">
      <c r="B27" s="157"/>
      <c r="C27" s="208">
        <v>79</v>
      </c>
      <c r="D27" s="208">
        <v>251770</v>
      </c>
      <c r="E27" s="208">
        <v>2510</v>
      </c>
      <c r="F27" s="77" t="s">
        <v>191</v>
      </c>
      <c r="G27" s="79" t="s">
        <v>179</v>
      </c>
      <c r="H27" s="221">
        <v>40</v>
      </c>
      <c r="I27" s="90" t="s">
        <v>173</v>
      </c>
      <c r="J27" s="223">
        <f t="shared" si="0"/>
        <v>27.72</v>
      </c>
      <c r="K27" s="446">
        <v>41163.413194444445</v>
      </c>
      <c r="L27" s="446">
        <v>41163.63611111111</v>
      </c>
      <c r="M27" s="224">
        <f t="shared" si="1"/>
        <v>5.349999999976717</v>
      </c>
      <c r="N27" s="225">
        <f t="shared" si="2"/>
        <v>321</v>
      </c>
      <c r="O27" s="226" t="s">
        <v>143</v>
      </c>
      <c r="P27" s="438" t="str">
        <f t="shared" si="3"/>
        <v>--</v>
      </c>
      <c r="Q27" s="438" t="s">
        <v>145</v>
      </c>
      <c r="R27" s="438" t="str">
        <f t="shared" si="4"/>
        <v>NO</v>
      </c>
      <c r="S27" s="105">
        <f t="shared" si="5"/>
        <v>0.6000000000000001</v>
      </c>
      <c r="T27" s="228">
        <f t="shared" si="6"/>
        <v>88.9812</v>
      </c>
      <c r="U27" s="229" t="str">
        <f t="shared" si="7"/>
        <v>--</v>
      </c>
      <c r="V27" s="230" t="str">
        <f t="shared" si="8"/>
        <v>--</v>
      </c>
      <c r="W27" s="231" t="str">
        <f t="shared" si="9"/>
        <v>--</v>
      </c>
      <c r="X27" s="232" t="str">
        <f t="shared" si="10"/>
        <v>--</v>
      </c>
      <c r="Y27" s="233" t="str">
        <f t="shared" si="11"/>
        <v>--</v>
      </c>
      <c r="Z27" s="234" t="str">
        <f t="shared" si="12"/>
        <v>--</v>
      </c>
      <c r="AA27" s="235" t="str">
        <f t="shared" si="13"/>
        <v>--</v>
      </c>
      <c r="AB27" s="438" t="s">
        <v>144</v>
      </c>
      <c r="AC27" s="236">
        <f t="shared" si="14"/>
        <v>88.9812</v>
      </c>
      <c r="AD27" s="158"/>
    </row>
    <row r="28" spans="2:30" s="1" customFormat="1" ht="16.5" customHeight="1">
      <c r="B28" s="157"/>
      <c r="C28" s="208">
        <v>80</v>
      </c>
      <c r="D28" s="208">
        <v>251772</v>
      </c>
      <c r="E28" s="208">
        <v>2271</v>
      </c>
      <c r="F28" s="77" t="s">
        <v>195</v>
      </c>
      <c r="G28" s="79" t="s">
        <v>179</v>
      </c>
      <c r="H28" s="221">
        <v>5</v>
      </c>
      <c r="I28" s="90" t="s">
        <v>196</v>
      </c>
      <c r="J28" s="223">
        <f t="shared" si="0"/>
        <v>3.465</v>
      </c>
      <c r="K28" s="446">
        <v>41163.45</v>
      </c>
      <c r="L28" s="446">
        <v>41163.657638888886</v>
      </c>
      <c r="M28" s="224">
        <f t="shared" si="1"/>
        <v>4.983333333337214</v>
      </c>
      <c r="N28" s="225">
        <f t="shared" si="2"/>
        <v>299</v>
      </c>
      <c r="O28" s="226" t="s">
        <v>143</v>
      </c>
      <c r="P28" s="438" t="str">
        <f t="shared" si="3"/>
        <v>--</v>
      </c>
      <c r="Q28" s="438" t="s">
        <v>145</v>
      </c>
      <c r="R28" s="438" t="str">
        <f t="shared" si="4"/>
        <v>NO</v>
      </c>
      <c r="S28" s="105">
        <f t="shared" si="5"/>
        <v>0.6000000000000001</v>
      </c>
      <c r="T28" s="228">
        <f t="shared" si="6"/>
        <v>10.353420000000002</v>
      </c>
      <c r="U28" s="229" t="str">
        <f t="shared" si="7"/>
        <v>--</v>
      </c>
      <c r="V28" s="230" t="str">
        <f t="shared" si="8"/>
        <v>--</v>
      </c>
      <c r="W28" s="231" t="str">
        <f t="shared" si="9"/>
        <v>--</v>
      </c>
      <c r="X28" s="232" t="str">
        <f t="shared" si="10"/>
        <v>--</v>
      </c>
      <c r="Y28" s="233" t="str">
        <f t="shared" si="11"/>
        <v>--</v>
      </c>
      <c r="Z28" s="234" t="str">
        <f t="shared" si="12"/>
        <v>--</v>
      </c>
      <c r="AA28" s="235" t="str">
        <f t="shared" si="13"/>
        <v>--</v>
      </c>
      <c r="AB28" s="438" t="s">
        <v>144</v>
      </c>
      <c r="AC28" s="236">
        <f t="shared" si="14"/>
        <v>10.353420000000002</v>
      </c>
      <c r="AD28" s="158"/>
    </row>
    <row r="29" spans="2:30" s="1" customFormat="1" ht="16.5" customHeight="1">
      <c r="B29" s="157"/>
      <c r="C29" s="208">
        <v>81</v>
      </c>
      <c r="D29" s="208">
        <v>251775</v>
      </c>
      <c r="E29" s="208">
        <v>2065</v>
      </c>
      <c r="F29" s="77" t="s">
        <v>198</v>
      </c>
      <c r="G29" s="79" t="s">
        <v>179</v>
      </c>
      <c r="H29" s="221">
        <v>15</v>
      </c>
      <c r="I29" s="450" t="s">
        <v>292</v>
      </c>
      <c r="J29" s="223">
        <f t="shared" si="0"/>
        <v>10.395</v>
      </c>
      <c r="K29" s="446">
        <v>41164.34583333333</v>
      </c>
      <c r="L29" s="446">
        <v>41164.799305555556</v>
      </c>
      <c r="M29" s="224">
        <f t="shared" si="1"/>
        <v>10.883333333360497</v>
      </c>
      <c r="N29" s="225">
        <f t="shared" si="2"/>
        <v>653</v>
      </c>
      <c r="O29" s="226" t="s">
        <v>143</v>
      </c>
      <c r="P29" s="438" t="str">
        <f t="shared" si="3"/>
        <v>--</v>
      </c>
      <c r="Q29" s="438" t="s">
        <v>145</v>
      </c>
      <c r="R29" s="438" t="str">
        <f t="shared" si="4"/>
        <v>NO</v>
      </c>
      <c r="S29" s="105">
        <f t="shared" si="5"/>
        <v>0.6000000000000001</v>
      </c>
      <c r="T29" s="228">
        <f t="shared" si="6"/>
        <v>67.85856000000001</v>
      </c>
      <c r="U29" s="229" t="str">
        <f t="shared" si="7"/>
        <v>--</v>
      </c>
      <c r="V29" s="230" t="str">
        <f t="shared" si="8"/>
        <v>--</v>
      </c>
      <c r="W29" s="231" t="str">
        <f t="shared" si="9"/>
        <v>--</v>
      </c>
      <c r="X29" s="232" t="str">
        <f t="shared" si="10"/>
        <v>--</v>
      </c>
      <c r="Y29" s="233" t="str">
        <f t="shared" si="11"/>
        <v>--</v>
      </c>
      <c r="Z29" s="234" t="str">
        <f t="shared" si="12"/>
        <v>--</v>
      </c>
      <c r="AA29" s="235" t="str">
        <f t="shared" si="13"/>
        <v>--</v>
      </c>
      <c r="AB29" s="438" t="s">
        <v>144</v>
      </c>
      <c r="AC29" s="236">
        <f t="shared" si="14"/>
        <v>67.85856000000001</v>
      </c>
      <c r="AD29" s="158"/>
    </row>
    <row r="30" spans="2:30" s="1" customFormat="1" ht="16.5" customHeight="1">
      <c r="B30" s="157"/>
      <c r="C30" s="208">
        <v>82</v>
      </c>
      <c r="D30" s="208">
        <v>251777</v>
      </c>
      <c r="E30" s="208">
        <v>2458</v>
      </c>
      <c r="F30" s="77" t="s">
        <v>197</v>
      </c>
      <c r="G30" s="79" t="s">
        <v>179</v>
      </c>
      <c r="H30" s="221">
        <v>15</v>
      </c>
      <c r="I30" s="90" t="s">
        <v>173</v>
      </c>
      <c r="J30" s="223">
        <f t="shared" si="0"/>
        <v>10.395</v>
      </c>
      <c r="K30" s="446">
        <v>41164.35555555556</v>
      </c>
      <c r="L30" s="446">
        <v>41164.728472222225</v>
      </c>
      <c r="M30" s="224">
        <f t="shared" si="1"/>
        <v>8.950000000011642</v>
      </c>
      <c r="N30" s="225">
        <f t="shared" si="2"/>
        <v>537</v>
      </c>
      <c r="O30" s="226" t="s">
        <v>143</v>
      </c>
      <c r="P30" s="438" t="str">
        <f t="shared" si="3"/>
        <v>--</v>
      </c>
      <c r="Q30" s="438" t="s">
        <v>145</v>
      </c>
      <c r="R30" s="438" t="str">
        <f t="shared" si="4"/>
        <v>NO</v>
      </c>
      <c r="S30" s="105">
        <f t="shared" si="5"/>
        <v>0.6000000000000001</v>
      </c>
      <c r="T30" s="228">
        <f t="shared" si="6"/>
        <v>55.82115</v>
      </c>
      <c r="U30" s="229" t="str">
        <f t="shared" si="7"/>
        <v>--</v>
      </c>
      <c r="V30" s="230" t="str">
        <f t="shared" si="8"/>
        <v>--</v>
      </c>
      <c r="W30" s="231" t="str">
        <f t="shared" si="9"/>
        <v>--</v>
      </c>
      <c r="X30" s="232" t="str">
        <f t="shared" si="10"/>
        <v>--</v>
      </c>
      <c r="Y30" s="233" t="str">
        <f t="shared" si="11"/>
        <v>--</v>
      </c>
      <c r="Z30" s="234" t="str">
        <f t="shared" si="12"/>
        <v>--</v>
      </c>
      <c r="AA30" s="235" t="str">
        <f t="shared" si="13"/>
        <v>--</v>
      </c>
      <c r="AB30" s="438" t="s">
        <v>144</v>
      </c>
      <c r="AC30" s="236">
        <f t="shared" si="14"/>
        <v>55.82115</v>
      </c>
      <c r="AD30" s="158"/>
    </row>
    <row r="31" spans="2:30" s="1" customFormat="1" ht="16.5" customHeight="1">
      <c r="B31" s="157"/>
      <c r="C31" s="208">
        <v>83</v>
      </c>
      <c r="D31" s="208">
        <v>251778</v>
      </c>
      <c r="E31" s="208">
        <v>3727</v>
      </c>
      <c r="F31" s="77" t="s">
        <v>195</v>
      </c>
      <c r="G31" s="79" t="s">
        <v>189</v>
      </c>
      <c r="H31" s="221">
        <v>30</v>
      </c>
      <c r="I31" s="90" t="s">
        <v>173</v>
      </c>
      <c r="J31" s="223">
        <f t="shared" si="0"/>
        <v>20.79</v>
      </c>
      <c r="K31" s="446">
        <v>41164.36875</v>
      </c>
      <c r="L31" s="446">
        <v>41164.64444444444</v>
      </c>
      <c r="M31" s="224">
        <f t="shared" si="1"/>
        <v>6.616666666581295</v>
      </c>
      <c r="N31" s="225">
        <f t="shared" si="2"/>
        <v>397</v>
      </c>
      <c r="O31" s="226" t="s">
        <v>143</v>
      </c>
      <c r="P31" s="438" t="str">
        <f t="shared" si="3"/>
        <v>--</v>
      </c>
      <c r="Q31" s="438" t="s">
        <v>145</v>
      </c>
      <c r="R31" s="438" t="str">
        <f t="shared" si="4"/>
        <v>NO</v>
      </c>
      <c r="S31" s="105">
        <f t="shared" si="5"/>
        <v>0.6000000000000001</v>
      </c>
      <c r="T31" s="228">
        <f t="shared" si="6"/>
        <v>82.57788000000001</v>
      </c>
      <c r="U31" s="229" t="str">
        <f t="shared" si="7"/>
        <v>--</v>
      </c>
      <c r="V31" s="230" t="str">
        <f t="shared" si="8"/>
        <v>--</v>
      </c>
      <c r="W31" s="231" t="str">
        <f t="shared" si="9"/>
        <v>--</v>
      </c>
      <c r="X31" s="232" t="str">
        <f t="shared" si="10"/>
        <v>--</v>
      </c>
      <c r="Y31" s="233" t="str">
        <f t="shared" si="11"/>
        <v>--</v>
      </c>
      <c r="Z31" s="234" t="str">
        <f t="shared" si="12"/>
        <v>--</v>
      </c>
      <c r="AA31" s="235" t="str">
        <f t="shared" si="13"/>
        <v>--</v>
      </c>
      <c r="AB31" s="438" t="s">
        <v>144</v>
      </c>
      <c r="AC31" s="236">
        <f t="shared" si="14"/>
        <v>82.57788000000001</v>
      </c>
      <c r="AD31" s="158"/>
    </row>
    <row r="32" spans="2:30" s="1" customFormat="1" ht="16.5" customHeight="1">
      <c r="B32" s="157"/>
      <c r="C32" s="208">
        <v>84</v>
      </c>
      <c r="D32" s="208">
        <v>251780</v>
      </c>
      <c r="E32" s="208">
        <v>2431</v>
      </c>
      <c r="F32" s="77" t="s">
        <v>188</v>
      </c>
      <c r="G32" s="79" t="s">
        <v>189</v>
      </c>
      <c r="H32" s="221">
        <v>40</v>
      </c>
      <c r="I32" s="90" t="s">
        <v>190</v>
      </c>
      <c r="J32" s="223">
        <f t="shared" si="0"/>
        <v>27.72</v>
      </c>
      <c r="K32" s="446">
        <v>41164.37708333333</v>
      </c>
      <c r="L32" s="446">
        <v>41164.59583333333</v>
      </c>
      <c r="M32" s="224">
        <f t="shared" si="1"/>
        <v>5.25</v>
      </c>
      <c r="N32" s="225">
        <f t="shared" si="2"/>
        <v>315</v>
      </c>
      <c r="O32" s="226" t="s">
        <v>143</v>
      </c>
      <c r="P32" s="438" t="str">
        <f t="shared" si="3"/>
        <v>--</v>
      </c>
      <c r="Q32" s="438" t="s">
        <v>145</v>
      </c>
      <c r="R32" s="438" t="str">
        <f t="shared" si="4"/>
        <v>NO</v>
      </c>
      <c r="S32" s="105">
        <f t="shared" si="5"/>
        <v>0.6000000000000001</v>
      </c>
      <c r="T32" s="228">
        <f t="shared" si="6"/>
        <v>87.31800000000001</v>
      </c>
      <c r="U32" s="229" t="str">
        <f t="shared" si="7"/>
        <v>--</v>
      </c>
      <c r="V32" s="230" t="str">
        <f t="shared" si="8"/>
        <v>--</v>
      </c>
      <c r="W32" s="231" t="str">
        <f t="shared" si="9"/>
        <v>--</v>
      </c>
      <c r="X32" s="232" t="str">
        <f t="shared" si="10"/>
        <v>--</v>
      </c>
      <c r="Y32" s="233" t="str">
        <f t="shared" si="11"/>
        <v>--</v>
      </c>
      <c r="Z32" s="234" t="str">
        <f t="shared" si="12"/>
        <v>--</v>
      </c>
      <c r="AA32" s="235" t="str">
        <f t="shared" si="13"/>
        <v>--</v>
      </c>
      <c r="AB32" s="438" t="s">
        <v>144</v>
      </c>
      <c r="AC32" s="236">
        <f t="shared" si="14"/>
        <v>87.31800000000001</v>
      </c>
      <c r="AD32" s="158"/>
    </row>
    <row r="33" spans="2:30" s="1" customFormat="1" ht="16.5" customHeight="1">
      <c r="B33" s="157"/>
      <c r="C33" s="208">
        <v>85</v>
      </c>
      <c r="D33" s="208">
        <v>251782</v>
      </c>
      <c r="E33" s="208">
        <v>2510</v>
      </c>
      <c r="F33" s="77" t="s">
        <v>191</v>
      </c>
      <c r="G33" s="79" t="s">
        <v>179</v>
      </c>
      <c r="H33" s="221">
        <v>40</v>
      </c>
      <c r="I33" s="90" t="s">
        <v>173</v>
      </c>
      <c r="J33" s="223">
        <f t="shared" si="0"/>
        <v>27.72</v>
      </c>
      <c r="K33" s="446">
        <v>41164.40694444445</v>
      </c>
      <c r="L33" s="446">
        <v>41164.59583333333</v>
      </c>
      <c r="M33" s="224">
        <f t="shared" si="1"/>
        <v>4.533333333267365</v>
      </c>
      <c r="N33" s="225">
        <f t="shared" si="2"/>
        <v>272</v>
      </c>
      <c r="O33" s="226" t="s">
        <v>143</v>
      </c>
      <c r="P33" s="438" t="str">
        <f t="shared" si="3"/>
        <v>--</v>
      </c>
      <c r="Q33" s="438" t="s">
        <v>145</v>
      </c>
      <c r="R33" s="438" t="str">
        <f t="shared" si="4"/>
        <v>NO</v>
      </c>
      <c r="S33" s="105">
        <f t="shared" si="5"/>
        <v>0.6000000000000001</v>
      </c>
      <c r="T33" s="228">
        <f t="shared" si="6"/>
        <v>75.34296</v>
      </c>
      <c r="U33" s="229" t="str">
        <f t="shared" si="7"/>
        <v>--</v>
      </c>
      <c r="V33" s="230" t="str">
        <f t="shared" si="8"/>
        <v>--</v>
      </c>
      <c r="W33" s="231" t="str">
        <f t="shared" si="9"/>
        <v>--</v>
      </c>
      <c r="X33" s="232" t="str">
        <f t="shared" si="10"/>
        <v>--</v>
      </c>
      <c r="Y33" s="233" t="str">
        <f t="shared" si="11"/>
        <v>--</v>
      </c>
      <c r="Z33" s="234" t="str">
        <f t="shared" si="12"/>
        <v>--</v>
      </c>
      <c r="AA33" s="235" t="str">
        <f t="shared" si="13"/>
        <v>--</v>
      </c>
      <c r="AB33" s="438" t="s">
        <v>144</v>
      </c>
      <c r="AC33" s="236">
        <f t="shared" si="14"/>
        <v>75.34296</v>
      </c>
      <c r="AD33" s="158"/>
    </row>
    <row r="34" spans="2:30" s="1" customFormat="1" ht="16.5" customHeight="1">
      <c r="B34" s="157"/>
      <c r="C34" s="208">
        <v>86</v>
      </c>
      <c r="D34" s="208">
        <v>251784</v>
      </c>
      <c r="E34" s="208">
        <v>4420</v>
      </c>
      <c r="F34" s="77" t="s">
        <v>184</v>
      </c>
      <c r="G34" s="79" t="s">
        <v>192</v>
      </c>
      <c r="H34" s="221">
        <v>30</v>
      </c>
      <c r="I34" s="90" t="s">
        <v>173</v>
      </c>
      <c r="J34" s="223">
        <f t="shared" si="0"/>
        <v>20.79</v>
      </c>
      <c r="K34" s="446">
        <v>41164.41458333333</v>
      </c>
      <c r="L34" s="446">
        <v>41164.583333333336</v>
      </c>
      <c r="M34" s="224">
        <f t="shared" si="1"/>
        <v>4.050000000104774</v>
      </c>
      <c r="N34" s="225">
        <f t="shared" si="2"/>
        <v>243</v>
      </c>
      <c r="O34" s="226" t="s">
        <v>143</v>
      </c>
      <c r="P34" s="438" t="str">
        <f t="shared" si="3"/>
        <v>--</v>
      </c>
      <c r="Q34" s="438" t="s">
        <v>145</v>
      </c>
      <c r="R34" s="438" t="str">
        <f t="shared" si="4"/>
        <v>NO</v>
      </c>
      <c r="S34" s="105">
        <f t="shared" si="5"/>
        <v>0.6000000000000001</v>
      </c>
      <c r="T34" s="228">
        <f t="shared" si="6"/>
        <v>50.51970000000001</v>
      </c>
      <c r="U34" s="229" t="str">
        <f t="shared" si="7"/>
        <v>--</v>
      </c>
      <c r="V34" s="230" t="str">
        <f t="shared" si="8"/>
        <v>--</v>
      </c>
      <c r="W34" s="231" t="str">
        <f t="shared" si="9"/>
        <v>--</v>
      </c>
      <c r="X34" s="232" t="str">
        <f t="shared" si="10"/>
        <v>--</v>
      </c>
      <c r="Y34" s="233" t="str">
        <f t="shared" si="11"/>
        <v>--</v>
      </c>
      <c r="Z34" s="234" t="str">
        <f t="shared" si="12"/>
        <v>--</v>
      </c>
      <c r="AA34" s="235" t="str">
        <f t="shared" si="13"/>
        <v>--</v>
      </c>
      <c r="AB34" s="438" t="s">
        <v>144</v>
      </c>
      <c r="AC34" s="236">
        <f t="shared" si="14"/>
        <v>50.51970000000001</v>
      </c>
      <c r="AD34" s="158"/>
    </row>
    <row r="35" spans="2:30" s="1" customFormat="1" ht="16.5" customHeight="1">
      <c r="B35" s="157"/>
      <c r="C35" s="208">
        <v>87</v>
      </c>
      <c r="D35" s="208">
        <v>251791</v>
      </c>
      <c r="E35" s="208">
        <v>2331</v>
      </c>
      <c r="F35" s="77" t="s">
        <v>199</v>
      </c>
      <c r="G35" s="79" t="s">
        <v>189</v>
      </c>
      <c r="H35" s="221">
        <v>15</v>
      </c>
      <c r="I35" s="90" t="s">
        <v>190</v>
      </c>
      <c r="J35" s="223">
        <f t="shared" si="0"/>
        <v>10.395</v>
      </c>
      <c r="K35" s="446">
        <v>41165.31041666667</v>
      </c>
      <c r="L35" s="446">
        <v>41165.365277777775</v>
      </c>
      <c r="M35" s="224">
        <f t="shared" si="1"/>
        <v>1.316666666592937</v>
      </c>
      <c r="N35" s="225">
        <f t="shared" si="2"/>
        <v>79</v>
      </c>
      <c r="O35" s="226" t="s">
        <v>153</v>
      </c>
      <c r="P35" s="438" t="str">
        <f t="shared" si="3"/>
        <v>NO</v>
      </c>
      <c r="Q35" s="438" t="s">
        <v>145</v>
      </c>
      <c r="R35" s="438" t="s">
        <v>144</v>
      </c>
      <c r="S35" s="105">
        <f t="shared" si="5"/>
        <v>60</v>
      </c>
      <c r="T35" s="228" t="str">
        <f t="shared" si="6"/>
        <v>--</v>
      </c>
      <c r="U35" s="229" t="str">
        <f t="shared" si="7"/>
        <v>--</v>
      </c>
      <c r="V35" s="230">
        <f t="shared" si="8"/>
        <v>623.6999999999999</v>
      </c>
      <c r="W35" s="231">
        <f t="shared" si="9"/>
        <v>823.284</v>
      </c>
      <c r="X35" s="232" t="str">
        <f t="shared" si="10"/>
        <v>--</v>
      </c>
      <c r="Y35" s="233" t="str">
        <f t="shared" si="11"/>
        <v>--</v>
      </c>
      <c r="Z35" s="234" t="str">
        <f t="shared" si="12"/>
        <v>--</v>
      </c>
      <c r="AA35" s="235" t="str">
        <f t="shared" si="13"/>
        <v>--</v>
      </c>
      <c r="AB35" s="438" t="s">
        <v>144</v>
      </c>
      <c r="AC35" s="236">
        <f t="shared" si="14"/>
        <v>1446.984</v>
      </c>
      <c r="AD35" s="158"/>
    </row>
    <row r="36" spans="2:30" s="1" customFormat="1" ht="16.5" customHeight="1">
      <c r="B36" s="157"/>
      <c r="C36" s="208" t="s">
        <v>321</v>
      </c>
      <c r="D36" s="208">
        <v>251791</v>
      </c>
      <c r="E36" s="208">
        <v>2331</v>
      </c>
      <c r="F36" s="77" t="s">
        <v>199</v>
      </c>
      <c r="G36" s="79" t="s">
        <v>189</v>
      </c>
      <c r="H36" s="221">
        <v>15</v>
      </c>
      <c r="I36" s="90" t="s">
        <v>190</v>
      </c>
      <c r="J36" s="223">
        <f>H36*$I$16</f>
        <v>10.395</v>
      </c>
      <c r="K36" s="446">
        <v>41165.36597222222</v>
      </c>
      <c r="L36" s="446">
        <v>41167.751388888886</v>
      </c>
      <c r="M36" s="224">
        <f>IF(F36="","",(L36-K36)*24)</f>
        <v>57.24999999994179</v>
      </c>
      <c r="N36" s="225">
        <f>IF(F36="","",ROUND((L36-K36)*24*60,0))</f>
        <v>3435</v>
      </c>
      <c r="O36" s="226" t="s">
        <v>318</v>
      </c>
      <c r="P36" s="438" t="str">
        <f>IF(F36="","",IF(OR(O36="P",O36="RP"),"--","NO"))</f>
        <v>NO</v>
      </c>
      <c r="Q36" s="438"/>
      <c r="R36" s="438" t="s">
        <v>319</v>
      </c>
      <c r="S36" s="105">
        <f>$I$17*IF(OR(O36="P",O36="RP"),0.1,1)*IF(R36="SI",1,0.1)</f>
        <v>6</v>
      </c>
      <c r="T36" s="228" t="str">
        <f>IF(O36="P",J36*S36*ROUND(N36/60,2),"--")</f>
        <v>--</v>
      </c>
      <c r="U36" s="229" t="str">
        <f>IF(O36="RP",J36*S36*ROUND(N36/60,2)*Q36/100,"--")</f>
        <v>--</v>
      </c>
      <c r="V36" s="230" t="str">
        <f>IF(AND(O36="F",P36="NO"),J36*S36,"--")</f>
        <v>--</v>
      </c>
      <c r="W36" s="231" t="str">
        <f>IF(O36="F",J36*S36*ROUND(N36/60,2),"--")</f>
        <v>--</v>
      </c>
      <c r="X36" s="232" t="str">
        <f>IF(AND(O36="R",P36="NO"),J36*S36*Q36/100,"--")</f>
        <v>--</v>
      </c>
      <c r="Y36" s="233" t="str">
        <f>IF(O36="R",J36*S36*ROUND(N36/60,2)*Q36/100,"--")</f>
        <v>--</v>
      </c>
      <c r="Z36" s="234">
        <f>IF(O36="RF",J36*S36*ROUND(N36/60,2),"--")</f>
        <v>3570.6825</v>
      </c>
      <c r="AA36" s="235" t="str">
        <f>IF(O36="RR",J36*S36*ROUND(N36/60,2)*Q36/100,"--")</f>
        <v>--</v>
      </c>
      <c r="AB36" s="438" t="s">
        <v>144</v>
      </c>
      <c r="AC36" s="236">
        <f>IF(F36="","",SUM(T36:AA36)*IF(AB36="SI",1,2)*IF(AND(Q36&lt;&gt;"",O36="RF"),Q36/100,1))</f>
        <v>3570.6825</v>
      </c>
      <c r="AD36" s="158"/>
    </row>
    <row r="37" spans="2:30" s="1" customFormat="1" ht="16.5" customHeight="1">
      <c r="B37" s="157"/>
      <c r="C37" s="208">
        <v>88</v>
      </c>
      <c r="D37" s="208">
        <v>251792</v>
      </c>
      <c r="E37" s="208">
        <v>2329</v>
      </c>
      <c r="F37" s="77" t="s">
        <v>199</v>
      </c>
      <c r="G37" s="79" t="s">
        <v>179</v>
      </c>
      <c r="H37" s="221">
        <v>10</v>
      </c>
      <c r="I37" s="90" t="s">
        <v>190</v>
      </c>
      <c r="J37" s="223">
        <f t="shared" si="0"/>
        <v>6.93</v>
      </c>
      <c r="K37" s="446">
        <v>41165.31041666667</v>
      </c>
      <c r="L37" s="446">
        <v>41165.365277777775</v>
      </c>
      <c r="M37" s="224">
        <f t="shared" si="1"/>
        <v>1.316666666592937</v>
      </c>
      <c r="N37" s="225">
        <f t="shared" si="2"/>
        <v>79</v>
      </c>
      <c r="O37" s="226" t="s">
        <v>153</v>
      </c>
      <c r="P37" s="438" t="str">
        <f t="shared" si="3"/>
        <v>NO</v>
      </c>
      <c r="Q37" s="438" t="s">
        <v>145</v>
      </c>
      <c r="R37" s="438" t="s">
        <v>144</v>
      </c>
      <c r="S37" s="105">
        <f t="shared" si="5"/>
        <v>60</v>
      </c>
      <c r="T37" s="228" t="str">
        <f t="shared" si="6"/>
        <v>--</v>
      </c>
      <c r="U37" s="229" t="str">
        <f t="shared" si="7"/>
        <v>--</v>
      </c>
      <c r="V37" s="230">
        <f t="shared" si="8"/>
        <v>415.79999999999995</v>
      </c>
      <c r="W37" s="231">
        <f t="shared" si="9"/>
        <v>548.856</v>
      </c>
      <c r="X37" s="232" t="str">
        <f t="shared" si="10"/>
        <v>--</v>
      </c>
      <c r="Y37" s="233" t="str">
        <f t="shared" si="11"/>
        <v>--</v>
      </c>
      <c r="Z37" s="234" t="str">
        <f t="shared" si="12"/>
        <v>--</v>
      </c>
      <c r="AA37" s="235" t="str">
        <f t="shared" si="13"/>
        <v>--</v>
      </c>
      <c r="AB37" s="438" t="s">
        <v>144</v>
      </c>
      <c r="AC37" s="236">
        <f t="shared" si="14"/>
        <v>964.656</v>
      </c>
      <c r="AD37" s="158"/>
    </row>
    <row r="38" spans="2:30" s="1" customFormat="1" ht="16.5" customHeight="1">
      <c r="B38" s="157"/>
      <c r="C38" s="208" t="s">
        <v>322</v>
      </c>
      <c r="D38" s="208">
        <v>251792</v>
      </c>
      <c r="E38" s="208">
        <v>2329</v>
      </c>
      <c r="F38" s="77" t="s">
        <v>199</v>
      </c>
      <c r="G38" s="79" t="s">
        <v>179</v>
      </c>
      <c r="H38" s="221">
        <v>10</v>
      </c>
      <c r="I38" s="90" t="s">
        <v>190</v>
      </c>
      <c r="J38" s="223">
        <f>H38*$I$16</f>
        <v>6.93</v>
      </c>
      <c r="K38" s="446">
        <v>41165.36597222222</v>
      </c>
      <c r="L38" s="446">
        <v>41165.47083333333</v>
      </c>
      <c r="M38" s="224">
        <f>IF(F38="","",(L38-K38)*24)</f>
        <v>2.516666666662786</v>
      </c>
      <c r="N38" s="225">
        <f>IF(F38="","",ROUND((L38-K38)*24*60,0))</f>
        <v>151</v>
      </c>
      <c r="O38" s="226" t="s">
        <v>318</v>
      </c>
      <c r="P38" s="438" t="str">
        <f>IF(F38="","",IF(OR(O38="P",O38="RP"),"--","NO"))</f>
        <v>NO</v>
      </c>
      <c r="Q38" s="438"/>
      <c r="R38" s="438" t="s">
        <v>319</v>
      </c>
      <c r="S38" s="105">
        <f>$I$17*IF(OR(O38="P",O38="RP"),0.1,1)*IF(R38="SI",1,0.1)</f>
        <v>6</v>
      </c>
      <c r="T38" s="228" t="str">
        <f>IF(O38="P",J38*S38*ROUND(N38/60,2),"--")</f>
        <v>--</v>
      </c>
      <c r="U38" s="229" t="str">
        <f>IF(O38="RP",J38*S38*ROUND(N38/60,2)*Q38/100,"--")</f>
        <v>--</v>
      </c>
      <c r="V38" s="230" t="str">
        <f>IF(AND(O38="F",P38="NO"),J38*S38,"--")</f>
        <v>--</v>
      </c>
      <c r="W38" s="231" t="str">
        <f>IF(O38="F",J38*S38*ROUND(N38/60,2),"--")</f>
        <v>--</v>
      </c>
      <c r="X38" s="232" t="str">
        <f>IF(AND(O38="R",P38="NO"),J38*S38*Q38/100,"--")</f>
        <v>--</v>
      </c>
      <c r="Y38" s="233" t="str">
        <f>IF(O38="R",J38*S38*ROUND(N38/60,2)*Q38/100,"--")</f>
        <v>--</v>
      </c>
      <c r="Z38" s="234">
        <f>IF(O38="RF",J38*S38*ROUND(N38/60,2),"--")</f>
        <v>104.7816</v>
      </c>
      <c r="AA38" s="235" t="str">
        <f>IF(O38="RR",J38*S38*ROUND(N38/60,2)*Q38/100,"--")</f>
        <v>--</v>
      </c>
      <c r="AB38" s="438" t="s">
        <v>144</v>
      </c>
      <c r="AC38" s="236">
        <f>IF(F38="","",SUM(T38:AA38)*IF(AB38="SI",1,2)*IF(AND(Q38&lt;&gt;"",O38="RF"),Q38/100,1))</f>
        <v>104.7816</v>
      </c>
      <c r="AD38" s="158"/>
    </row>
    <row r="39" spans="2:30" s="1" customFormat="1" ht="16.5" customHeight="1">
      <c r="B39" s="157"/>
      <c r="C39" s="208">
        <v>89</v>
      </c>
      <c r="D39" s="208">
        <v>251795</v>
      </c>
      <c r="E39" s="208">
        <v>3727</v>
      </c>
      <c r="F39" s="77" t="s">
        <v>195</v>
      </c>
      <c r="G39" s="79" t="s">
        <v>189</v>
      </c>
      <c r="H39" s="221">
        <v>30</v>
      </c>
      <c r="I39" s="90" t="s">
        <v>173</v>
      </c>
      <c r="J39" s="223">
        <f t="shared" si="0"/>
        <v>20.79</v>
      </c>
      <c r="K39" s="446">
        <v>41165.37291666667</v>
      </c>
      <c r="L39" s="446">
        <v>41165.57083333333</v>
      </c>
      <c r="M39" s="224">
        <f t="shared" si="1"/>
        <v>4.749999999941792</v>
      </c>
      <c r="N39" s="225">
        <f t="shared" si="2"/>
        <v>285</v>
      </c>
      <c r="O39" s="226" t="s">
        <v>143</v>
      </c>
      <c r="P39" s="438" t="str">
        <f t="shared" si="3"/>
        <v>--</v>
      </c>
      <c r="Q39" s="438" t="s">
        <v>145</v>
      </c>
      <c r="R39" s="438" t="str">
        <f t="shared" si="4"/>
        <v>NO</v>
      </c>
      <c r="S39" s="105">
        <f t="shared" si="5"/>
        <v>0.6000000000000001</v>
      </c>
      <c r="T39" s="228">
        <f t="shared" si="6"/>
        <v>59.25150000000001</v>
      </c>
      <c r="U39" s="229" t="str">
        <f t="shared" si="7"/>
        <v>--</v>
      </c>
      <c r="V39" s="230" t="str">
        <f t="shared" si="8"/>
        <v>--</v>
      </c>
      <c r="W39" s="231" t="str">
        <f t="shared" si="9"/>
        <v>--</v>
      </c>
      <c r="X39" s="232" t="str">
        <f t="shared" si="10"/>
        <v>--</v>
      </c>
      <c r="Y39" s="233" t="str">
        <f t="shared" si="11"/>
        <v>--</v>
      </c>
      <c r="Z39" s="234" t="str">
        <f t="shared" si="12"/>
        <v>--</v>
      </c>
      <c r="AA39" s="235" t="str">
        <f t="shared" si="13"/>
        <v>--</v>
      </c>
      <c r="AB39" s="438" t="s">
        <v>144</v>
      </c>
      <c r="AC39" s="236">
        <f t="shared" si="14"/>
        <v>59.25150000000001</v>
      </c>
      <c r="AD39" s="158"/>
    </row>
    <row r="40" spans="2:30" s="1" customFormat="1" ht="16.5" customHeight="1">
      <c r="B40" s="157"/>
      <c r="C40" s="208">
        <v>90</v>
      </c>
      <c r="D40" s="208">
        <v>251796</v>
      </c>
      <c r="E40" s="208">
        <v>2458</v>
      </c>
      <c r="F40" s="77" t="s">
        <v>197</v>
      </c>
      <c r="G40" s="79" t="s">
        <v>179</v>
      </c>
      <c r="H40" s="221">
        <v>15</v>
      </c>
      <c r="I40" s="90" t="s">
        <v>173</v>
      </c>
      <c r="J40" s="223">
        <f t="shared" si="0"/>
        <v>10.395</v>
      </c>
      <c r="K40" s="446">
        <v>41165.3875</v>
      </c>
      <c r="L40" s="446">
        <v>41165.72083333333</v>
      </c>
      <c r="M40" s="224">
        <f t="shared" si="1"/>
        <v>8.000000000058208</v>
      </c>
      <c r="N40" s="225">
        <f t="shared" si="2"/>
        <v>480</v>
      </c>
      <c r="O40" s="226" t="s">
        <v>143</v>
      </c>
      <c r="P40" s="438" t="str">
        <f t="shared" si="3"/>
        <v>--</v>
      </c>
      <c r="Q40" s="438" t="s">
        <v>145</v>
      </c>
      <c r="R40" s="438" t="str">
        <f t="shared" si="4"/>
        <v>NO</v>
      </c>
      <c r="S40" s="105">
        <f t="shared" si="5"/>
        <v>0.6000000000000001</v>
      </c>
      <c r="T40" s="228">
        <f t="shared" si="6"/>
        <v>49.89600000000001</v>
      </c>
      <c r="U40" s="229" t="str">
        <f t="shared" si="7"/>
        <v>--</v>
      </c>
      <c r="V40" s="230" t="str">
        <f t="shared" si="8"/>
        <v>--</v>
      </c>
      <c r="W40" s="231" t="str">
        <f t="shared" si="9"/>
        <v>--</v>
      </c>
      <c r="X40" s="232" t="str">
        <f t="shared" si="10"/>
        <v>--</v>
      </c>
      <c r="Y40" s="233" t="str">
        <f t="shared" si="11"/>
        <v>--</v>
      </c>
      <c r="Z40" s="234" t="str">
        <f t="shared" si="12"/>
        <v>--</v>
      </c>
      <c r="AA40" s="235" t="str">
        <f t="shared" si="13"/>
        <v>--</v>
      </c>
      <c r="AB40" s="438" t="s">
        <v>144</v>
      </c>
      <c r="AC40" s="236">
        <f t="shared" si="14"/>
        <v>49.89600000000001</v>
      </c>
      <c r="AD40" s="158"/>
    </row>
    <row r="41" spans="2:30" s="1" customFormat="1" ht="16.5" customHeight="1">
      <c r="B41" s="157"/>
      <c r="C41" s="208">
        <v>91</v>
      </c>
      <c r="D41" s="208">
        <v>251797</v>
      </c>
      <c r="E41" s="208">
        <v>2510</v>
      </c>
      <c r="F41" s="77" t="s">
        <v>191</v>
      </c>
      <c r="G41" s="79" t="s">
        <v>179</v>
      </c>
      <c r="H41" s="221">
        <v>40</v>
      </c>
      <c r="I41" s="90" t="s">
        <v>173</v>
      </c>
      <c r="J41" s="223">
        <f t="shared" si="0"/>
        <v>27.72</v>
      </c>
      <c r="K41" s="446">
        <v>41165.38958333333</v>
      </c>
      <c r="L41" s="446">
        <v>41165.618055555555</v>
      </c>
      <c r="M41" s="224">
        <f t="shared" si="1"/>
        <v>5.4833333333954215</v>
      </c>
      <c r="N41" s="225">
        <f t="shared" si="2"/>
        <v>329</v>
      </c>
      <c r="O41" s="226" t="s">
        <v>143</v>
      </c>
      <c r="P41" s="438" t="str">
        <f t="shared" si="3"/>
        <v>--</v>
      </c>
      <c r="Q41" s="438" t="s">
        <v>145</v>
      </c>
      <c r="R41" s="438" t="str">
        <f t="shared" si="4"/>
        <v>NO</v>
      </c>
      <c r="S41" s="105">
        <f t="shared" si="5"/>
        <v>0.6000000000000001</v>
      </c>
      <c r="T41" s="228">
        <f t="shared" si="6"/>
        <v>91.14336000000002</v>
      </c>
      <c r="U41" s="229" t="str">
        <f t="shared" si="7"/>
        <v>--</v>
      </c>
      <c r="V41" s="230" t="str">
        <f t="shared" si="8"/>
        <v>--</v>
      </c>
      <c r="W41" s="231" t="str">
        <f t="shared" si="9"/>
        <v>--</v>
      </c>
      <c r="X41" s="232" t="str">
        <f t="shared" si="10"/>
        <v>--</v>
      </c>
      <c r="Y41" s="233" t="str">
        <f t="shared" si="11"/>
        <v>--</v>
      </c>
      <c r="Z41" s="234" t="str">
        <f t="shared" si="12"/>
        <v>--</v>
      </c>
      <c r="AA41" s="235" t="str">
        <f t="shared" si="13"/>
        <v>--</v>
      </c>
      <c r="AB41" s="438" t="s">
        <v>144</v>
      </c>
      <c r="AC41" s="236">
        <f t="shared" si="14"/>
        <v>91.14336000000002</v>
      </c>
      <c r="AD41" s="158"/>
    </row>
    <row r="42" spans="2:30" s="1" customFormat="1" ht="16.5" customHeight="1">
      <c r="B42" s="157"/>
      <c r="C42" s="208">
        <v>92</v>
      </c>
      <c r="D42" s="208">
        <v>251798</v>
      </c>
      <c r="E42" s="208">
        <v>4485</v>
      </c>
      <c r="F42" s="77" t="s">
        <v>184</v>
      </c>
      <c r="G42" s="79" t="s">
        <v>185</v>
      </c>
      <c r="H42" s="221">
        <v>30</v>
      </c>
      <c r="I42" s="90" t="s">
        <v>173</v>
      </c>
      <c r="J42" s="223">
        <f t="shared" si="0"/>
        <v>20.79</v>
      </c>
      <c r="K42" s="446">
        <v>41165.39097222222</v>
      </c>
      <c r="L42" s="446">
        <v>41165.60972222222</v>
      </c>
      <c r="M42" s="224">
        <f t="shared" si="1"/>
        <v>5.25</v>
      </c>
      <c r="N42" s="225">
        <f t="shared" si="2"/>
        <v>315</v>
      </c>
      <c r="O42" s="226" t="s">
        <v>143</v>
      </c>
      <c r="P42" s="438" t="str">
        <f t="shared" si="3"/>
        <v>--</v>
      </c>
      <c r="Q42" s="438" t="s">
        <v>145</v>
      </c>
      <c r="R42" s="438" t="str">
        <f t="shared" si="4"/>
        <v>NO</v>
      </c>
      <c r="S42" s="105">
        <f t="shared" si="5"/>
        <v>0.6000000000000001</v>
      </c>
      <c r="T42" s="228">
        <f t="shared" si="6"/>
        <v>65.48850000000002</v>
      </c>
      <c r="U42" s="229" t="str">
        <f t="shared" si="7"/>
        <v>--</v>
      </c>
      <c r="V42" s="230" t="str">
        <f t="shared" si="8"/>
        <v>--</v>
      </c>
      <c r="W42" s="231" t="str">
        <f t="shared" si="9"/>
        <v>--</v>
      </c>
      <c r="X42" s="232" t="str">
        <f t="shared" si="10"/>
        <v>--</v>
      </c>
      <c r="Y42" s="233" t="str">
        <f t="shared" si="11"/>
        <v>--</v>
      </c>
      <c r="Z42" s="234" t="str">
        <f t="shared" si="12"/>
        <v>--</v>
      </c>
      <c r="AA42" s="235" t="str">
        <f t="shared" si="13"/>
        <v>--</v>
      </c>
      <c r="AB42" s="438" t="s">
        <v>144</v>
      </c>
      <c r="AC42" s="236">
        <f t="shared" si="14"/>
        <v>65.48850000000002</v>
      </c>
      <c r="AD42" s="158"/>
    </row>
    <row r="43" spans="2:30" s="1" customFormat="1" ht="16.5" customHeight="1">
      <c r="B43" s="157"/>
      <c r="C43" s="208">
        <v>93</v>
      </c>
      <c r="D43" s="208">
        <v>251799</v>
      </c>
      <c r="E43" s="208">
        <v>2465</v>
      </c>
      <c r="F43" s="77" t="s">
        <v>200</v>
      </c>
      <c r="G43" s="79" t="s">
        <v>179</v>
      </c>
      <c r="H43" s="221">
        <v>20</v>
      </c>
      <c r="I43" s="90" t="s">
        <v>173</v>
      </c>
      <c r="J43" s="223">
        <f t="shared" si="0"/>
        <v>13.86</v>
      </c>
      <c r="K43" s="446">
        <v>41165.40347222222</v>
      </c>
      <c r="L43" s="446">
        <v>41165.586805555555</v>
      </c>
      <c r="M43" s="224">
        <f t="shared" si="1"/>
        <v>4.400000000023283</v>
      </c>
      <c r="N43" s="225">
        <f t="shared" si="2"/>
        <v>264</v>
      </c>
      <c r="O43" s="226" t="s">
        <v>143</v>
      </c>
      <c r="P43" s="438" t="str">
        <f t="shared" si="3"/>
        <v>--</v>
      </c>
      <c r="Q43" s="438" t="s">
        <v>145</v>
      </c>
      <c r="R43" s="438" t="str">
        <f t="shared" si="4"/>
        <v>NO</v>
      </c>
      <c r="S43" s="105">
        <f t="shared" si="5"/>
        <v>0.6000000000000001</v>
      </c>
      <c r="T43" s="228">
        <f t="shared" si="6"/>
        <v>36.59040000000001</v>
      </c>
      <c r="U43" s="229" t="str">
        <f t="shared" si="7"/>
        <v>--</v>
      </c>
      <c r="V43" s="230" t="str">
        <f t="shared" si="8"/>
        <v>--</v>
      </c>
      <c r="W43" s="231" t="str">
        <f t="shared" si="9"/>
        <v>--</v>
      </c>
      <c r="X43" s="232" t="str">
        <f t="shared" si="10"/>
        <v>--</v>
      </c>
      <c r="Y43" s="233" t="str">
        <f t="shared" si="11"/>
        <v>--</v>
      </c>
      <c r="Z43" s="234" t="str">
        <f t="shared" si="12"/>
        <v>--</v>
      </c>
      <c r="AA43" s="235" t="str">
        <f t="shared" si="13"/>
        <v>--</v>
      </c>
      <c r="AB43" s="438" t="s">
        <v>144</v>
      </c>
      <c r="AC43" s="236">
        <f t="shared" si="14"/>
        <v>36.59040000000001</v>
      </c>
      <c r="AD43" s="158"/>
    </row>
    <row r="44" spans="2:30" s="1" customFormat="1" ht="16.5" customHeight="1" thickBot="1">
      <c r="B44" s="157"/>
      <c r="C44" s="317"/>
      <c r="D44" s="317"/>
      <c r="E44" s="317"/>
      <c r="F44" s="317"/>
      <c r="G44" s="317"/>
      <c r="H44" s="317"/>
      <c r="I44" s="317"/>
      <c r="J44" s="239"/>
      <c r="K44" s="407"/>
      <c r="L44" s="407"/>
      <c r="M44" s="238"/>
      <c r="N44" s="238"/>
      <c r="O44" s="317"/>
      <c r="P44" s="317"/>
      <c r="Q44" s="317"/>
      <c r="R44" s="317"/>
      <c r="S44" s="318"/>
      <c r="T44" s="319"/>
      <c r="U44" s="320"/>
      <c r="V44" s="321"/>
      <c r="W44" s="322"/>
      <c r="X44" s="323"/>
      <c r="Y44" s="324"/>
      <c r="Z44" s="325"/>
      <c r="AA44" s="326"/>
      <c r="AB44" s="317"/>
      <c r="AC44" s="240"/>
      <c r="AD44" s="158"/>
    </row>
    <row r="45" spans="2:30" s="1" customFormat="1" ht="16.5" customHeight="1" thickBot="1" thickTop="1">
      <c r="B45" s="157"/>
      <c r="C45" s="452" t="s">
        <v>296</v>
      </c>
      <c r="D45" s="451" t="s">
        <v>320</v>
      </c>
      <c r="E45" s="128"/>
      <c r="F45" s="1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41">
        <f>SUM(T20:T44)</f>
        <v>1040.39397</v>
      </c>
      <c r="U45" s="242">
        <f>SUM(U20:U44)</f>
        <v>0</v>
      </c>
      <c r="V45" s="243">
        <f>SUM(V20:V44)</f>
        <v>1039.5</v>
      </c>
      <c r="W45" s="244">
        <f>SUM(W22:W44)</f>
        <v>1372.1399999999999</v>
      </c>
      <c r="X45" s="245">
        <f>SUM(X20:X44)</f>
        <v>0</v>
      </c>
      <c r="Y45" s="245">
        <f>SUM(Y22:Y44)</f>
        <v>0</v>
      </c>
      <c r="Z45" s="246">
        <f>SUM(Z20:Z44)</f>
        <v>3675.4640999999997</v>
      </c>
      <c r="AA45" s="247">
        <f>SUM(AA22:AA44)</f>
        <v>0</v>
      </c>
      <c r="AB45" s="248"/>
      <c r="AC45" s="418">
        <f>ROUND(SUM(AC20:AC44),2)</f>
        <v>11435.67</v>
      </c>
      <c r="AD45" s="158"/>
    </row>
    <row r="46" spans="2:30" s="126" customFormat="1" ht="9.75" thickTop="1">
      <c r="B46" s="249"/>
      <c r="C46" s="128"/>
      <c r="D46" s="128"/>
      <c r="E46" s="128"/>
      <c r="F46" s="129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1"/>
      <c r="U46" s="251"/>
      <c r="V46" s="251"/>
      <c r="W46" s="251"/>
      <c r="X46" s="251"/>
      <c r="Y46" s="251"/>
      <c r="Z46" s="251"/>
      <c r="AA46" s="251"/>
      <c r="AB46" s="250"/>
      <c r="AC46" s="252"/>
      <c r="AD46" s="253"/>
    </row>
    <row r="47" spans="2:30" s="1" customFormat="1" ht="16.5" customHeight="1" thickBot="1">
      <c r="B47" s="254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6"/>
    </row>
    <row r="48" spans="2:30" ht="16.5" customHeight="1" thickTop="1"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8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printOptions/>
  <pageMargins left="0.21" right="0.1968503937007874" top="0.7874015748031497" bottom="0.7874015748031497" header="0.5118110236220472" footer="0.5118110236220472"/>
  <pageSetup fitToHeight="1" fitToWidth="1" horizontalDpi="300" verticalDpi="300" orientation="landscape" paperSize="9" scale="58" r:id="rId3"/>
  <headerFooter alignWithMargins="0">
    <oddFooter>&amp;L&amp;F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D46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14"/>
    </row>
    <row r="2" spans="2:30" s="3" customFormat="1" ht="26.25">
      <c r="B2" s="16" t="str">
        <f>'TOT-0912'!B2</f>
        <v>ANEXO IV al Memorándum  D.T.E.E.  N°          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2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2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2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'TOT-0912'!B14</f>
        <v>Desde el 01 al 30 de septiembre de 2012</v>
      </c>
      <c r="C14" s="28"/>
      <c r="D14" s="28"/>
      <c r="E14" s="28"/>
      <c r="F14" s="166"/>
      <c r="G14" s="166"/>
      <c r="H14" s="166"/>
      <c r="I14" s="166"/>
      <c r="J14" s="166"/>
      <c r="K14" s="29"/>
      <c r="L14" s="29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315">
        <v>0.693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60*'TOT-0912'!B13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437">
        <v>23</v>
      </c>
      <c r="X18" s="437">
        <v>24</v>
      </c>
      <c r="Y18" s="437">
        <v>25</v>
      </c>
      <c r="Z18" s="437">
        <v>26</v>
      </c>
      <c r="AA18" s="437">
        <v>27</v>
      </c>
      <c r="AB18" s="437">
        <v>28</v>
      </c>
      <c r="AC18" s="437">
        <v>29</v>
      </c>
      <c r="AD18" s="158"/>
    </row>
    <row r="19" spans="2:30" s="178" customFormat="1" ht="34.5" customHeight="1" thickBot="1" thickTop="1">
      <c r="B19" s="179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8" t="s">
        <v>66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405"/>
      <c r="L20" s="406"/>
      <c r="M20" s="199"/>
      <c r="N20" s="199"/>
      <c r="O20" s="197"/>
      <c r="P20" s="197"/>
      <c r="Q20" s="197"/>
      <c r="R20" s="197"/>
      <c r="S20" s="74"/>
      <c r="T20" s="72"/>
      <c r="U20" s="200"/>
      <c r="V20" s="201"/>
      <c r="W20" s="202"/>
      <c r="X20" s="203"/>
      <c r="Y20" s="204"/>
      <c r="Z20" s="205"/>
      <c r="AA20" s="206"/>
      <c r="AB20" s="197"/>
      <c r="AC20" s="207">
        <f>'T-09 (2)'!AC45</f>
        <v>11435.67</v>
      </c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446"/>
      <c r="L21" s="447"/>
      <c r="M21" s="212"/>
      <c r="N21" s="212"/>
      <c r="O21" s="210"/>
      <c r="P21" s="210"/>
      <c r="Q21" s="210"/>
      <c r="R21" s="210"/>
      <c r="S21" s="88"/>
      <c r="T21" s="86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94</v>
      </c>
      <c r="D22" s="208">
        <v>251802</v>
      </c>
      <c r="E22" s="208">
        <v>2272</v>
      </c>
      <c r="F22" s="77" t="s">
        <v>195</v>
      </c>
      <c r="G22" s="79" t="s">
        <v>179</v>
      </c>
      <c r="H22" s="221">
        <v>5</v>
      </c>
      <c r="I22" s="90" t="s">
        <v>196</v>
      </c>
      <c r="J22" s="223">
        <f aca="true" t="shared" si="0" ref="J22:J41">H22*$I$16</f>
        <v>3.465</v>
      </c>
      <c r="K22" s="446">
        <v>41165.51111111111</v>
      </c>
      <c r="L22" s="446">
        <v>41165.62986111111</v>
      </c>
      <c r="M22" s="224">
        <f aca="true" t="shared" si="1" ref="M22:M41">IF(F22="","",(L22-K22)*24)</f>
        <v>2.8500000000349246</v>
      </c>
      <c r="N22" s="225">
        <f aca="true" t="shared" si="2" ref="N22:N41">IF(F22="","",ROUND((L22-K22)*24*60,0))</f>
        <v>171</v>
      </c>
      <c r="O22" s="226" t="s">
        <v>143</v>
      </c>
      <c r="P22" s="438" t="str">
        <f aca="true" t="shared" si="3" ref="P22:P41">IF(F22="","",IF(OR(O22="P",O22="RP"),"--","NO"))</f>
        <v>--</v>
      </c>
      <c r="Q22" s="438" t="s">
        <v>145</v>
      </c>
      <c r="R22" s="438" t="str">
        <f aca="true" t="shared" si="4" ref="R22:R41">IF(F22="","","NO")</f>
        <v>NO</v>
      </c>
      <c r="S22" s="105">
        <f aca="true" t="shared" si="5" ref="S22:S41">$I$17*IF(OR(O22="P",O22="RP"),0.1,1)*IF(R22="SI",1,0.1)</f>
        <v>0.6000000000000001</v>
      </c>
      <c r="T22" s="228">
        <f aca="true" t="shared" si="6" ref="T22:T41">IF(O22="P",J22*S22*ROUND(N22/60,2),"--")</f>
        <v>5.92515</v>
      </c>
      <c r="U22" s="229" t="str">
        <f aca="true" t="shared" si="7" ref="U22:U41">IF(O22="RP",J22*S22*ROUND(N22/60,2)*Q22/100,"--")</f>
        <v>--</v>
      </c>
      <c r="V22" s="230" t="str">
        <f aca="true" t="shared" si="8" ref="V22:V41">IF(AND(O22="F",P22="NO"),J22*S22,"--")</f>
        <v>--</v>
      </c>
      <c r="W22" s="231" t="str">
        <f aca="true" t="shared" si="9" ref="W22:W41">IF(O22="F",J22*S22*ROUND(N22/60,2),"--")</f>
        <v>--</v>
      </c>
      <c r="X22" s="232" t="str">
        <f aca="true" t="shared" si="10" ref="X22:X41">IF(AND(O22="R",P22="NO"),J22*S22*Q22/100,"--")</f>
        <v>--</v>
      </c>
      <c r="Y22" s="233" t="str">
        <f aca="true" t="shared" si="11" ref="Y22:Y41">IF(O22="R",J22*S22*ROUND(N22/60,2)*Q22/100,"--")</f>
        <v>--</v>
      </c>
      <c r="Z22" s="234" t="str">
        <f aca="true" t="shared" si="12" ref="Z22:Z41">IF(O22="RF",J22*S22*ROUND(N22/60,2),"--")</f>
        <v>--</v>
      </c>
      <c r="AA22" s="235" t="str">
        <f aca="true" t="shared" si="13" ref="AA22:AA41">IF(O22="RR",J22*S22*ROUND(N22/60,2)*Q22/100,"--")</f>
        <v>--</v>
      </c>
      <c r="AB22" s="438" t="s">
        <v>144</v>
      </c>
      <c r="AC22" s="236">
        <f aca="true" t="shared" si="14" ref="AC22:AC41">IF(F22="","",SUM(T22:AA22)*IF(AB22="SI",1,2)*IF(AND(Q22&lt;&gt;"",O22="RF"),Q22/100,1))</f>
        <v>5.92515</v>
      </c>
      <c r="AD22" s="237"/>
    </row>
    <row r="23" spans="2:30" s="1" customFormat="1" ht="16.5" customHeight="1">
      <c r="B23" s="157"/>
      <c r="C23" s="208"/>
      <c r="D23" s="208"/>
      <c r="E23" s="208"/>
      <c r="F23" s="77"/>
      <c r="G23" s="79"/>
      <c r="H23" s="221"/>
      <c r="I23" s="90"/>
      <c r="J23" s="223"/>
      <c r="K23" s="446"/>
      <c r="L23" s="446"/>
      <c r="M23" s="224"/>
      <c r="N23" s="225"/>
      <c r="O23" s="226"/>
      <c r="P23" s="438"/>
      <c r="Q23" s="438"/>
      <c r="R23" s="438"/>
      <c r="S23" s="105"/>
      <c r="T23" s="228"/>
      <c r="U23" s="229"/>
      <c r="V23" s="230"/>
      <c r="W23" s="231"/>
      <c r="X23" s="232"/>
      <c r="Y23" s="233"/>
      <c r="Z23" s="234"/>
      <c r="AA23" s="235"/>
      <c r="AB23" s="438"/>
      <c r="AC23" s="236"/>
      <c r="AD23" s="237"/>
    </row>
    <row r="24" spans="2:30" s="1" customFormat="1" ht="16.5" customHeight="1">
      <c r="B24" s="157"/>
      <c r="C24" s="208">
        <v>96</v>
      </c>
      <c r="D24" s="208">
        <v>251804</v>
      </c>
      <c r="E24" s="208">
        <v>2458</v>
      </c>
      <c r="F24" s="77" t="s">
        <v>197</v>
      </c>
      <c r="G24" s="79" t="s">
        <v>179</v>
      </c>
      <c r="H24" s="221">
        <v>15</v>
      </c>
      <c r="I24" s="90" t="s">
        <v>173</v>
      </c>
      <c r="J24" s="223">
        <f t="shared" si="0"/>
        <v>10.395</v>
      </c>
      <c r="K24" s="446">
        <v>41166.347916666666</v>
      </c>
      <c r="L24" s="446">
        <v>41166.58472222222</v>
      </c>
      <c r="M24" s="224">
        <f t="shared" si="1"/>
        <v>5.683333333348855</v>
      </c>
      <c r="N24" s="225">
        <f t="shared" si="2"/>
        <v>341</v>
      </c>
      <c r="O24" s="226" t="s">
        <v>143</v>
      </c>
      <c r="P24" s="438" t="str">
        <f t="shared" si="3"/>
        <v>--</v>
      </c>
      <c r="Q24" s="438" t="s">
        <v>145</v>
      </c>
      <c r="R24" s="438" t="str">
        <f t="shared" si="4"/>
        <v>NO</v>
      </c>
      <c r="S24" s="105">
        <f t="shared" si="5"/>
        <v>0.6000000000000001</v>
      </c>
      <c r="T24" s="228">
        <f t="shared" si="6"/>
        <v>35.42616</v>
      </c>
      <c r="U24" s="229" t="str">
        <f t="shared" si="7"/>
        <v>--</v>
      </c>
      <c r="V24" s="230" t="str">
        <f t="shared" si="8"/>
        <v>--</v>
      </c>
      <c r="W24" s="231" t="str">
        <f t="shared" si="9"/>
        <v>--</v>
      </c>
      <c r="X24" s="232" t="str">
        <f t="shared" si="10"/>
        <v>--</v>
      </c>
      <c r="Y24" s="233" t="str">
        <f t="shared" si="11"/>
        <v>--</v>
      </c>
      <c r="Z24" s="234" t="str">
        <f t="shared" si="12"/>
        <v>--</v>
      </c>
      <c r="AA24" s="235" t="str">
        <f t="shared" si="13"/>
        <v>--</v>
      </c>
      <c r="AB24" s="438" t="s">
        <v>144</v>
      </c>
      <c r="AC24" s="236">
        <f t="shared" si="14"/>
        <v>35.42616</v>
      </c>
      <c r="AD24" s="158"/>
    </row>
    <row r="25" spans="2:30" s="1" customFormat="1" ht="16.5" customHeight="1">
      <c r="B25" s="157"/>
      <c r="C25" s="208">
        <v>97</v>
      </c>
      <c r="D25" s="208">
        <v>251808</v>
      </c>
      <c r="E25" s="208">
        <v>3727</v>
      </c>
      <c r="F25" s="77" t="s">
        <v>195</v>
      </c>
      <c r="G25" s="79" t="s">
        <v>189</v>
      </c>
      <c r="H25" s="221">
        <v>30</v>
      </c>
      <c r="I25" s="90" t="s">
        <v>173</v>
      </c>
      <c r="J25" s="223">
        <f t="shared" si="0"/>
        <v>20.79</v>
      </c>
      <c r="K25" s="446">
        <v>41166.40277777778</v>
      </c>
      <c r="L25" s="446">
        <v>41166.55902777778</v>
      </c>
      <c r="M25" s="224">
        <f t="shared" si="1"/>
        <v>3.75</v>
      </c>
      <c r="N25" s="225">
        <f t="shared" si="2"/>
        <v>225</v>
      </c>
      <c r="O25" s="226" t="s">
        <v>143</v>
      </c>
      <c r="P25" s="438" t="str">
        <f t="shared" si="3"/>
        <v>--</v>
      </c>
      <c r="Q25" s="438" t="s">
        <v>145</v>
      </c>
      <c r="R25" s="438" t="str">
        <f t="shared" si="4"/>
        <v>NO</v>
      </c>
      <c r="S25" s="105">
        <f t="shared" si="5"/>
        <v>0.6000000000000001</v>
      </c>
      <c r="T25" s="228">
        <f t="shared" si="6"/>
        <v>46.77750000000001</v>
      </c>
      <c r="U25" s="229" t="str">
        <f t="shared" si="7"/>
        <v>--</v>
      </c>
      <c r="V25" s="230" t="str">
        <f t="shared" si="8"/>
        <v>--</v>
      </c>
      <c r="W25" s="231" t="str">
        <f t="shared" si="9"/>
        <v>--</v>
      </c>
      <c r="X25" s="232" t="str">
        <f t="shared" si="10"/>
        <v>--</v>
      </c>
      <c r="Y25" s="233" t="str">
        <f t="shared" si="11"/>
        <v>--</v>
      </c>
      <c r="Z25" s="234" t="str">
        <f t="shared" si="12"/>
        <v>--</v>
      </c>
      <c r="AA25" s="235" t="str">
        <f t="shared" si="13"/>
        <v>--</v>
      </c>
      <c r="AB25" s="438" t="s">
        <v>144</v>
      </c>
      <c r="AC25" s="236">
        <f t="shared" si="14"/>
        <v>46.77750000000001</v>
      </c>
      <c r="AD25" s="158"/>
    </row>
    <row r="26" spans="2:30" s="1" customFormat="1" ht="16.5" customHeight="1">
      <c r="B26" s="157"/>
      <c r="C26" s="208">
        <v>98</v>
      </c>
      <c r="D26" s="208">
        <v>251809</v>
      </c>
      <c r="E26" s="208">
        <v>2510</v>
      </c>
      <c r="F26" s="77" t="s">
        <v>191</v>
      </c>
      <c r="G26" s="79" t="s">
        <v>179</v>
      </c>
      <c r="H26" s="221">
        <v>40</v>
      </c>
      <c r="I26" s="90" t="s">
        <v>173</v>
      </c>
      <c r="J26" s="223">
        <f t="shared" si="0"/>
        <v>27.72</v>
      </c>
      <c r="K26" s="446">
        <v>41166.40347222222</v>
      </c>
      <c r="L26" s="446">
        <v>41166.592361111114</v>
      </c>
      <c r="M26" s="224">
        <f t="shared" si="1"/>
        <v>4.533333333441988</v>
      </c>
      <c r="N26" s="225">
        <f t="shared" si="2"/>
        <v>272</v>
      </c>
      <c r="O26" s="226" t="s">
        <v>143</v>
      </c>
      <c r="P26" s="438" t="str">
        <f t="shared" si="3"/>
        <v>--</v>
      </c>
      <c r="Q26" s="438" t="s">
        <v>145</v>
      </c>
      <c r="R26" s="438" t="str">
        <f t="shared" si="4"/>
        <v>NO</v>
      </c>
      <c r="S26" s="105">
        <f t="shared" si="5"/>
        <v>0.6000000000000001</v>
      </c>
      <c r="T26" s="228">
        <f t="shared" si="6"/>
        <v>75.34296</v>
      </c>
      <c r="U26" s="229" t="str">
        <f t="shared" si="7"/>
        <v>--</v>
      </c>
      <c r="V26" s="230" t="str">
        <f t="shared" si="8"/>
        <v>--</v>
      </c>
      <c r="W26" s="231" t="str">
        <f t="shared" si="9"/>
        <v>--</v>
      </c>
      <c r="X26" s="232" t="str">
        <f t="shared" si="10"/>
        <v>--</v>
      </c>
      <c r="Y26" s="233" t="str">
        <f t="shared" si="11"/>
        <v>--</v>
      </c>
      <c r="Z26" s="234" t="str">
        <f t="shared" si="12"/>
        <v>--</v>
      </c>
      <c r="AA26" s="235" t="str">
        <f t="shared" si="13"/>
        <v>--</v>
      </c>
      <c r="AB26" s="438" t="s">
        <v>144</v>
      </c>
      <c r="AC26" s="236">
        <f t="shared" si="14"/>
        <v>75.34296</v>
      </c>
      <c r="AD26" s="158"/>
    </row>
    <row r="27" spans="2:30" s="1" customFormat="1" ht="16.5" customHeight="1">
      <c r="B27" s="157"/>
      <c r="C27" s="208">
        <v>99</v>
      </c>
      <c r="D27" s="208">
        <v>251810</v>
      </c>
      <c r="E27" s="208">
        <v>2272</v>
      </c>
      <c r="F27" s="77" t="s">
        <v>195</v>
      </c>
      <c r="G27" s="79" t="s">
        <v>177</v>
      </c>
      <c r="H27" s="221">
        <v>5</v>
      </c>
      <c r="I27" s="90" t="s">
        <v>196</v>
      </c>
      <c r="J27" s="223">
        <f t="shared" si="0"/>
        <v>3.465</v>
      </c>
      <c r="K27" s="446">
        <v>41166.4125</v>
      </c>
      <c r="L27" s="446">
        <v>41166.63888888889</v>
      </c>
      <c r="M27" s="224">
        <f t="shared" si="1"/>
        <v>5.433333333407063</v>
      </c>
      <c r="N27" s="225">
        <f t="shared" si="2"/>
        <v>326</v>
      </c>
      <c r="O27" s="226" t="s">
        <v>143</v>
      </c>
      <c r="P27" s="438" t="str">
        <f t="shared" si="3"/>
        <v>--</v>
      </c>
      <c r="Q27" s="438" t="s">
        <v>145</v>
      </c>
      <c r="R27" s="438" t="str">
        <f t="shared" si="4"/>
        <v>NO</v>
      </c>
      <c r="S27" s="105">
        <f t="shared" si="5"/>
        <v>0.6000000000000001</v>
      </c>
      <c r="T27" s="228">
        <f t="shared" si="6"/>
        <v>11.28897</v>
      </c>
      <c r="U27" s="229" t="str">
        <f t="shared" si="7"/>
        <v>--</v>
      </c>
      <c r="V27" s="230" t="str">
        <f t="shared" si="8"/>
        <v>--</v>
      </c>
      <c r="W27" s="231" t="str">
        <f t="shared" si="9"/>
        <v>--</v>
      </c>
      <c r="X27" s="232" t="str">
        <f t="shared" si="10"/>
        <v>--</v>
      </c>
      <c r="Y27" s="233" t="str">
        <f t="shared" si="11"/>
        <v>--</v>
      </c>
      <c r="Z27" s="234" t="str">
        <f t="shared" si="12"/>
        <v>--</v>
      </c>
      <c r="AA27" s="235" t="str">
        <f t="shared" si="13"/>
        <v>--</v>
      </c>
      <c r="AB27" s="438" t="s">
        <v>144</v>
      </c>
      <c r="AC27" s="236">
        <f t="shared" si="14"/>
        <v>11.28897</v>
      </c>
      <c r="AD27" s="158"/>
    </row>
    <row r="28" spans="2:30" s="1" customFormat="1" ht="16.5" customHeight="1">
      <c r="B28" s="157"/>
      <c r="C28" s="208">
        <v>100</v>
      </c>
      <c r="D28" s="208">
        <v>251813</v>
      </c>
      <c r="E28" s="208">
        <v>4485</v>
      </c>
      <c r="F28" s="77" t="s">
        <v>184</v>
      </c>
      <c r="G28" s="79" t="s">
        <v>185</v>
      </c>
      <c r="H28" s="221">
        <v>30</v>
      </c>
      <c r="I28" s="90" t="s">
        <v>173</v>
      </c>
      <c r="J28" s="223">
        <f t="shared" si="0"/>
        <v>20.79</v>
      </c>
      <c r="K28" s="446">
        <v>41166.42291666667</v>
      </c>
      <c r="L28" s="446">
        <v>41166.56736111111</v>
      </c>
      <c r="M28" s="224">
        <f t="shared" si="1"/>
        <v>3.46666666661622</v>
      </c>
      <c r="N28" s="225">
        <f t="shared" si="2"/>
        <v>208</v>
      </c>
      <c r="O28" s="226" t="s">
        <v>143</v>
      </c>
      <c r="P28" s="438" t="str">
        <f t="shared" si="3"/>
        <v>--</v>
      </c>
      <c r="Q28" s="438" t="s">
        <v>145</v>
      </c>
      <c r="R28" s="438" t="str">
        <f t="shared" si="4"/>
        <v>NO</v>
      </c>
      <c r="S28" s="105">
        <f t="shared" si="5"/>
        <v>0.6000000000000001</v>
      </c>
      <c r="T28" s="228">
        <f t="shared" si="6"/>
        <v>43.28478000000001</v>
      </c>
      <c r="U28" s="229" t="str">
        <f t="shared" si="7"/>
        <v>--</v>
      </c>
      <c r="V28" s="230" t="str">
        <f t="shared" si="8"/>
        <v>--</v>
      </c>
      <c r="W28" s="231" t="str">
        <f t="shared" si="9"/>
        <v>--</v>
      </c>
      <c r="X28" s="232" t="str">
        <f t="shared" si="10"/>
        <v>--</v>
      </c>
      <c r="Y28" s="233" t="str">
        <f t="shared" si="11"/>
        <v>--</v>
      </c>
      <c r="Z28" s="234" t="str">
        <f t="shared" si="12"/>
        <v>--</v>
      </c>
      <c r="AA28" s="235" t="str">
        <f t="shared" si="13"/>
        <v>--</v>
      </c>
      <c r="AB28" s="438" t="s">
        <v>144</v>
      </c>
      <c r="AC28" s="236">
        <f t="shared" si="14"/>
        <v>43.28478000000001</v>
      </c>
      <c r="AD28" s="158"/>
    </row>
    <row r="29" spans="2:30" s="1" customFormat="1" ht="16.5" customHeight="1">
      <c r="B29" s="157"/>
      <c r="C29" s="208">
        <v>101</v>
      </c>
      <c r="D29" s="208">
        <v>251819</v>
      </c>
      <c r="E29" s="208">
        <v>2440</v>
      </c>
      <c r="F29" s="77" t="s">
        <v>202</v>
      </c>
      <c r="G29" s="79" t="s">
        <v>179</v>
      </c>
      <c r="H29" s="221">
        <v>30</v>
      </c>
      <c r="I29" s="90" t="s">
        <v>173</v>
      </c>
      <c r="J29" s="223">
        <f t="shared" si="0"/>
        <v>20.79</v>
      </c>
      <c r="K29" s="446">
        <v>41167.55902777778</v>
      </c>
      <c r="L29" s="446">
        <v>41167.66458333333</v>
      </c>
      <c r="M29" s="224">
        <f t="shared" si="1"/>
        <v>2.533333333209157</v>
      </c>
      <c r="N29" s="225">
        <f t="shared" si="2"/>
        <v>152</v>
      </c>
      <c r="O29" s="226" t="s">
        <v>153</v>
      </c>
      <c r="P29" s="438" t="str">
        <f t="shared" si="3"/>
        <v>NO</v>
      </c>
      <c r="Q29" s="438" t="s">
        <v>145</v>
      </c>
      <c r="R29" s="438" t="str">
        <f t="shared" si="4"/>
        <v>NO</v>
      </c>
      <c r="S29" s="105">
        <f t="shared" si="5"/>
        <v>6</v>
      </c>
      <c r="T29" s="228" t="str">
        <f t="shared" si="6"/>
        <v>--</v>
      </c>
      <c r="U29" s="229" t="str">
        <f t="shared" si="7"/>
        <v>--</v>
      </c>
      <c r="V29" s="230">
        <f t="shared" si="8"/>
        <v>124.74</v>
      </c>
      <c r="W29" s="231">
        <f t="shared" si="9"/>
        <v>315.59219999999993</v>
      </c>
      <c r="X29" s="232" t="str">
        <f t="shared" si="10"/>
        <v>--</v>
      </c>
      <c r="Y29" s="233" t="str">
        <f t="shared" si="11"/>
        <v>--</v>
      </c>
      <c r="Z29" s="234" t="str">
        <f t="shared" si="12"/>
        <v>--</v>
      </c>
      <c r="AA29" s="235" t="str">
        <f t="shared" si="13"/>
        <v>--</v>
      </c>
      <c r="AB29" s="438" t="s">
        <v>144</v>
      </c>
      <c r="AC29" s="236">
        <f t="shared" si="14"/>
        <v>440.33219999999994</v>
      </c>
      <c r="AD29" s="158"/>
    </row>
    <row r="30" spans="2:30" s="1" customFormat="1" ht="16.5" customHeight="1">
      <c r="B30" s="157"/>
      <c r="C30" s="208">
        <v>102</v>
      </c>
      <c r="D30" s="208">
        <v>251994</v>
      </c>
      <c r="E30" s="208">
        <v>2056</v>
      </c>
      <c r="F30" s="77" t="s">
        <v>203</v>
      </c>
      <c r="G30" s="79" t="s">
        <v>177</v>
      </c>
      <c r="H30" s="221">
        <v>15</v>
      </c>
      <c r="I30" s="450" t="s">
        <v>292</v>
      </c>
      <c r="J30" s="223">
        <f t="shared" si="0"/>
        <v>10.395</v>
      </c>
      <c r="K30" s="446">
        <v>41169.41736111111</v>
      </c>
      <c r="L30" s="446">
        <v>41169.629166666666</v>
      </c>
      <c r="M30" s="224">
        <f t="shared" si="1"/>
        <v>5.083333333313931</v>
      </c>
      <c r="N30" s="225">
        <f t="shared" si="2"/>
        <v>305</v>
      </c>
      <c r="O30" s="226" t="s">
        <v>143</v>
      </c>
      <c r="P30" s="438" t="str">
        <f t="shared" si="3"/>
        <v>--</v>
      </c>
      <c r="Q30" s="438" t="s">
        <v>145</v>
      </c>
      <c r="R30" s="438" t="str">
        <f t="shared" si="4"/>
        <v>NO</v>
      </c>
      <c r="S30" s="105">
        <f t="shared" si="5"/>
        <v>0.6000000000000001</v>
      </c>
      <c r="T30" s="228">
        <f t="shared" si="6"/>
        <v>31.683960000000006</v>
      </c>
      <c r="U30" s="229" t="str">
        <f t="shared" si="7"/>
        <v>--</v>
      </c>
      <c r="V30" s="230" t="str">
        <f t="shared" si="8"/>
        <v>--</v>
      </c>
      <c r="W30" s="231" t="str">
        <f t="shared" si="9"/>
        <v>--</v>
      </c>
      <c r="X30" s="232" t="str">
        <f t="shared" si="10"/>
        <v>--</v>
      </c>
      <c r="Y30" s="233" t="str">
        <f t="shared" si="11"/>
        <v>--</v>
      </c>
      <c r="Z30" s="234" t="str">
        <f t="shared" si="12"/>
        <v>--</v>
      </c>
      <c r="AA30" s="235" t="str">
        <f t="shared" si="13"/>
        <v>--</v>
      </c>
      <c r="AB30" s="438" t="s">
        <v>144</v>
      </c>
      <c r="AC30" s="236">
        <f t="shared" si="14"/>
        <v>31.683960000000006</v>
      </c>
      <c r="AD30" s="158"/>
    </row>
    <row r="31" spans="2:30" s="1" customFormat="1" ht="16.5" customHeight="1">
      <c r="B31" s="157"/>
      <c r="C31" s="208">
        <v>103</v>
      </c>
      <c r="D31" s="208">
        <v>251999</v>
      </c>
      <c r="E31" s="208">
        <v>2056</v>
      </c>
      <c r="F31" s="77" t="s">
        <v>203</v>
      </c>
      <c r="G31" s="79" t="s">
        <v>177</v>
      </c>
      <c r="H31" s="221">
        <v>15</v>
      </c>
      <c r="I31" s="90" t="s">
        <v>173</v>
      </c>
      <c r="J31" s="223">
        <f t="shared" si="0"/>
        <v>10.395</v>
      </c>
      <c r="K31" s="446">
        <v>41170.373611111114</v>
      </c>
      <c r="L31" s="446">
        <v>41170.59583333333</v>
      </c>
      <c r="M31" s="224">
        <f t="shared" si="1"/>
        <v>5.333333333255723</v>
      </c>
      <c r="N31" s="225">
        <f t="shared" si="2"/>
        <v>320</v>
      </c>
      <c r="O31" s="226" t="s">
        <v>143</v>
      </c>
      <c r="P31" s="438" t="str">
        <f t="shared" si="3"/>
        <v>--</v>
      </c>
      <c r="Q31" s="438" t="s">
        <v>145</v>
      </c>
      <c r="R31" s="438" t="str">
        <f t="shared" si="4"/>
        <v>NO</v>
      </c>
      <c r="S31" s="105">
        <f t="shared" si="5"/>
        <v>0.6000000000000001</v>
      </c>
      <c r="T31" s="228">
        <f t="shared" si="6"/>
        <v>33.243210000000005</v>
      </c>
      <c r="U31" s="229" t="str">
        <f t="shared" si="7"/>
        <v>--</v>
      </c>
      <c r="V31" s="230" t="str">
        <f t="shared" si="8"/>
        <v>--</v>
      </c>
      <c r="W31" s="231" t="str">
        <f t="shared" si="9"/>
        <v>--</v>
      </c>
      <c r="X31" s="232" t="str">
        <f t="shared" si="10"/>
        <v>--</v>
      </c>
      <c r="Y31" s="233" t="str">
        <f t="shared" si="11"/>
        <v>--</v>
      </c>
      <c r="Z31" s="234" t="str">
        <f t="shared" si="12"/>
        <v>--</v>
      </c>
      <c r="AA31" s="235" t="str">
        <f t="shared" si="13"/>
        <v>--</v>
      </c>
      <c r="AB31" s="438" t="s">
        <v>144</v>
      </c>
      <c r="AC31" s="236">
        <f t="shared" si="14"/>
        <v>33.243210000000005</v>
      </c>
      <c r="AD31" s="158"/>
    </row>
    <row r="32" spans="2:30" s="1" customFormat="1" ht="16.5" customHeight="1">
      <c r="B32" s="157"/>
      <c r="C32" s="208">
        <v>104</v>
      </c>
      <c r="D32" s="208">
        <v>252003</v>
      </c>
      <c r="E32" s="208">
        <v>2246</v>
      </c>
      <c r="F32" s="77" t="s">
        <v>204</v>
      </c>
      <c r="G32" s="79" t="s">
        <v>179</v>
      </c>
      <c r="H32" s="221">
        <v>15</v>
      </c>
      <c r="I32" s="90" t="s">
        <v>173</v>
      </c>
      <c r="J32" s="223">
        <f t="shared" si="0"/>
        <v>10.395</v>
      </c>
      <c r="K32" s="446">
        <v>41170.47777777778</v>
      </c>
      <c r="L32" s="446">
        <v>41170.63125</v>
      </c>
      <c r="M32" s="224">
        <f t="shared" si="1"/>
        <v>3.6833333332906477</v>
      </c>
      <c r="N32" s="225">
        <f t="shared" si="2"/>
        <v>221</v>
      </c>
      <c r="O32" s="226" t="s">
        <v>143</v>
      </c>
      <c r="P32" s="438" t="str">
        <f t="shared" si="3"/>
        <v>--</v>
      </c>
      <c r="Q32" s="438" t="s">
        <v>145</v>
      </c>
      <c r="R32" s="438" t="str">
        <f t="shared" si="4"/>
        <v>NO</v>
      </c>
      <c r="S32" s="105">
        <f t="shared" si="5"/>
        <v>0.6000000000000001</v>
      </c>
      <c r="T32" s="228">
        <f t="shared" si="6"/>
        <v>22.952160000000006</v>
      </c>
      <c r="U32" s="229" t="str">
        <f t="shared" si="7"/>
        <v>--</v>
      </c>
      <c r="V32" s="230" t="str">
        <f t="shared" si="8"/>
        <v>--</v>
      </c>
      <c r="W32" s="231" t="str">
        <f t="shared" si="9"/>
        <v>--</v>
      </c>
      <c r="X32" s="232" t="str">
        <f t="shared" si="10"/>
        <v>--</v>
      </c>
      <c r="Y32" s="233" t="str">
        <f t="shared" si="11"/>
        <v>--</v>
      </c>
      <c r="Z32" s="234" t="str">
        <f t="shared" si="12"/>
        <v>--</v>
      </c>
      <c r="AA32" s="235" t="str">
        <f t="shared" si="13"/>
        <v>--</v>
      </c>
      <c r="AB32" s="438" t="s">
        <v>144</v>
      </c>
      <c r="AC32" s="236">
        <f t="shared" si="14"/>
        <v>22.952160000000006</v>
      </c>
      <c r="AD32" s="158"/>
    </row>
    <row r="33" spans="2:30" s="1" customFormat="1" ht="16.5" customHeight="1">
      <c r="B33" s="157"/>
      <c r="C33" s="208">
        <v>105</v>
      </c>
      <c r="D33" s="208">
        <v>252005</v>
      </c>
      <c r="E33" s="208">
        <v>2246</v>
      </c>
      <c r="F33" s="77" t="s">
        <v>204</v>
      </c>
      <c r="G33" s="79" t="s">
        <v>179</v>
      </c>
      <c r="H33" s="221">
        <v>15</v>
      </c>
      <c r="I33" s="90" t="s">
        <v>173</v>
      </c>
      <c r="J33" s="223">
        <f t="shared" si="0"/>
        <v>10.395</v>
      </c>
      <c r="K33" s="446">
        <v>41171.376388888886</v>
      </c>
      <c r="L33" s="446">
        <v>41171.66111111111</v>
      </c>
      <c r="M33" s="224">
        <f t="shared" si="1"/>
        <v>6.833333333430346</v>
      </c>
      <c r="N33" s="225">
        <f t="shared" si="2"/>
        <v>410</v>
      </c>
      <c r="O33" s="226" t="s">
        <v>143</v>
      </c>
      <c r="P33" s="438" t="str">
        <f t="shared" si="3"/>
        <v>--</v>
      </c>
      <c r="Q33" s="438" t="s">
        <v>145</v>
      </c>
      <c r="R33" s="438" t="str">
        <f t="shared" si="4"/>
        <v>NO</v>
      </c>
      <c r="S33" s="105">
        <f t="shared" si="5"/>
        <v>0.6000000000000001</v>
      </c>
      <c r="T33" s="228">
        <f t="shared" si="6"/>
        <v>42.598710000000004</v>
      </c>
      <c r="U33" s="229" t="str">
        <f t="shared" si="7"/>
        <v>--</v>
      </c>
      <c r="V33" s="230" t="str">
        <f t="shared" si="8"/>
        <v>--</v>
      </c>
      <c r="W33" s="231" t="str">
        <f t="shared" si="9"/>
        <v>--</v>
      </c>
      <c r="X33" s="232" t="str">
        <f t="shared" si="10"/>
        <v>--</v>
      </c>
      <c r="Y33" s="233" t="str">
        <f t="shared" si="11"/>
        <v>--</v>
      </c>
      <c r="Z33" s="234" t="str">
        <f t="shared" si="12"/>
        <v>--</v>
      </c>
      <c r="AA33" s="235" t="str">
        <f t="shared" si="13"/>
        <v>--</v>
      </c>
      <c r="AB33" s="438" t="s">
        <v>144</v>
      </c>
      <c r="AC33" s="236">
        <f t="shared" si="14"/>
        <v>42.598710000000004</v>
      </c>
      <c r="AD33" s="158"/>
    </row>
    <row r="34" spans="2:30" s="1" customFormat="1" ht="16.5" customHeight="1">
      <c r="B34" s="157"/>
      <c r="C34" s="208">
        <v>106</v>
      </c>
      <c r="D34" s="208">
        <v>252006</v>
      </c>
      <c r="E34" s="208">
        <v>2501</v>
      </c>
      <c r="F34" s="77" t="s">
        <v>205</v>
      </c>
      <c r="G34" s="79" t="s">
        <v>177</v>
      </c>
      <c r="H34" s="221">
        <v>15</v>
      </c>
      <c r="I34" s="90" t="s">
        <v>173</v>
      </c>
      <c r="J34" s="223">
        <f t="shared" si="0"/>
        <v>10.395</v>
      </c>
      <c r="K34" s="446">
        <v>41171.39722222222</v>
      </c>
      <c r="L34" s="446">
        <v>41171.604166666664</v>
      </c>
      <c r="M34" s="224">
        <f t="shared" si="1"/>
        <v>4.96666666661622</v>
      </c>
      <c r="N34" s="225">
        <f t="shared" si="2"/>
        <v>298</v>
      </c>
      <c r="O34" s="226" t="s">
        <v>143</v>
      </c>
      <c r="P34" s="438" t="str">
        <f t="shared" si="3"/>
        <v>--</v>
      </c>
      <c r="Q34" s="438" t="s">
        <v>145</v>
      </c>
      <c r="R34" s="438" t="str">
        <f t="shared" si="4"/>
        <v>NO</v>
      </c>
      <c r="S34" s="105">
        <f t="shared" si="5"/>
        <v>0.6000000000000001</v>
      </c>
      <c r="T34" s="228">
        <f t="shared" si="6"/>
        <v>30.99789</v>
      </c>
      <c r="U34" s="229" t="str">
        <f t="shared" si="7"/>
        <v>--</v>
      </c>
      <c r="V34" s="230" t="str">
        <f t="shared" si="8"/>
        <v>--</v>
      </c>
      <c r="W34" s="231" t="str">
        <f t="shared" si="9"/>
        <v>--</v>
      </c>
      <c r="X34" s="232" t="str">
        <f t="shared" si="10"/>
        <v>--</v>
      </c>
      <c r="Y34" s="233" t="str">
        <f t="shared" si="11"/>
        <v>--</v>
      </c>
      <c r="Z34" s="234" t="str">
        <f t="shared" si="12"/>
        <v>--</v>
      </c>
      <c r="AA34" s="235" t="str">
        <f t="shared" si="13"/>
        <v>--</v>
      </c>
      <c r="AB34" s="438" t="s">
        <v>144</v>
      </c>
      <c r="AC34" s="236">
        <f t="shared" si="14"/>
        <v>30.99789</v>
      </c>
      <c r="AD34" s="158"/>
    </row>
    <row r="35" spans="2:30" s="1" customFormat="1" ht="16.5" customHeight="1">
      <c r="B35" s="157"/>
      <c r="C35" s="208">
        <v>107</v>
      </c>
      <c r="D35" s="208">
        <v>252009</v>
      </c>
      <c r="E35" s="208">
        <v>2381</v>
      </c>
      <c r="F35" s="77" t="s">
        <v>186</v>
      </c>
      <c r="G35" s="79" t="s">
        <v>206</v>
      </c>
      <c r="H35" s="221">
        <v>1.5</v>
      </c>
      <c r="I35" s="90" t="s">
        <v>201</v>
      </c>
      <c r="J35" s="223">
        <f t="shared" si="0"/>
        <v>1.0394999999999999</v>
      </c>
      <c r="K35" s="446">
        <v>41171.43680555555</v>
      </c>
      <c r="L35" s="446">
        <v>41171.5625</v>
      </c>
      <c r="M35" s="224">
        <f t="shared" si="1"/>
        <v>3.016666666720994</v>
      </c>
      <c r="N35" s="225">
        <f t="shared" si="2"/>
        <v>181</v>
      </c>
      <c r="O35" s="226" t="s">
        <v>143</v>
      </c>
      <c r="P35" s="438" t="str">
        <f t="shared" si="3"/>
        <v>--</v>
      </c>
      <c r="Q35" s="438" t="s">
        <v>145</v>
      </c>
      <c r="R35" s="438" t="str">
        <f t="shared" si="4"/>
        <v>NO</v>
      </c>
      <c r="S35" s="105">
        <f t="shared" si="5"/>
        <v>0.6000000000000001</v>
      </c>
      <c r="T35" s="228">
        <f t="shared" si="6"/>
        <v>1.883574</v>
      </c>
      <c r="U35" s="229" t="str">
        <f t="shared" si="7"/>
        <v>--</v>
      </c>
      <c r="V35" s="230" t="str">
        <f t="shared" si="8"/>
        <v>--</v>
      </c>
      <c r="W35" s="231" t="str">
        <f t="shared" si="9"/>
        <v>--</v>
      </c>
      <c r="X35" s="232" t="str">
        <f t="shared" si="10"/>
        <v>--</v>
      </c>
      <c r="Y35" s="233" t="str">
        <f t="shared" si="11"/>
        <v>--</v>
      </c>
      <c r="Z35" s="234" t="str">
        <f t="shared" si="12"/>
        <v>--</v>
      </c>
      <c r="AA35" s="235" t="str">
        <f t="shared" si="13"/>
        <v>--</v>
      </c>
      <c r="AB35" s="438" t="s">
        <v>144</v>
      </c>
      <c r="AC35" s="236">
        <v>0</v>
      </c>
      <c r="AD35" s="158"/>
    </row>
    <row r="36" spans="2:30" s="1" customFormat="1" ht="16.5" customHeight="1">
      <c r="B36" s="157"/>
      <c r="C36" s="208">
        <v>108</v>
      </c>
      <c r="D36" s="208">
        <v>252013</v>
      </c>
      <c r="E36" s="208">
        <v>2246</v>
      </c>
      <c r="F36" s="77" t="s">
        <v>204</v>
      </c>
      <c r="G36" s="79" t="s">
        <v>179</v>
      </c>
      <c r="H36" s="221">
        <v>15</v>
      </c>
      <c r="I36" s="90" t="s">
        <v>173</v>
      </c>
      <c r="J36" s="223">
        <f t="shared" si="0"/>
        <v>10.395</v>
      </c>
      <c r="K36" s="446">
        <v>41172.39722222222</v>
      </c>
      <c r="L36" s="446">
        <v>41172.55069444444</v>
      </c>
      <c r="M36" s="224">
        <f t="shared" si="1"/>
        <v>3.6833333332906477</v>
      </c>
      <c r="N36" s="225">
        <f t="shared" si="2"/>
        <v>221</v>
      </c>
      <c r="O36" s="226" t="s">
        <v>143</v>
      </c>
      <c r="P36" s="438" t="str">
        <f t="shared" si="3"/>
        <v>--</v>
      </c>
      <c r="Q36" s="438" t="s">
        <v>145</v>
      </c>
      <c r="R36" s="438" t="str">
        <f t="shared" si="4"/>
        <v>NO</v>
      </c>
      <c r="S36" s="105">
        <f t="shared" si="5"/>
        <v>0.6000000000000001</v>
      </c>
      <c r="T36" s="228">
        <f t="shared" si="6"/>
        <v>22.952160000000006</v>
      </c>
      <c r="U36" s="229" t="str">
        <f t="shared" si="7"/>
        <v>--</v>
      </c>
      <c r="V36" s="230" t="str">
        <f t="shared" si="8"/>
        <v>--</v>
      </c>
      <c r="W36" s="231" t="str">
        <f t="shared" si="9"/>
        <v>--</v>
      </c>
      <c r="X36" s="232" t="str">
        <f t="shared" si="10"/>
        <v>--</v>
      </c>
      <c r="Y36" s="233" t="str">
        <f t="shared" si="11"/>
        <v>--</v>
      </c>
      <c r="Z36" s="234" t="str">
        <f t="shared" si="12"/>
        <v>--</v>
      </c>
      <c r="AA36" s="235" t="str">
        <f t="shared" si="13"/>
        <v>--</v>
      </c>
      <c r="AB36" s="438" t="s">
        <v>144</v>
      </c>
      <c r="AC36" s="236">
        <f t="shared" si="14"/>
        <v>22.952160000000006</v>
      </c>
      <c r="AD36" s="158"/>
    </row>
    <row r="37" spans="2:30" s="1" customFormat="1" ht="16.5" customHeight="1">
      <c r="B37" s="157"/>
      <c r="C37" s="208">
        <v>109</v>
      </c>
      <c r="D37" s="208">
        <v>252015</v>
      </c>
      <c r="E37" s="208">
        <v>2501</v>
      </c>
      <c r="F37" s="77" t="s">
        <v>205</v>
      </c>
      <c r="G37" s="79" t="s">
        <v>177</v>
      </c>
      <c r="H37" s="221">
        <v>15</v>
      </c>
      <c r="I37" s="90" t="s">
        <v>173</v>
      </c>
      <c r="J37" s="223">
        <f t="shared" si="0"/>
        <v>10.395</v>
      </c>
      <c r="K37" s="446">
        <v>41172.42638888889</v>
      </c>
      <c r="L37" s="446">
        <v>41172.72083333333</v>
      </c>
      <c r="M37" s="224">
        <f t="shared" si="1"/>
        <v>7.066666666651145</v>
      </c>
      <c r="N37" s="225">
        <f t="shared" si="2"/>
        <v>424</v>
      </c>
      <c r="O37" s="226" t="s">
        <v>143</v>
      </c>
      <c r="P37" s="438" t="str">
        <f t="shared" si="3"/>
        <v>--</v>
      </c>
      <c r="Q37" s="438" t="s">
        <v>145</v>
      </c>
      <c r="R37" s="438" t="str">
        <f t="shared" si="4"/>
        <v>NO</v>
      </c>
      <c r="S37" s="105">
        <f t="shared" si="5"/>
        <v>0.6000000000000001</v>
      </c>
      <c r="T37" s="228">
        <f t="shared" si="6"/>
        <v>44.09559000000001</v>
      </c>
      <c r="U37" s="229" t="str">
        <f t="shared" si="7"/>
        <v>--</v>
      </c>
      <c r="V37" s="230" t="str">
        <f t="shared" si="8"/>
        <v>--</v>
      </c>
      <c r="W37" s="231" t="str">
        <f t="shared" si="9"/>
        <v>--</v>
      </c>
      <c r="X37" s="232" t="str">
        <f t="shared" si="10"/>
        <v>--</v>
      </c>
      <c r="Y37" s="233" t="str">
        <f t="shared" si="11"/>
        <v>--</v>
      </c>
      <c r="Z37" s="234" t="str">
        <f t="shared" si="12"/>
        <v>--</v>
      </c>
      <c r="AA37" s="235" t="str">
        <f t="shared" si="13"/>
        <v>--</v>
      </c>
      <c r="AB37" s="438" t="s">
        <v>144</v>
      </c>
      <c r="AC37" s="236">
        <f t="shared" si="14"/>
        <v>44.09559000000001</v>
      </c>
      <c r="AD37" s="158"/>
    </row>
    <row r="38" spans="2:30" s="1" customFormat="1" ht="16.5" customHeight="1">
      <c r="B38" s="157"/>
      <c r="C38" s="208">
        <v>110</v>
      </c>
      <c r="D38" s="208">
        <v>252017</v>
      </c>
      <c r="E38" s="208">
        <v>2146</v>
      </c>
      <c r="F38" s="77" t="s">
        <v>207</v>
      </c>
      <c r="G38" s="79" t="s">
        <v>179</v>
      </c>
      <c r="H38" s="221">
        <v>10</v>
      </c>
      <c r="I38" s="90" t="s">
        <v>208</v>
      </c>
      <c r="J38" s="223">
        <f t="shared" si="0"/>
        <v>6.93</v>
      </c>
      <c r="K38" s="446">
        <v>41172.51180555556</v>
      </c>
      <c r="L38" s="446">
        <v>41172.58611111111</v>
      </c>
      <c r="M38" s="224">
        <f t="shared" si="1"/>
        <v>1.783333333209157</v>
      </c>
      <c r="N38" s="225">
        <f t="shared" si="2"/>
        <v>107</v>
      </c>
      <c r="O38" s="226" t="s">
        <v>143</v>
      </c>
      <c r="P38" s="438" t="str">
        <f t="shared" si="3"/>
        <v>--</v>
      </c>
      <c r="Q38" s="438" t="s">
        <v>145</v>
      </c>
      <c r="R38" s="438" t="str">
        <f t="shared" si="4"/>
        <v>NO</v>
      </c>
      <c r="S38" s="105">
        <f t="shared" si="5"/>
        <v>0.6000000000000001</v>
      </c>
      <c r="T38" s="228">
        <f t="shared" si="6"/>
        <v>7.4012400000000005</v>
      </c>
      <c r="U38" s="229" t="str">
        <f t="shared" si="7"/>
        <v>--</v>
      </c>
      <c r="V38" s="230" t="str">
        <f t="shared" si="8"/>
        <v>--</v>
      </c>
      <c r="W38" s="231" t="str">
        <f t="shared" si="9"/>
        <v>--</v>
      </c>
      <c r="X38" s="232" t="str">
        <f t="shared" si="10"/>
        <v>--</v>
      </c>
      <c r="Y38" s="233" t="str">
        <f t="shared" si="11"/>
        <v>--</v>
      </c>
      <c r="Z38" s="234" t="str">
        <f t="shared" si="12"/>
        <v>--</v>
      </c>
      <c r="AA38" s="235" t="str">
        <f t="shared" si="13"/>
        <v>--</v>
      </c>
      <c r="AB38" s="438" t="s">
        <v>144</v>
      </c>
      <c r="AC38" s="236">
        <f t="shared" si="14"/>
        <v>7.4012400000000005</v>
      </c>
      <c r="AD38" s="158"/>
    </row>
    <row r="39" spans="2:30" s="1" customFormat="1" ht="16.5" customHeight="1">
      <c r="B39" s="157"/>
      <c r="C39" s="208">
        <v>111</v>
      </c>
      <c r="D39" s="208">
        <v>252026</v>
      </c>
      <c r="E39" s="208">
        <v>2501</v>
      </c>
      <c r="F39" s="77" t="s">
        <v>205</v>
      </c>
      <c r="G39" s="79" t="s">
        <v>177</v>
      </c>
      <c r="H39" s="221">
        <v>15</v>
      </c>
      <c r="I39" s="90" t="s">
        <v>173</v>
      </c>
      <c r="J39" s="223">
        <f t="shared" si="0"/>
        <v>10.395</v>
      </c>
      <c r="K39" s="446">
        <v>41173.41111111111</v>
      </c>
      <c r="L39" s="446">
        <v>41173.70416666667</v>
      </c>
      <c r="M39" s="224">
        <f t="shared" si="1"/>
        <v>7.03333333338378</v>
      </c>
      <c r="N39" s="225">
        <f t="shared" si="2"/>
        <v>422</v>
      </c>
      <c r="O39" s="226" t="s">
        <v>143</v>
      </c>
      <c r="P39" s="438" t="str">
        <f t="shared" si="3"/>
        <v>--</v>
      </c>
      <c r="Q39" s="438" t="s">
        <v>145</v>
      </c>
      <c r="R39" s="438" t="str">
        <f t="shared" si="4"/>
        <v>NO</v>
      </c>
      <c r="S39" s="105">
        <f t="shared" si="5"/>
        <v>0.6000000000000001</v>
      </c>
      <c r="T39" s="228">
        <f t="shared" si="6"/>
        <v>43.84611000000001</v>
      </c>
      <c r="U39" s="229" t="str">
        <f t="shared" si="7"/>
        <v>--</v>
      </c>
      <c r="V39" s="230" t="str">
        <f t="shared" si="8"/>
        <v>--</v>
      </c>
      <c r="W39" s="231" t="str">
        <f t="shared" si="9"/>
        <v>--</v>
      </c>
      <c r="X39" s="232" t="str">
        <f t="shared" si="10"/>
        <v>--</v>
      </c>
      <c r="Y39" s="233" t="str">
        <f t="shared" si="11"/>
        <v>--</v>
      </c>
      <c r="Z39" s="234" t="str">
        <f t="shared" si="12"/>
        <v>--</v>
      </c>
      <c r="AA39" s="235" t="str">
        <f t="shared" si="13"/>
        <v>--</v>
      </c>
      <c r="AB39" s="438" t="s">
        <v>144</v>
      </c>
      <c r="AC39" s="236">
        <f t="shared" si="14"/>
        <v>43.84611000000001</v>
      </c>
      <c r="AD39" s="158"/>
    </row>
    <row r="40" spans="2:30" s="1" customFormat="1" ht="16.5" customHeight="1">
      <c r="B40" s="157"/>
      <c r="C40" s="208">
        <v>112</v>
      </c>
      <c r="D40" s="208">
        <v>252027</v>
      </c>
      <c r="E40" s="208">
        <v>2146</v>
      </c>
      <c r="F40" s="77" t="s">
        <v>207</v>
      </c>
      <c r="G40" s="79" t="s">
        <v>179</v>
      </c>
      <c r="H40" s="221">
        <v>10</v>
      </c>
      <c r="I40" s="90" t="s">
        <v>208</v>
      </c>
      <c r="J40" s="223">
        <f t="shared" si="0"/>
        <v>6.93</v>
      </c>
      <c r="K40" s="446">
        <v>41173.51180555556</v>
      </c>
      <c r="L40" s="446">
        <v>41173.604166666664</v>
      </c>
      <c r="M40" s="224">
        <f t="shared" si="1"/>
        <v>2.2166666665580124</v>
      </c>
      <c r="N40" s="225">
        <f t="shared" si="2"/>
        <v>133</v>
      </c>
      <c r="O40" s="226" t="s">
        <v>143</v>
      </c>
      <c r="P40" s="438" t="str">
        <f t="shared" si="3"/>
        <v>--</v>
      </c>
      <c r="Q40" s="438" t="s">
        <v>145</v>
      </c>
      <c r="R40" s="438" t="str">
        <f t="shared" si="4"/>
        <v>NO</v>
      </c>
      <c r="S40" s="105">
        <f t="shared" si="5"/>
        <v>0.6000000000000001</v>
      </c>
      <c r="T40" s="228">
        <f t="shared" si="6"/>
        <v>9.230760000000002</v>
      </c>
      <c r="U40" s="229" t="str">
        <f t="shared" si="7"/>
        <v>--</v>
      </c>
      <c r="V40" s="230" t="str">
        <f t="shared" si="8"/>
        <v>--</v>
      </c>
      <c r="W40" s="231" t="str">
        <f t="shared" si="9"/>
        <v>--</v>
      </c>
      <c r="X40" s="232" t="str">
        <f t="shared" si="10"/>
        <v>--</v>
      </c>
      <c r="Y40" s="233" t="str">
        <f t="shared" si="11"/>
        <v>--</v>
      </c>
      <c r="Z40" s="234" t="str">
        <f t="shared" si="12"/>
        <v>--</v>
      </c>
      <c r="AA40" s="235" t="str">
        <f t="shared" si="13"/>
        <v>--</v>
      </c>
      <c r="AB40" s="438" t="s">
        <v>144</v>
      </c>
      <c r="AC40" s="236">
        <f t="shared" si="14"/>
        <v>9.230760000000002</v>
      </c>
      <c r="AD40" s="158"/>
    </row>
    <row r="41" spans="2:30" s="1" customFormat="1" ht="16.5" customHeight="1">
      <c r="B41" s="157"/>
      <c r="C41" s="208">
        <v>113</v>
      </c>
      <c r="D41" s="208">
        <v>252031</v>
      </c>
      <c r="E41" s="208">
        <v>4430</v>
      </c>
      <c r="F41" s="77" t="s">
        <v>180</v>
      </c>
      <c r="G41" s="79" t="s">
        <v>181</v>
      </c>
      <c r="H41" s="221">
        <v>20</v>
      </c>
      <c r="I41" s="90" t="s">
        <v>182</v>
      </c>
      <c r="J41" s="223">
        <f t="shared" si="0"/>
        <v>13.86</v>
      </c>
      <c r="K41" s="446">
        <v>41175.35138888889</v>
      </c>
      <c r="L41" s="446">
        <v>41175.700694444444</v>
      </c>
      <c r="M41" s="224">
        <f t="shared" si="1"/>
        <v>8.383333333244082</v>
      </c>
      <c r="N41" s="225">
        <f t="shared" si="2"/>
        <v>503</v>
      </c>
      <c r="O41" s="226" t="s">
        <v>143</v>
      </c>
      <c r="P41" s="438" t="str">
        <f t="shared" si="3"/>
        <v>--</v>
      </c>
      <c r="Q41" s="438" t="s">
        <v>145</v>
      </c>
      <c r="R41" s="438" t="str">
        <f t="shared" si="4"/>
        <v>NO</v>
      </c>
      <c r="S41" s="105">
        <f t="shared" si="5"/>
        <v>0.6000000000000001</v>
      </c>
      <c r="T41" s="228">
        <f t="shared" si="6"/>
        <v>69.68808000000001</v>
      </c>
      <c r="U41" s="229" t="str">
        <f t="shared" si="7"/>
        <v>--</v>
      </c>
      <c r="V41" s="230" t="str">
        <f t="shared" si="8"/>
        <v>--</v>
      </c>
      <c r="W41" s="231" t="str">
        <f t="shared" si="9"/>
        <v>--</v>
      </c>
      <c r="X41" s="232" t="str">
        <f t="shared" si="10"/>
        <v>--</v>
      </c>
      <c r="Y41" s="233" t="str">
        <f t="shared" si="11"/>
        <v>--</v>
      </c>
      <c r="Z41" s="234" t="str">
        <f t="shared" si="12"/>
        <v>--</v>
      </c>
      <c r="AA41" s="235" t="str">
        <f t="shared" si="13"/>
        <v>--</v>
      </c>
      <c r="AB41" s="438" t="s">
        <v>144</v>
      </c>
      <c r="AC41" s="236">
        <f t="shared" si="14"/>
        <v>69.68808000000001</v>
      </c>
      <c r="AD41" s="158"/>
    </row>
    <row r="42" spans="2:30" s="1" customFormat="1" ht="16.5" customHeight="1" thickBot="1">
      <c r="B42" s="157"/>
      <c r="C42" s="317"/>
      <c r="D42" s="317"/>
      <c r="E42" s="317"/>
      <c r="F42" s="317"/>
      <c r="G42" s="317"/>
      <c r="H42" s="317"/>
      <c r="I42" s="317"/>
      <c r="J42" s="239"/>
      <c r="K42" s="407"/>
      <c r="L42" s="407"/>
      <c r="M42" s="238"/>
      <c r="N42" s="238"/>
      <c r="O42" s="317"/>
      <c r="P42" s="317"/>
      <c r="Q42" s="317"/>
      <c r="R42" s="317"/>
      <c r="S42" s="318"/>
      <c r="T42" s="319"/>
      <c r="U42" s="320"/>
      <c r="V42" s="321"/>
      <c r="W42" s="322"/>
      <c r="X42" s="323"/>
      <c r="Y42" s="324"/>
      <c r="Z42" s="325"/>
      <c r="AA42" s="326"/>
      <c r="AB42" s="317"/>
      <c r="AC42" s="240"/>
      <c r="AD42" s="158"/>
    </row>
    <row r="43" spans="2:30" s="1" customFormat="1" ht="16.5" customHeight="1" thickBot="1" thickTop="1">
      <c r="B43" s="157"/>
      <c r="C43" s="452" t="s">
        <v>296</v>
      </c>
      <c r="D43" s="451" t="s">
        <v>295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1">
        <f>SUM(T20:T42)</f>
        <v>578.618964</v>
      </c>
      <c r="U43" s="242">
        <f>SUM(U20:U42)</f>
        <v>0</v>
      </c>
      <c r="V43" s="243">
        <f>SUM(V20:V42)</f>
        <v>124.74</v>
      </c>
      <c r="W43" s="244">
        <f>SUM(W22:W42)</f>
        <v>315.59219999999993</v>
      </c>
      <c r="X43" s="245">
        <f>SUM(X20:X42)</f>
        <v>0</v>
      </c>
      <c r="Y43" s="245">
        <f>SUM(Y22:Y42)</f>
        <v>0</v>
      </c>
      <c r="Z43" s="246">
        <f>SUM(Z20:Z42)</f>
        <v>0</v>
      </c>
      <c r="AA43" s="247">
        <f>SUM(AA22:AA42)</f>
        <v>0</v>
      </c>
      <c r="AB43" s="248"/>
      <c r="AC43" s="418">
        <f>ROUND(SUM(AC20:AC42),2)</f>
        <v>12452.74</v>
      </c>
      <c r="AD43" s="158"/>
    </row>
    <row r="44" spans="2:30" s="126" customFormat="1" ht="9.75" thickTop="1">
      <c r="B44" s="249"/>
      <c r="C44" s="128"/>
      <c r="D44" s="128"/>
      <c r="E44" s="128"/>
      <c r="F44" s="1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1"/>
      <c r="U44" s="251"/>
      <c r="V44" s="251"/>
      <c r="W44" s="251"/>
      <c r="X44" s="251"/>
      <c r="Y44" s="251"/>
      <c r="Z44" s="251"/>
      <c r="AA44" s="251"/>
      <c r="AB44" s="250"/>
      <c r="AC44" s="252"/>
      <c r="AD44" s="253"/>
    </row>
    <row r="45" spans="2:30" s="1" customFormat="1" ht="16.5" customHeight="1" thickBot="1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6"/>
    </row>
    <row r="46" spans="2:30" ht="16.5" customHeight="1" thickTop="1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6"/>
  <sheetViews>
    <sheetView zoomScale="70" zoomScaleNormal="70" workbookViewId="0" topLeftCell="A1">
      <selection activeCell="B36" sqref="B36"/>
    </sheetView>
  </sheetViews>
  <sheetFormatPr defaultColWidth="11.421875" defaultRowHeight="12.75"/>
  <cols>
    <col min="1" max="1" width="18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14"/>
    </row>
    <row r="2" spans="2:30" s="3" customFormat="1" ht="26.25">
      <c r="B2" s="16" t="str">
        <f>'TOT-0912'!B2</f>
        <v>ANEXO IV al Memorándum  D.T.E.E.  N°          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2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2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2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'TOT-0912'!B14</f>
        <v>Desde el 01 al 30 de septiembre de 2012</v>
      </c>
      <c r="C14" s="28"/>
      <c r="D14" s="28"/>
      <c r="E14" s="28"/>
      <c r="F14" s="166"/>
      <c r="G14" s="166"/>
      <c r="H14" s="166"/>
      <c r="I14" s="166"/>
      <c r="J14" s="166"/>
      <c r="K14" s="29"/>
      <c r="L14" s="29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315">
        <v>0.693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60*'TOT-0912'!B13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437">
        <v>3</v>
      </c>
      <c r="D18" s="437">
        <v>4</v>
      </c>
      <c r="E18" s="437">
        <v>5</v>
      </c>
      <c r="F18" s="437">
        <v>6</v>
      </c>
      <c r="G18" s="437">
        <v>7</v>
      </c>
      <c r="H18" s="437">
        <v>8</v>
      </c>
      <c r="I18" s="437">
        <v>9</v>
      </c>
      <c r="J18" s="437">
        <v>10</v>
      </c>
      <c r="K18" s="437">
        <v>11</v>
      </c>
      <c r="L18" s="437">
        <v>12</v>
      </c>
      <c r="M18" s="437">
        <v>13</v>
      </c>
      <c r="N18" s="437">
        <v>14</v>
      </c>
      <c r="O18" s="437">
        <v>15</v>
      </c>
      <c r="P18" s="437">
        <v>16</v>
      </c>
      <c r="Q18" s="437">
        <v>17</v>
      </c>
      <c r="R18" s="437">
        <v>18</v>
      </c>
      <c r="S18" s="437">
        <v>19</v>
      </c>
      <c r="T18" s="437">
        <v>20</v>
      </c>
      <c r="U18" s="437">
        <v>21</v>
      </c>
      <c r="V18" s="437">
        <v>22</v>
      </c>
      <c r="W18" s="437">
        <v>23</v>
      </c>
      <c r="X18" s="437">
        <v>24</v>
      </c>
      <c r="Y18" s="437">
        <v>25</v>
      </c>
      <c r="Z18" s="437">
        <v>26</v>
      </c>
      <c r="AA18" s="437">
        <v>27</v>
      </c>
      <c r="AB18" s="437">
        <v>28</v>
      </c>
      <c r="AC18" s="437">
        <v>29</v>
      </c>
      <c r="AD18" s="158"/>
    </row>
    <row r="19" spans="2:30" s="178" customFormat="1" ht="34.5" customHeight="1" thickBot="1" thickTop="1">
      <c r="B19" s="179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8" t="s">
        <v>66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405"/>
      <c r="L20" s="406"/>
      <c r="M20" s="199"/>
      <c r="N20" s="199"/>
      <c r="O20" s="197"/>
      <c r="P20" s="197"/>
      <c r="Q20" s="197"/>
      <c r="R20" s="197"/>
      <c r="S20" s="74"/>
      <c r="T20" s="72"/>
      <c r="U20" s="200"/>
      <c r="V20" s="201"/>
      <c r="W20" s="202"/>
      <c r="X20" s="203"/>
      <c r="Y20" s="204"/>
      <c r="Z20" s="205"/>
      <c r="AA20" s="206"/>
      <c r="AB20" s="197"/>
      <c r="AC20" s="207">
        <f>'T-09 (3)'!AC43</f>
        <v>12452.74</v>
      </c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446"/>
      <c r="L21" s="447"/>
      <c r="M21" s="212"/>
      <c r="N21" s="212"/>
      <c r="O21" s="210"/>
      <c r="P21" s="210"/>
      <c r="Q21" s="210"/>
      <c r="R21" s="210"/>
      <c r="S21" s="88"/>
      <c r="T21" s="86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114</v>
      </c>
      <c r="D22" s="208">
        <v>252216</v>
      </c>
      <c r="E22" s="208">
        <v>2137</v>
      </c>
      <c r="F22" s="77" t="s">
        <v>209</v>
      </c>
      <c r="G22" s="79" t="s">
        <v>177</v>
      </c>
      <c r="H22" s="221">
        <v>7.5</v>
      </c>
      <c r="I22" s="90" t="s">
        <v>196</v>
      </c>
      <c r="J22" s="223">
        <f aca="true" t="shared" si="0" ref="J22:J41">H22*$I$16</f>
        <v>5.1975</v>
      </c>
      <c r="K22" s="446">
        <v>41176.33611111111</v>
      </c>
      <c r="L22" s="446">
        <v>41176.66180555556</v>
      </c>
      <c r="M22" s="224">
        <f aca="true" t="shared" si="1" ref="M22:M41">IF(F22="","",(L22-K22)*24)</f>
        <v>7.816666666825768</v>
      </c>
      <c r="N22" s="225">
        <f aca="true" t="shared" si="2" ref="N22:N41">IF(F22="","",ROUND((L22-K22)*24*60,0))</f>
        <v>469</v>
      </c>
      <c r="O22" s="226" t="s">
        <v>143</v>
      </c>
      <c r="P22" s="438" t="str">
        <f aca="true" t="shared" si="3" ref="P22:P41">IF(F22="","",IF(OR(O22="P",O22="RP"),"--","NO"))</f>
        <v>--</v>
      </c>
      <c r="Q22" s="438" t="s">
        <v>145</v>
      </c>
      <c r="R22" s="438" t="str">
        <f aca="true" t="shared" si="4" ref="R22:R41">IF(F22="","","NO")</f>
        <v>NO</v>
      </c>
      <c r="S22" s="105">
        <f aca="true" t="shared" si="5" ref="S22:S41">$I$17*IF(OR(O22="P",O22="RP"),0.1,1)*IF(R22="SI",1,0.1)</f>
        <v>0.6000000000000001</v>
      </c>
      <c r="T22" s="228">
        <f aca="true" t="shared" si="6" ref="T22:T41">IF(O22="P",J22*S22*ROUND(N22/60,2),"--")</f>
        <v>24.386670000000006</v>
      </c>
      <c r="U22" s="229" t="str">
        <f aca="true" t="shared" si="7" ref="U22:U41">IF(O22="RP",J22*S22*ROUND(N22/60,2)*Q22/100,"--")</f>
        <v>--</v>
      </c>
      <c r="V22" s="230" t="str">
        <f aca="true" t="shared" si="8" ref="V22:V41">IF(AND(O22="F",P22="NO"),J22*S22,"--")</f>
        <v>--</v>
      </c>
      <c r="W22" s="231" t="str">
        <f aca="true" t="shared" si="9" ref="W22:W41">IF(O22="F",J22*S22*ROUND(N22/60,2),"--")</f>
        <v>--</v>
      </c>
      <c r="X22" s="232" t="str">
        <f aca="true" t="shared" si="10" ref="X22:X41">IF(AND(O22="R",P22="NO"),J22*S22*Q22/100,"--")</f>
        <v>--</v>
      </c>
      <c r="Y22" s="233" t="str">
        <f aca="true" t="shared" si="11" ref="Y22:Y41">IF(O22="R",J22*S22*ROUND(N22/60,2)*Q22/100,"--")</f>
        <v>--</v>
      </c>
      <c r="Z22" s="234" t="str">
        <f aca="true" t="shared" si="12" ref="Z22:Z41">IF(O22="RF",J22*S22*ROUND(N22/60,2),"--")</f>
        <v>--</v>
      </c>
      <c r="AA22" s="235" t="str">
        <f aca="true" t="shared" si="13" ref="AA22:AA41">IF(O22="RR",J22*S22*ROUND(N22/60,2)*Q22/100,"--")</f>
        <v>--</v>
      </c>
      <c r="AB22" s="438" t="s">
        <v>144</v>
      </c>
      <c r="AC22" s="236">
        <f aca="true" t="shared" si="14" ref="AC22:AC41">IF(F22="","",SUM(T22:AA22)*IF(AB22="SI",1,2)*IF(AND(Q22&lt;&gt;"",O22="RF"),Q22/100,1))</f>
        <v>24.386670000000006</v>
      </c>
      <c r="AD22" s="237"/>
    </row>
    <row r="23" spans="2:30" s="1" customFormat="1" ht="16.5" customHeight="1">
      <c r="B23" s="157"/>
      <c r="C23" s="208">
        <v>115</v>
      </c>
      <c r="D23" s="208">
        <v>252218</v>
      </c>
      <c r="E23" s="208">
        <v>4430</v>
      </c>
      <c r="F23" s="77" t="s">
        <v>180</v>
      </c>
      <c r="G23" s="79" t="s">
        <v>181</v>
      </c>
      <c r="H23" s="221">
        <v>20</v>
      </c>
      <c r="I23" s="90" t="s">
        <v>182</v>
      </c>
      <c r="J23" s="223">
        <f t="shared" si="0"/>
        <v>13.86</v>
      </c>
      <c r="K23" s="446">
        <v>41176.39097222222</v>
      </c>
      <c r="L23" s="446">
        <v>41176.677083333336</v>
      </c>
      <c r="M23" s="224">
        <f t="shared" si="1"/>
        <v>6.866666666697711</v>
      </c>
      <c r="N23" s="225">
        <f t="shared" si="2"/>
        <v>412</v>
      </c>
      <c r="O23" s="226" t="s">
        <v>143</v>
      </c>
      <c r="P23" s="438" t="str">
        <f t="shared" si="3"/>
        <v>--</v>
      </c>
      <c r="Q23" s="438" t="s">
        <v>145</v>
      </c>
      <c r="R23" s="438" t="str">
        <f t="shared" si="4"/>
        <v>NO</v>
      </c>
      <c r="S23" s="105">
        <f t="shared" si="5"/>
        <v>0.6000000000000001</v>
      </c>
      <c r="T23" s="228">
        <f t="shared" si="6"/>
        <v>57.13092</v>
      </c>
      <c r="U23" s="229" t="str">
        <f t="shared" si="7"/>
        <v>--</v>
      </c>
      <c r="V23" s="230" t="str">
        <f t="shared" si="8"/>
        <v>--</v>
      </c>
      <c r="W23" s="231" t="str">
        <f t="shared" si="9"/>
        <v>--</v>
      </c>
      <c r="X23" s="232" t="str">
        <f t="shared" si="10"/>
        <v>--</v>
      </c>
      <c r="Y23" s="233" t="str">
        <f t="shared" si="11"/>
        <v>--</v>
      </c>
      <c r="Z23" s="234" t="str">
        <f t="shared" si="12"/>
        <v>--</v>
      </c>
      <c r="AA23" s="235" t="str">
        <f t="shared" si="13"/>
        <v>--</v>
      </c>
      <c r="AB23" s="438" t="s">
        <v>144</v>
      </c>
      <c r="AC23" s="236">
        <f t="shared" si="14"/>
        <v>57.13092</v>
      </c>
      <c r="AD23" s="237"/>
    </row>
    <row r="24" spans="2:30" s="1" customFormat="1" ht="16.5" customHeight="1">
      <c r="B24" s="157"/>
      <c r="C24" s="208">
        <v>116</v>
      </c>
      <c r="D24" s="208">
        <v>252222</v>
      </c>
      <c r="E24" s="208">
        <v>2517</v>
      </c>
      <c r="F24" s="77" t="s">
        <v>210</v>
      </c>
      <c r="G24" s="79" t="s">
        <v>179</v>
      </c>
      <c r="H24" s="221">
        <v>15</v>
      </c>
      <c r="I24" s="90" t="s">
        <v>173</v>
      </c>
      <c r="J24" s="223">
        <f t="shared" si="0"/>
        <v>10.395</v>
      </c>
      <c r="K24" s="446">
        <v>41177.402083333334</v>
      </c>
      <c r="L24" s="446">
        <v>41177.63333333333</v>
      </c>
      <c r="M24" s="224">
        <f t="shared" si="1"/>
        <v>5.549999999930151</v>
      </c>
      <c r="N24" s="225">
        <f t="shared" si="2"/>
        <v>333</v>
      </c>
      <c r="O24" s="226" t="s">
        <v>143</v>
      </c>
      <c r="P24" s="438" t="str">
        <f t="shared" si="3"/>
        <v>--</v>
      </c>
      <c r="Q24" s="438" t="s">
        <v>145</v>
      </c>
      <c r="R24" s="438" t="str">
        <f t="shared" si="4"/>
        <v>NO</v>
      </c>
      <c r="S24" s="105">
        <f t="shared" si="5"/>
        <v>0.6000000000000001</v>
      </c>
      <c r="T24" s="228">
        <f t="shared" si="6"/>
        <v>34.61535000000001</v>
      </c>
      <c r="U24" s="229" t="str">
        <f t="shared" si="7"/>
        <v>--</v>
      </c>
      <c r="V24" s="230" t="str">
        <f t="shared" si="8"/>
        <v>--</v>
      </c>
      <c r="W24" s="231" t="str">
        <f t="shared" si="9"/>
        <v>--</v>
      </c>
      <c r="X24" s="232" t="str">
        <f t="shared" si="10"/>
        <v>--</v>
      </c>
      <c r="Y24" s="233" t="str">
        <f t="shared" si="11"/>
        <v>--</v>
      </c>
      <c r="Z24" s="234" t="str">
        <f t="shared" si="12"/>
        <v>--</v>
      </c>
      <c r="AA24" s="235" t="str">
        <f t="shared" si="13"/>
        <v>--</v>
      </c>
      <c r="AB24" s="438" t="s">
        <v>144</v>
      </c>
      <c r="AC24" s="236">
        <f t="shared" si="14"/>
        <v>34.61535000000001</v>
      </c>
      <c r="AD24" s="158"/>
    </row>
    <row r="25" spans="2:30" s="1" customFormat="1" ht="16.5" customHeight="1">
      <c r="B25" s="157"/>
      <c r="C25" s="208">
        <v>117</v>
      </c>
      <c r="D25" s="208">
        <v>252224</v>
      </c>
      <c r="E25" s="208">
        <v>2459</v>
      </c>
      <c r="F25" s="77" t="s">
        <v>197</v>
      </c>
      <c r="G25" s="79" t="s">
        <v>177</v>
      </c>
      <c r="H25" s="221">
        <v>15</v>
      </c>
      <c r="I25" s="90" t="s">
        <v>173</v>
      </c>
      <c r="J25" s="223">
        <f t="shared" si="0"/>
        <v>10.395</v>
      </c>
      <c r="K25" s="446">
        <v>41177.4875</v>
      </c>
      <c r="L25" s="446">
        <v>41177.73125</v>
      </c>
      <c r="M25" s="224">
        <f t="shared" si="1"/>
        <v>5.849999999860302</v>
      </c>
      <c r="N25" s="225">
        <f t="shared" si="2"/>
        <v>351</v>
      </c>
      <c r="O25" s="226" t="s">
        <v>143</v>
      </c>
      <c r="P25" s="438" t="str">
        <f t="shared" si="3"/>
        <v>--</v>
      </c>
      <c r="Q25" s="438" t="s">
        <v>145</v>
      </c>
      <c r="R25" s="438" t="str">
        <f t="shared" si="4"/>
        <v>NO</v>
      </c>
      <c r="S25" s="105">
        <f t="shared" si="5"/>
        <v>0.6000000000000001</v>
      </c>
      <c r="T25" s="228">
        <f t="shared" si="6"/>
        <v>36.486450000000005</v>
      </c>
      <c r="U25" s="229" t="str">
        <f t="shared" si="7"/>
        <v>--</v>
      </c>
      <c r="V25" s="230" t="str">
        <f t="shared" si="8"/>
        <v>--</v>
      </c>
      <c r="W25" s="231" t="str">
        <f t="shared" si="9"/>
        <v>--</v>
      </c>
      <c r="X25" s="232" t="str">
        <f t="shared" si="10"/>
        <v>--</v>
      </c>
      <c r="Y25" s="233" t="str">
        <f t="shared" si="11"/>
        <v>--</v>
      </c>
      <c r="Z25" s="234" t="str">
        <f t="shared" si="12"/>
        <v>--</v>
      </c>
      <c r="AA25" s="235" t="str">
        <f t="shared" si="13"/>
        <v>--</v>
      </c>
      <c r="AB25" s="438" t="s">
        <v>144</v>
      </c>
      <c r="AC25" s="236">
        <f t="shared" si="14"/>
        <v>36.486450000000005</v>
      </c>
      <c r="AD25" s="158"/>
    </row>
    <row r="26" spans="2:30" s="1" customFormat="1" ht="16.5" customHeight="1">
      <c r="B26" s="157"/>
      <c r="C26" s="208">
        <v>118</v>
      </c>
      <c r="D26" s="208">
        <v>252225</v>
      </c>
      <c r="E26" s="208">
        <v>2459</v>
      </c>
      <c r="F26" s="77" t="s">
        <v>197</v>
      </c>
      <c r="G26" s="79" t="s">
        <v>177</v>
      </c>
      <c r="H26" s="221">
        <v>15</v>
      </c>
      <c r="I26" s="90" t="s">
        <v>173</v>
      </c>
      <c r="J26" s="223">
        <f t="shared" si="0"/>
        <v>10.395</v>
      </c>
      <c r="K26" s="446">
        <v>41178.339583333334</v>
      </c>
      <c r="L26" s="446">
        <v>41178.71944444445</v>
      </c>
      <c r="M26" s="224">
        <f t="shared" si="1"/>
        <v>9.11666666669771</v>
      </c>
      <c r="N26" s="225">
        <f t="shared" si="2"/>
        <v>547</v>
      </c>
      <c r="O26" s="226" t="s">
        <v>143</v>
      </c>
      <c r="P26" s="438" t="str">
        <f t="shared" si="3"/>
        <v>--</v>
      </c>
      <c r="Q26" s="438" t="s">
        <v>145</v>
      </c>
      <c r="R26" s="438" t="str">
        <f t="shared" si="4"/>
        <v>NO</v>
      </c>
      <c r="S26" s="105">
        <f t="shared" si="5"/>
        <v>0.6000000000000001</v>
      </c>
      <c r="T26" s="228">
        <f t="shared" si="6"/>
        <v>56.881440000000005</v>
      </c>
      <c r="U26" s="229" t="str">
        <f t="shared" si="7"/>
        <v>--</v>
      </c>
      <c r="V26" s="230" t="str">
        <f t="shared" si="8"/>
        <v>--</v>
      </c>
      <c r="W26" s="231" t="str">
        <f t="shared" si="9"/>
        <v>--</v>
      </c>
      <c r="X26" s="232" t="str">
        <f t="shared" si="10"/>
        <v>--</v>
      </c>
      <c r="Y26" s="233" t="str">
        <f t="shared" si="11"/>
        <v>--</v>
      </c>
      <c r="Z26" s="234" t="str">
        <f t="shared" si="12"/>
        <v>--</v>
      </c>
      <c r="AA26" s="235" t="str">
        <f t="shared" si="13"/>
        <v>--</v>
      </c>
      <c r="AB26" s="438" t="s">
        <v>144</v>
      </c>
      <c r="AC26" s="236">
        <f t="shared" si="14"/>
        <v>56.881440000000005</v>
      </c>
      <c r="AD26" s="158"/>
    </row>
    <row r="27" spans="2:30" s="1" customFormat="1" ht="16.5" customHeight="1">
      <c r="B27" s="157"/>
      <c r="C27" s="208">
        <v>119</v>
      </c>
      <c r="D27" s="208">
        <v>252226</v>
      </c>
      <c r="E27" s="208">
        <v>4650</v>
      </c>
      <c r="F27" s="77" t="s">
        <v>183</v>
      </c>
      <c r="G27" s="79" t="s">
        <v>179</v>
      </c>
      <c r="H27" s="221">
        <v>30</v>
      </c>
      <c r="I27" s="90" t="s">
        <v>173</v>
      </c>
      <c r="J27" s="223">
        <f t="shared" si="0"/>
        <v>20.79</v>
      </c>
      <c r="K27" s="446">
        <v>41178.35</v>
      </c>
      <c r="L27" s="446">
        <v>41178.62222222222</v>
      </c>
      <c r="M27" s="224">
        <f t="shared" si="1"/>
        <v>6.533333333325572</v>
      </c>
      <c r="N27" s="225">
        <f t="shared" si="2"/>
        <v>392</v>
      </c>
      <c r="O27" s="226" t="s">
        <v>143</v>
      </c>
      <c r="P27" s="438" t="str">
        <f t="shared" si="3"/>
        <v>--</v>
      </c>
      <c r="Q27" s="438" t="s">
        <v>145</v>
      </c>
      <c r="R27" s="438" t="str">
        <f t="shared" si="4"/>
        <v>NO</v>
      </c>
      <c r="S27" s="105">
        <f t="shared" si="5"/>
        <v>0.6000000000000001</v>
      </c>
      <c r="T27" s="228">
        <f t="shared" si="6"/>
        <v>81.45522000000001</v>
      </c>
      <c r="U27" s="229" t="str">
        <f t="shared" si="7"/>
        <v>--</v>
      </c>
      <c r="V27" s="230" t="str">
        <f t="shared" si="8"/>
        <v>--</v>
      </c>
      <c r="W27" s="231" t="str">
        <f t="shared" si="9"/>
        <v>--</v>
      </c>
      <c r="X27" s="232" t="str">
        <f t="shared" si="10"/>
        <v>--</v>
      </c>
      <c r="Y27" s="233" t="str">
        <f t="shared" si="11"/>
        <v>--</v>
      </c>
      <c r="Z27" s="234" t="str">
        <f t="shared" si="12"/>
        <v>--</v>
      </c>
      <c r="AA27" s="235" t="str">
        <f t="shared" si="13"/>
        <v>--</v>
      </c>
      <c r="AB27" s="438" t="s">
        <v>144</v>
      </c>
      <c r="AC27" s="236">
        <f t="shared" si="14"/>
        <v>81.45522000000001</v>
      </c>
      <c r="AD27" s="158"/>
    </row>
    <row r="28" spans="2:30" s="1" customFormat="1" ht="16.5" customHeight="1">
      <c r="B28" s="157"/>
      <c r="C28" s="208">
        <v>120</v>
      </c>
      <c r="D28" s="208">
        <v>252227</v>
      </c>
      <c r="E28" s="208">
        <v>2517</v>
      </c>
      <c r="F28" s="77" t="s">
        <v>210</v>
      </c>
      <c r="G28" s="79" t="s">
        <v>179</v>
      </c>
      <c r="H28" s="221">
        <v>15</v>
      </c>
      <c r="I28" s="90" t="s">
        <v>173</v>
      </c>
      <c r="J28" s="223">
        <f t="shared" si="0"/>
        <v>10.395</v>
      </c>
      <c r="K28" s="446">
        <v>41178.35902777778</v>
      </c>
      <c r="L28" s="446">
        <v>41178.623611111114</v>
      </c>
      <c r="M28" s="224">
        <f t="shared" si="1"/>
        <v>6.350000000093132</v>
      </c>
      <c r="N28" s="225">
        <f t="shared" si="2"/>
        <v>381</v>
      </c>
      <c r="O28" s="226" t="s">
        <v>143</v>
      </c>
      <c r="P28" s="438" t="str">
        <f t="shared" si="3"/>
        <v>--</v>
      </c>
      <c r="Q28" s="438" t="s">
        <v>145</v>
      </c>
      <c r="R28" s="438" t="str">
        <f t="shared" si="4"/>
        <v>NO</v>
      </c>
      <c r="S28" s="105">
        <f t="shared" si="5"/>
        <v>0.6000000000000001</v>
      </c>
      <c r="T28" s="228">
        <f t="shared" si="6"/>
        <v>39.60495</v>
      </c>
      <c r="U28" s="229" t="str">
        <f t="shared" si="7"/>
        <v>--</v>
      </c>
      <c r="V28" s="230" t="str">
        <f t="shared" si="8"/>
        <v>--</v>
      </c>
      <c r="W28" s="231" t="str">
        <f t="shared" si="9"/>
        <v>--</v>
      </c>
      <c r="X28" s="232" t="str">
        <f t="shared" si="10"/>
        <v>--</v>
      </c>
      <c r="Y28" s="233" t="str">
        <f t="shared" si="11"/>
        <v>--</v>
      </c>
      <c r="Z28" s="234" t="str">
        <f t="shared" si="12"/>
        <v>--</v>
      </c>
      <c r="AA28" s="235" t="str">
        <f t="shared" si="13"/>
        <v>--</v>
      </c>
      <c r="AB28" s="438" t="s">
        <v>144</v>
      </c>
      <c r="AC28" s="236">
        <f t="shared" si="14"/>
        <v>39.60495</v>
      </c>
      <c r="AD28" s="158"/>
    </row>
    <row r="29" spans="2:30" s="1" customFormat="1" ht="16.5" customHeight="1">
      <c r="B29" s="157"/>
      <c r="C29" s="208">
        <v>121</v>
      </c>
      <c r="D29" s="208">
        <v>252236</v>
      </c>
      <c r="E29" s="208">
        <v>2459</v>
      </c>
      <c r="F29" s="77" t="s">
        <v>197</v>
      </c>
      <c r="G29" s="79" t="s">
        <v>177</v>
      </c>
      <c r="H29" s="221">
        <v>15</v>
      </c>
      <c r="I29" s="90" t="s">
        <v>173</v>
      </c>
      <c r="J29" s="223">
        <f t="shared" si="0"/>
        <v>10.395</v>
      </c>
      <c r="K29" s="446">
        <v>41179.34097222222</v>
      </c>
      <c r="L29" s="446">
        <v>41179.71666666667</v>
      </c>
      <c r="M29" s="224">
        <f t="shared" si="1"/>
        <v>9.016666666720994</v>
      </c>
      <c r="N29" s="225">
        <f t="shared" si="2"/>
        <v>541</v>
      </c>
      <c r="O29" s="226" t="s">
        <v>143</v>
      </c>
      <c r="P29" s="438" t="str">
        <f t="shared" si="3"/>
        <v>--</v>
      </c>
      <c r="Q29" s="438" t="s">
        <v>145</v>
      </c>
      <c r="R29" s="438" t="str">
        <f t="shared" si="4"/>
        <v>NO</v>
      </c>
      <c r="S29" s="105">
        <f t="shared" si="5"/>
        <v>0.6000000000000001</v>
      </c>
      <c r="T29" s="228">
        <f t="shared" si="6"/>
        <v>56.257740000000005</v>
      </c>
      <c r="U29" s="229" t="str">
        <f t="shared" si="7"/>
        <v>--</v>
      </c>
      <c r="V29" s="230" t="str">
        <f t="shared" si="8"/>
        <v>--</v>
      </c>
      <c r="W29" s="231" t="str">
        <f t="shared" si="9"/>
        <v>--</v>
      </c>
      <c r="X29" s="232" t="str">
        <f t="shared" si="10"/>
        <v>--</v>
      </c>
      <c r="Y29" s="233" t="str">
        <f t="shared" si="11"/>
        <v>--</v>
      </c>
      <c r="Z29" s="234" t="str">
        <f t="shared" si="12"/>
        <v>--</v>
      </c>
      <c r="AA29" s="235" t="str">
        <f t="shared" si="13"/>
        <v>--</v>
      </c>
      <c r="AB29" s="438" t="s">
        <v>144</v>
      </c>
      <c r="AC29" s="236">
        <f t="shared" si="14"/>
        <v>56.257740000000005</v>
      </c>
      <c r="AD29" s="158"/>
    </row>
    <row r="30" spans="2:30" s="1" customFormat="1" ht="16.5" customHeight="1">
      <c r="B30" s="157"/>
      <c r="C30" s="208">
        <v>122</v>
      </c>
      <c r="D30" s="208">
        <v>252237</v>
      </c>
      <c r="E30" s="208">
        <v>2517</v>
      </c>
      <c r="F30" s="77" t="s">
        <v>210</v>
      </c>
      <c r="G30" s="79" t="s">
        <v>179</v>
      </c>
      <c r="H30" s="221">
        <v>15</v>
      </c>
      <c r="I30" s="90" t="s">
        <v>173</v>
      </c>
      <c r="J30" s="223">
        <f t="shared" si="0"/>
        <v>10.395</v>
      </c>
      <c r="K30" s="446">
        <v>41179.354166666664</v>
      </c>
      <c r="L30" s="446">
        <v>41179.626388888886</v>
      </c>
      <c r="M30" s="224">
        <f t="shared" si="1"/>
        <v>6.533333333325572</v>
      </c>
      <c r="N30" s="225">
        <f t="shared" si="2"/>
        <v>392</v>
      </c>
      <c r="O30" s="226" t="s">
        <v>143</v>
      </c>
      <c r="P30" s="438" t="str">
        <f t="shared" si="3"/>
        <v>--</v>
      </c>
      <c r="Q30" s="438" t="s">
        <v>145</v>
      </c>
      <c r="R30" s="438" t="str">
        <f t="shared" si="4"/>
        <v>NO</v>
      </c>
      <c r="S30" s="105">
        <f t="shared" si="5"/>
        <v>0.6000000000000001</v>
      </c>
      <c r="T30" s="228">
        <f t="shared" si="6"/>
        <v>40.727610000000006</v>
      </c>
      <c r="U30" s="229" t="str">
        <f t="shared" si="7"/>
        <v>--</v>
      </c>
      <c r="V30" s="230" t="str">
        <f t="shared" si="8"/>
        <v>--</v>
      </c>
      <c r="W30" s="231" t="str">
        <f t="shared" si="9"/>
        <v>--</v>
      </c>
      <c r="X30" s="232" t="str">
        <f t="shared" si="10"/>
        <v>--</v>
      </c>
      <c r="Y30" s="233" t="str">
        <f t="shared" si="11"/>
        <v>--</v>
      </c>
      <c r="Z30" s="234" t="str">
        <f t="shared" si="12"/>
        <v>--</v>
      </c>
      <c r="AA30" s="235" t="str">
        <f t="shared" si="13"/>
        <v>--</v>
      </c>
      <c r="AB30" s="438" t="s">
        <v>144</v>
      </c>
      <c r="AC30" s="236">
        <f t="shared" si="14"/>
        <v>40.727610000000006</v>
      </c>
      <c r="AD30" s="158"/>
    </row>
    <row r="31" spans="2:30" s="1" customFormat="1" ht="16.5" customHeight="1">
      <c r="B31" s="157"/>
      <c r="C31" s="208">
        <v>123</v>
      </c>
      <c r="D31" s="208">
        <v>252243</v>
      </c>
      <c r="E31" s="208">
        <v>2459</v>
      </c>
      <c r="F31" s="77" t="s">
        <v>197</v>
      </c>
      <c r="G31" s="79" t="s">
        <v>177</v>
      </c>
      <c r="H31" s="221">
        <v>15</v>
      </c>
      <c r="I31" s="90" t="s">
        <v>173</v>
      </c>
      <c r="J31" s="223">
        <f t="shared" si="0"/>
        <v>10.395</v>
      </c>
      <c r="K31" s="446">
        <v>41180.347916666666</v>
      </c>
      <c r="L31" s="446">
        <v>41180.63680555556</v>
      </c>
      <c r="M31" s="224">
        <f t="shared" si="1"/>
        <v>6.933333333407063</v>
      </c>
      <c r="N31" s="225">
        <f t="shared" si="2"/>
        <v>416</v>
      </c>
      <c r="O31" s="226" t="s">
        <v>143</v>
      </c>
      <c r="P31" s="438" t="str">
        <f t="shared" si="3"/>
        <v>--</v>
      </c>
      <c r="Q31" s="438" t="s">
        <v>145</v>
      </c>
      <c r="R31" s="438" t="str">
        <f t="shared" si="4"/>
        <v>NO</v>
      </c>
      <c r="S31" s="105">
        <f t="shared" si="5"/>
        <v>0.6000000000000001</v>
      </c>
      <c r="T31" s="228">
        <f t="shared" si="6"/>
        <v>43.22241</v>
      </c>
      <c r="U31" s="229" t="str">
        <f t="shared" si="7"/>
        <v>--</v>
      </c>
      <c r="V31" s="230" t="str">
        <f t="shared" si="8"/>
        <v>--</v>
      </c>
      <c r="W31" s="231" t="str">
        <f t="shared" si="9"/>
        <v>--</v>
      </c>
      <c r="X31" s="232" t="str">
        <f t="shared" si="10"/>
        <v>--</v>
      </c>
      <c r="Y31" s="233" t="str">
        <f t="shared" si="11"/>
        <v>--</v>
      </c>
      <c r="Z31" s="234" t="str">
        <f t="shared" si="12"/>
        <v>--</v>
      </c>
      <c r="AA31" s="235" t="str">
        <f t="shared" si="13"/>
        <v>--</v>
      </c>
      <c r="AB31" s="438" t="s">
        <v>144</v>
      </c>
      <c r="AC31" s="236">
        <f t="shared" si="14"/>
        <v>43.22241</v>
      </c>
      <c r="AD31" s="158"/>
    </row>
    <row r="32" spans="2:30" s="1" customFormat="1" ht="16.5" customHeight="1">
      <c r="B32" s="157"/>
      <c r="C32" s="208">
        <v>124</v>
      </c>
      <c r="D32" s="208">
        <v>252245</v>
      </c>
      <c r="E32" s="208">
        <v>2517</v>
      </c>
      <c r="F32" s="77" t="s">
        <v>210</v>
      </c>
      <c r="G32" s="79" t="s">
        <v>179</v>
      </c>
      <c r="H32" s="221">
        <v>15</v>
      </c>
      <c r="I32" s="90" t="s">
        <v>173</v>
      </c>
      <c r="J32" s="223">
        <f t="shared" si="0"/>
        <v>10.395</v>
      </c>
      <c r="K32" s="446">
        <v>41180.36736111111</v>
      </c>
      <c r="L32" s="446">
        <v>41180.61111111111</v>
      </c>
      <c r="M32" s="224">
        <f t="shared" si="1"/>
        <v>5.850000000034925</v>
      </c>
      <c r="N32" s="225">
        <f t="shared" si="2"/>
        <v>351</v>
      </c>
      <c r="O32" s="226" t="s">
        <v>143</v>
      </c>
      <c r="P32" s="438" t="str">
        <f t="shared" si="3"/>
        <v>--</v>
      </c>
      <c r="Q32" s="438" t="s">
        <v>145</v>
      </c>
      <c r="R32" s="438" t="str">
        <f t="shared" si="4"/>
        <v>NO</v>
      </c>
      <c r="S32" s="105">
        <f t="shared" si="5"/>
        <v>0.6000000000000001</v>
      </c>
      <c r="T32" s="228">
        <f t="shared" si="6"/>
        <v>36.486450000000005</v>
      </c>
      <c r="U32" s="229" t="str">
        <f t="shared" si="7"/>
        <v>--</v>
      </c>
      <c r="V32" s="230" t="str">
        <f t="shared" si="8"/>
        <v>--</v>
      </c>
      <c r="W32" s="231" t="str">
        <f t="shared" si="9"/>
        <v>--</v>
      </c>
      <c r="X32" s="232" t="str">
        <f t="shared" si="10"/>
        <v>--</v>
      </c>
      <c r="Y32" s="233" t="str">
        <f t="shared" si="11"/>
        <v>--</v>
      </c>
      <c r="Z32" s="234" t="str">
        <f t="shared" si="12"/>
        <v>--</v>
      </c>
      <c r="AA32" s="235" t="str">
        <f t="shared" si="13"/>
        <v>--</v>
      </c>
      <c r="AB32" s="438" t="s">
        <v>144</v>
      </c>
      <c r="AC32" s="236">
        <f t="shared" si="14"/>
        <v>36.486450000000005</v>
      </c>
      <c r="AD32" s="158"/>
    </row>
    <row r="33" spans="2:30" s="1" customFormat="1" ht="16.5" customHeight="1">
      <c r="B33" s="157"/>
      <c r="C33" s="208">
        <v>125</v>
      </c>
      <c r="D33" s="208">
        <v>252248</v>
      </c>
      <c r="E33" s="208">
        <v>3688</v>
      </c>
      <c r="F33" s="77" t="s">
        <v>211</v>
      </c>
      <c r="G33" s="79" t="s">
        <v>177</v>
      </c>
      <c r="H33" s="221">
        <v>10</v>
      </c>
      <c r="I33" s="90" t="s">
        <v>196</v>
      </c>
      <c r="J33" s="223">
        <f t="shared" si="0"/>
        <v>6.93</v>
      </c>
      <c r="K33" s="446">
        <v>41182.339583333334</v>
      </c>
      <c r="L33" s="446">
        <v>41182.59930555556</v>
      </c>
      <c r="M33" s="224">
        <f t="shared" si="1"/>
        <v>6.2333333333954215</v>
      </c>
      <c r="N33" s="225">
        <f t="shared" si="2"/>
        <v>374</v>
      </c>
      <c r="O33" s="226" t="s">
        <v>143</v>
      </c>
      <c r="P33" s="438" t="str">
        <f t="shared" si="3"/>
        <v>--</v>
      </c>
      <c r="Q33" s="438" t="s">
        <v>145</v>
      </c>
      <c r="R33" s="438" t="str">
        <f t="shared" si="4"/>
        <v>NO</v>
      </c>
      <c r="S33" s="105">
        <f t="shared" si="5"/>
        <v>0.6000000000000001</v>
      </c>
      <c r="T33" s="228">
        <f t="shared" si="6"/>
        <v>25.904340000000005</v>
      </c>
      <c r="U33" s="229" t="str">
        <f t="shared" si="7"/>
        <v>--</v>
      </c>
      <c r="V33" s="230" t="str">
        <f t="shared" si="8"/>
        <v>--</v>
      </c>
      <c r="W33" s="231" t="str">
        <f t="shared" si="9"/>
        <v>--</v>
      </c>
      <c r="X33" s="232" t="str">
        <f t="shared" si="10"/>
        <v>--</v>
      </c>
      <c r="Y33" s="233" t="str">
        <f t="shared" si="11"/>
        <v>--</v>
      </c>
      <c r="Z33" s="234" t="str">
        <f t="shared" si="12"/>
        <v>--</v>
      </c>
      <c r="AA33" s="235" t="str">
        <f t="shared" si="13"/>
        <v>--</v>
      </c>
      <c r="AB33" s="438" t="s">
        <v>144</v>
      </c>
      <c r="AC33" s="236">
        <f t="shared" si="14"/>
        <v>25.904340000000005</v>
      </c>
      <c r="AD33" s="158"/>
    </row>
    <row r="34" spans="2:30" s="1" customFormat="1" ht="16.5" customHeight="1">
      <c r="B34" s="157"/>
      <c r="C34" s="208">
        <v>126</v>
      </c>
      <c r="D34" s="208">
        <v>252249</v>
      </c>
      <c r="E34" s="208">
        <v>2072</v>
      </c>
      <c r="F34" s="77" t="s">
        <v>212</v>
      </c>
      <c r="G34" s="79" t="s">
        <v>189</v>
      </c>
      <c r="H34" s="221">
        <v>30</v>
      </c>
      <c r="I34" s="90" t="s">
        <v>173</v>
      </c>
      <c r="J34" s="223">
        <f t="shared" si="0"/>
        <v>20.79</v>
      </c>
      <c r="K34" s="446">
        <v>41182.347916666666</v>
      </c>
      <c r="L34" s="446">
        <v>41182.74930555555</v>
      </c>
      <c r="M34" s="224">
        <f t="shared" si="1"/>
        <v>9.63333333330229</v>
      </c>
      <c r="N34" s="225">
        <f t="shared" si="2"/>
        <v>578</v>
      </c>
      <c r="O34" s="226" t="s">
        <v>143</v>
      </c>
      <c r="P34" s="438" t="str">
        <f t="shared" si="3"/>
        <v>--</v>
      </c>
      <c r="Q34" s="438" t="s">
        <v>145</v>
      </c>
      <c r="R34" s="438" t="str">
        <f t="shared" si="4"/>
        <v>NO</v>
      </c>
      <c r="S34" s="105">
        <f t="shared" si="5"/>
        <v>0.6000000000000001</v>
      </c>
      <c r="T34" s="228">
        <f t="shared" si="6"/>
        <v>120.12462000000004</v>
      </c>
      <c r="U34" s="229" t="str">
        <f t="shared" si="7"/>
        <v>--</v>
      </c>
      <c r="V34" s="230" t="str">
        <f t="shared" si="8"/>
        <v>--</v>
      </c>
      <c r="W34" s="231" t="str">
        <f t="shared" si="9"/>
        <v>--</v>
      </c>
      <c r="X34" s="232" t="str">
        <f t="shared" si="10"/>
        <v>--</v>
      </c>
      <c r="Y34" s="233" t="str">
        <f t="shared" si="11"/>
        <v>--</v>
      </c>
      <c r="Z34" s="234" t="str">
        <f t="shared" si="12"/>
        <v>--</v>
      </c>
      <c r="AA34" s="235" t="str">
        <f t="shared" si="13"/>
        <v>--</v>
      </c>
      <c r="AB34" s="438" t="s">
        <v>144</v>
      </c>
      <c r="AC34" s="236">
        <f t="shared" si="14"/>
        <v>120.12462000000004</v>
      </c>
      <c r="AD34" s="158"/>
    </row>
    <row r="35" spans="2:30" s="1" customFormat="1" ht="16.5" customHeight="1">
      <c r="B35" s="157"/>
      <c r="C35" s="208"/>
      <c r="D35" s="208"/>
      <c r="E35" s="208"/>
      <c r="F35" s="77"/>
      <c r="G35" s="79"/>
      <c r="H35" s="221"/>
      <c r="I35" s="222"/>
      <c r="J35" s="223">
        <f t="shared" si="0"/>
        <v>0</v>
      </c>
      <c r="K35" s="446"/>
      <c r="L35" s="446"/>
      <c r="M35" s="224">
        <f t="shared" si="1"/>
      </c>
      <c r="N35" s="225">
        <f t="shared" si="2"/>
      </c>
      <c r="O35" s="226"/>
      <c r="P35" s="438">
        <f t="shared" si="3"/>
      </c>
      <c r="Q35" s="439">
        <f aca="true" t="shared" si="15" ref="Q35:Q41">IF(F35="","","--")</f>
      </c>
      <c r="R35" s="438">
        <f t="shared" si="4"/>
      </c>
      <c r="S35" s="105">
        <f t="shared" si="5"/>
        <v>6</v>
      </c>
      <c r="T35" s="228" t="str">
        <f t="shared" si="6"/>
        <v>--</v>
      </c>
      <c r="U35" s="229" t="str">
        <f t="shared" si="7"/>
        <v>--</v>
      </c>
      <c r="V35" s="230" t="str">
        <f t="shared" si="8"/>
        <v>--</v>
      </c>
      <c r="W35" s="231" t="str">
        <f t="shared" si="9"/>
        <v>--</v>
      </c>
      <c r="X35" s="232" t="str">
        <f t="shared" si="10"/>
        <v>--</v>
      </c>
      <c r="Y35" s="233" t="str">
        <f t="shared" si="11"/>
        <v>--</v>
      </c>
      <c r="Z35" s="234" t="str">
        <f t="shared" si="12"/>
        <v>--</v>
      </c>
      <c r="AA35" s="235" t="str">
        <f t="shared" si="13"/>
        <v>--</v>
      </c>
      <c r="AB35" s="438">
        <f aca="true" t="shared" si="16" ref="AB35:AB41">IF(F35="","","SI")</f>
      </c>
      <c r="AC35" s="236">
        <f t="shared" si="14"/>
      </c>
      <c r="AD35" s="158"/>
    </row>
    <row r="36" spans="2:30" s="1" customFormat="1" ht="16.5" customHeight="1">
      <c r="B36" s="157"/>
      <c r="C36" s="208"/>
      <c r="D36" s="208"/>
      <c r="E36" s="208"/>
      <c r="F36" s="77"/>
      <c r="G36" s="79"/>
      <c r="H36" s="221"/>
      <c r="I36" s="222"/>
      <c r="J36" s="223">
        <f t="shared" si="0"/>
        <v>0</v>
      </c>
      <c r="K36" s="446"/>
      <c r="L36" s="446"/>
      <c r="M36" s="224">
        <f t="shared" si="1"/>
      </c>
      <c r="N36" s="225">
        <f t="shared" si="2"/>
      </c>
      <c r="O36" s="226"/>
      <c r="P36" s="438">
        <f t="shared" si="3"/>
      </c>
      <c r="Q36" s="439">
        <f t="shared" si="15"/>
      </c>
      <c r="R36" s="438">
        <f t="shared" si="4"/>
      </c>
      <c r="S36" s="105">
        <f t="shared" si="5"/>
        <v>6</v>
      </c>
      <c r="T36" s="228" t="str">
        <f t="shared" si="6"/>
        <v>--</v>
      </c>
      <c r="U36" s="229" t="str">
        <f t="shared" si="7"/>
        <v>--</v>
      </c>
      <c r="V36" s="230" t="str">
        <f t="shared" si="8"/>
        <v>--</v>
      </c>
      <c r="W36" s="231" t="str">
        <f t="shared" si="9"/>
        <v>--</v>
      </c>
      <c r="X36" s="232" t="str">
        <f t="shared" si="10"/>
        <v>--</v>
      </c>
      <c r="Y36" s="233" t="str">
        <f t="shared" si="11"/>
        <v>--</v>
      </c>
      <c r="Z36" s="234" t="str">
        <f t="shared" si="12"/>
        <v>--</v>
      </c>
      <c r="AA36" s="235" t="str">
        <f t="shared" si="13"/>
        <v>--</v>
      </c>
      <c r="AB36" s="438">
        <f t="shared" si="16"/>
      </c>
      <c r="AC36" s="236">
        <f t="shared" si="14"/>
      </c>
      <c r="AD36" s="158"/>
    </row>
    <row r="37" spans="2:30" s="1" customFormat="1" ht="16.5" customHeight="1">
      <c r="B37" s="157"/>
      <c r="C37" s="208"/>
      <c r="D37" s="208"/>
      <c r="E37" s="208"/>
      <c r="F37" s="77"/>
      <c r="G37" s="79"/>
      <c r="H37" s="221"/>
      <c r="I37" s="222"/>
      <c r="J37" s="223">
        <f t="shared" si="0"/>
        <v>0</v>
      </c>
      <c r="K37" s="446"/>
      <c r="L37" s="446"/>
      <c r="M37" s="224">
        <f t="shared" si="1"/>
      </c>
      <c r="N37" s="225">
        <f t="shared" si="2"/>
      </c>
      <c r="O37" s="226"/>
      <c r="P37" s="438">
        <f t="shared" si="3"/>
      </c>
      <c r="Q37" s="439">
        <f t="shared" si="15"/>
      </c>
      <c r="R37" s="438">
        <f t="shared" si="4"/>
      </c>
      <c r="S37" s="105">
        <f t="shared" si="5"/>
        <v>6</v>
      </c>
      <c r="T37" s="228" t="str">
        <f t="shared" si="6"/>
        <v>--</v>
      </c>
      <c r="U37" s="229" t="str">
        <f t="shared" si="7"/>
        <v>--</v>
      </c>
      <c r="V37" s="230" t="str">
        <f t="shared" si="8"/>
        <v>--</v>
      </c>
      <c r="W37" s="231" t="str">
        <f t="shared" si="9"/>
        <v>--</v>
      </c>
      <c r="X37" s="232" t="str">
        <f t="shared" si="10"/>
        <v>--</v>
      </c>
      <c r="Y37" s="233" t="str">
        <f t="shared" si="11"/>
        <v>--</v>
      </c>
      <c r="Z37" s="234" t="str">
        <f t="shared" si="12"/>
        <v>--</v>
      </c>
      <c r="AA37" s="235" t="str">
        <f t="shared" si="13"/>
        <v>--</v>
      </c>
      <c r="AB37" s="438">
        <f t="shared" si="16"/>
      </c>
      <c r="AC37" s="236">
        <f t="shared" si="14"/>
      </c>
      <c r="AD37" s="158"/>
    </row>
    <row r="38" spans="2:30" s="1" customFormat="1" ht="16.5" customHeight="1">
      <c r="B38" s="157"/>
      <c r="C38" s="208"/>
      <c r="D38" s="208"/>
      <c r="E38" s="208"/>
      <c r="F38" s="77"/>
      <c r="G38" s="79"/>
      <c r="H38" s="221"/>
      <c r="I38" s="222"/>
      <c r="J38" s="223">
        <f t="shared" si="0"/>
        <v>0</v>
      </c>
      <c r="K38" s="446"/>
      <c r="L38" s="446"/>
      <c r="M38" s="224">
        <f t="shared" si="1"/>
      </c>
      <c r="N38" s="225">
        <f t="shared" si="2"/>
      </c>
      <c r="O38" s="226"/>
      <c r="P38" s="438">
        <f t="shared" si="3"/>
      </c>
      <c r="Q38" s="439">
        <f t="shared" si="15"/>
      </c>
      <c r="R38" s="438">
        <f t="shared" si="4"/>
      </c>
      <c r="S38" s="105">
        <f t="shared" si="5"/>
        <v>6</v>
      </c>
      <c r="T38" s="228" t="str">
        <f t="shared" si="6"/>
        <v>--</v>
      </c>
      <c r="U38" s="229" t="str">
        <f t="shared" si="7"/>
        <v>--</v>
      </c>
      <c r="V38" s="230" t="str">
        <f t="shared" si="8"/>
        <v>--</v>
      </c>
      <c r="W38" s="231" t="str">
        <f t="shared" si="9"/>
        <v>--</v>
      </c>
      <c r="X38" s="232" t="str">
        <f t="shared" si="10"/>
        <v>--</v>
      </c>
      <c r="Y38" s="233" t="str">
        <f t="shared" si="11"/>
        <v>--</v>
      </c>
      <c r="Z38" s="234" t="str">
        <f t="shared" si="12"/>
        <v>--</v>
      </c>
      <c r="AA38" s="235" t="str">
        <f t="shared" si="13"/>
        <v>--</v>
      </c>
      <c r="AB38" s="438">
        <f t="shared" si="16"/>
      </c>
      <c r="AC38" s="236">
        <f t="shared" si="14"/>
      </c>
      <c r="AD38" s="158"/>
    </row>
    <row r="39" spans="2:30" s="1" customFormat="1" ht="16.5" customHeight="1">
      <c r="B39" s="157"/>
      <c r="C39" s="208"/>
      <c r="D39" s="208"/>
      <c r="E39" s="208"/>
      <c r="F39" s="77"/>
      <c r="G39" s="79"/>
      <c r="H39" s="221"/>
      <c r="I39" s="222"/>
      <c r="J39" s="223">
        <f t="shared" si="0"/>
        <v>0</v>
      </c>
      <c r="K39" s="446"/>
      <c r="L39" s="446"/>
      <c r="M39" s="224">
        <f t="shared" si="1"/>
      </c>
      <c r="N39" s="225">
        <f t="shared" si="2"/>
      </c>
      <c r="O39" s="226"/>
      <c r="P39" s="438">
        <f t="shared" si="3"/>
      </c>
      <c r="Q39" s="439">
        <f t="shared" si="15"/>
      </c>
      <c r="R39" s="438">
        <f t="shared" si="4"/>
      </c>
      <c r="S39" s="105">
        <f t="shared" si="5"/>
        <v>6</v>
      </c>
      <c r="T39" s="228" t="str">
        <f t="shared" si="6"/>
        <v>--</v>
      </c>
      <c r="U39" s="229" t="str">
        <f t="shared" si="7"/>
        <v>--</v>
      </c>
      <c r="V39" s="230" t="str">
        <f t="shared" si="8"/>
        <v>--</v>
      </c>
      <c r="W39" s="231" t="str">
        <f t="shared" si="9"/>
        <v>--</v>
      </c>
      <c r="X39" s="232" t="str">
        <f t="shared" si="10"/>
        <v>--</v>
      </c>
      <c r="Y39" s="233" t="str">
        <f t="shared" si="11"/>
        <v>--</v>
      </c>
      <c r="Z39" s="234" t="str">
        <f t="shared" si="12"/>
        <v>--</v>
      </c>
      <c r="AA39" s="235" t="str">
        <f t="shared" si="13"/>
        <v>--</v>
      </c>
      <c r="AB39" s="438">
        <f t="shared" si="16"/>
      </c>
      <c r="AC39" s="236">
        <f t="shared" si="14"/>
      </c>
      <c r="AD39" s="158"/>
    </row>
    <row r="40" spans="2:30" s="1" customFormat="1" ht="16.5" customHeight="1">
      <c r="B40" s="157"/>
      <c r="C40" s="208"/>
      <c r="D40" s="208"/>
      <c r="E40" s="208"/>
      <c r="F40" s="77"/>
      <c r="G40" s="79"/>
      <c r="H40" s="221"/>
      <c r="I40" s="222"/>
      <c r="J40" s="223">
        <f t="shared" si="0"/>
        <v>0</v>
      </c>
      <c r="K40" s="446"/>
      <c r="L40" s="446"/>
      <c r="M40" s="224">
        <f t="shared" si="1"/>
      </c>
      <c r="N40" s="225">
        <f t="shared" si="2"/>
      </c>
      <c r="O40" s="226"/>
      <c r="P40" s="438">
        <f t="shared" si="3"/>
      </c>
      <c r="Q40" s="439">
        <f t="shared" si="15"/>
      </c>
      <c r="R40" s="438">
        <f t="shared" si="4"/>
      </c>
      <c r="S40" s="105">
        <f t="shared" si="5"/>
        <v>6</v>
      </c>
      <c r="T40" s="228" t="str">
        <f t="shared" si="6"/>
        <v>--</v>
      </c>
      <c r="U40" s="229" t="str">
        <f t="shared" si="7"/>
        <v>--</v>
      </c>
      <c r="V40" s="230" t="str">
        <f t="shared" si="8"/>
        <v>--</v>
      </c>
      <c r="W40" s="231" t="str">
        <f t="shared" si="9"/>
        <v>--</v>
      </c>
      <c r="X40" s="232" t="str">
        <f t="shared" si="10"/>
        <v>--</v>
      </c>
      <c r="Y40" s="233" t="str">
        <f t="shared" si="11"/>
        <v>--</v>
      </c>
      <c r="Z40" s="234" t="str">
        <f t="shared" si="12"/>
        <v>--</v>
      </c>
      <c r="AA40" s="235" t="str">
        <f t="shared" si="13"/>
        <v>--</v>
      </c>
      <c r="AB40" s="438">
        <f t="shared" si="16"/>
      </c>
      <c r="AC40" s="236">
        <f t="shared" si="14"/>
      </c>
      <c r="AD40" s="158"/>
    </row>
    <row r="41" spans="2:30" s="1" customFormat="1" ht="16.5" customHeight="1">
      <c r="B41" s="157"/>
      <c r="C41" s="208"/>
      <c r="D41" s="208"/>
      <c r="E41" s="208"/>
      <c r="F41" s="77"/>
      <c r="G41" s="79"/>
      <c r="H41" s="221"/>
      <c r="I41" s="222"/>
      <c r="J41" s="223">
        <f t="shared" si="0"/>
        <v>0</v>
      </c>
      <c r="K41" s="446"/>
      <c r="L41" s="446"/>
      <c r="M41" s="224">
        <f t="shared" si="1"/>
      </c>
      <c r="N41" s="225">
        <f t="shared" si="2"/>
      </c>
      <c r="O41" s="226"/>
      <c r="P41" s="438">
        <f t="shared" si="3"/>
      </c>
      <c r="Q41" s="439">
        <f t="shared" si="15"/>
      </c>
      <c r="R41" s="438">
        <f t="shared" si="4"/>
      </c>
      <c r="S41" s="105">
        <f t="shared" si="5"/>
        <v>6</v>
      </c>
      <c r="T41" s="228" t="str">
        <f t="shared" si="6"/>
        <v>--</v>
      </c>
      <c r="U41" s="229" t="str">
        <f t="shared" si="7"/>
        <v>--</v>
      </c>
      <c r="V41" s="230" t="str">
        <f t="shared" si="8"/>
        <v>--</v>
      </c>
      <c r="W41" s="231" t="str">
        <f t="shared" si="9"/>
        <v>--</v>
      </c>
      <c r="X41" s="232" t="str">
        <f t="shared" si="10"/>
        <v>--</v>
      </c>
      <c r="Y41" s="233" t="str">
        <f t="shared" si="11"/>
        <v>--</v>
      </c>
      <c r="Z41" s="234" t="str">
        <f t="shared" si="12"/>
        <v>--</v>
      </c>
      <c r="AA41" s="235" t="str">
        <f t="shared" si="13"/>
        <v>--</v>
      </c>
      <c r="AB41" s="438">
        <f t="shared" si="16"/>
      </c>
      <c r="AC41" s="236">
        <f t="shared" si="14"/>
      </c>
      <c r="AD41" s="158"/>
    </row>
    <row r="42" spans="2:30" s="1" customFormat="1" ht="16.5" customHeight="1" thickBot="1">
      <c r="B42" s="157"/>
      <c r="C42" s="317"/>
      <c r="D42" s="317"/>
      <c r="E42" s="317"/>
      <c r="F42" s="317"/>
      <c r="G42" s="317"/>
      <c r="H42" s="317"/>
      <c r="I42" s="317"/>
      <c r="J42" s="239"/>
      <c r="K42" s="407"/>
      <c r="L42" s="407"/>
      <c r="M42" s="238"/>
      <c r="N42" s="238"/>
      <c r="O42" s="317"/>
      <c r="P42" s="317"/>
      <c r="Q42" s="317"/>
      <c r="R42" s="317"/>
      <c r="S42" s="318"/>
      <c r="T42" s="319"/>
      <c r="U42" s="320"/>
      <c r="V42" s="321"/>
      <c r="W42" s="322"/>
      <c r="X42" s="323"/>
      <c r="Y42" s="324"/>
      <c r="Z42" s="325"/>
      <c r="AA42" s="326"/>
      <c r="AB42" s="317"/>
      <c r="AC42" s="240"/>
      <c r="AD42" s="158"/>
    </row>
    <row r="43" spans="2:30" s="1" customFormat="1" ht="16.5" customHeight="1" thickBot="1" thickTop="1">
      <c r="B43" s="157"/>
      <c r="C43" s="452" t="s">
        <v>296</v>
      </c>
      <c r="D43" s="451" t="s">
        <v>298</v>
      </c>
      <c r="E43" s="128"/>
      <c r="F43" s="1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1">
        <f>SUM(T20:T42)</f>
        <v>653.2841700000001</v>
      </c>
      <c r="U43" s="242">
        <f>SUM(U20:U42)</f>
        <v>0</v>
      </c>
      <c r="V43" s="243">
        <f>SUM(V20:V42)</f>
        <v>0</v>
      </c>
      <c r="W43" s="244">
        <f>SUM(W22:W42)</f>
        <v>0</v>
      </c>
      <c r="X43" s="245">
        <f>SUM(X20:X42)</f>
        <v>0</v>
      </c>
      <c r="Y43" s="245">
        <f>SUM(Y22:Y42)</f>
        <v>0</v>
      </c>
      <c r="Z43" s="246">
        <f>SUM(Z20:Z42)</f>
        <v>0</v>
      </c>
      <c r="AA43" s="247">
        <f>SUM(AA22:AA42)</f>
        <v>0</v>
      </c>
      <c r="AB43" s="248"/>
      <c r="AC43" s="418">
        <f>ROUND(SUM(AC20:AC42),2)</f>
        <v>13106.02</v>
      </c>
      <c r="AD43" s="158"/>
    </row>
    <row r="44" spans="2:30" s="126" customFormat="1" ht="9.75" thickTop="1">
      <c r="B44" s="249"/>
      <c r="C44" s="128"/>
      <c r="D44" s="128"/>
      <c r="E44" s="128"/>
      <c r="F44" s="129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1"/>
      <c r="U44" s="251"/>
      <c r="V44" s="251"/>
      <c r="W44" s="251"/>
      <c r="X44" s="251"/>
      <c r="Y44" s="251"/>
      <c r="Z44" s="251"/>
      <c r="AA44" s="251"/>
      <c r="AB44" s="250"/>
      <c r="AC44" s="252"/>
      <c r="AD44" s="253"/>
    </row>
    <row r="45" spans="2:30" s="1" customFormat="1" ht="16.5" customHeight="1" thickBot="1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6"/>
    </row>
    <row r="46" spans="2:30" ht="16.5" customHeight="1" thickTop="1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23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W41"/>
  <sheetViews>
    <sheetView zoomScale="70" zoomScaleNormal="70" workbookViewId="0" topLeftCell="A1">
      <selection activeCell="G33" sqref="G33"/>
    </sheetView>
  </sheetViews>
  <sheetFormatPr defaultColWidth="11.421875" defaultRowHeight="12.75"/>
  <cols>
    <col min="1" max="1" width="19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22.421875" style="5" customWidth="1"/>
    <col min="7" max="7" width="41.4218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'TOT-0912'!B2</f>
        <v>ANEXO IV al Memorándum  D.T.E.E.  N°     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'TOT-0912'!B14</f>
        <v>Desde el 01 al 30 de septiembre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18.46</v>
      </c>
      <c r="H14" s="266">
        <f>60*'TOT-0912'!B13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9.23</v>
      </c>
      <c r="H15" s="266">
        <f>50*'TOT-0912'!B13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6.921</v>
      </c>
      <c r="H16" s="270">
        <f>50*'TOT-0912'!B13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6.921</v>
      </c>
      <c r="H17" s="275">
        <f>40*'TOT-0912'!B13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36">
        <v>3</v>
      </c>
      <c r="D18" s="436">
        <v>4</v>
      </c>
      <c r="E18" s="436">
        <v>5</v>
      </c>
      <c r="F18" s="436">
        <v>6</v>
      </c>
      <c r="G18" s="436">
        <v>7</v>
      </c>
      <c r="H18" s="436">
        <v>8</v>
      </c>
      <c r="I18" s="436">
        <v>9</v>
      </c>
      <c r="J18" s="436">
        <v>10</v>
      </c>
      <c r="K18" s="436">
        <v>11</v>
      </c>
      <c r="L18" s="436">
        <v>12</v>
      </c>
      <c r="M18" s="436">
        <v>13</v>
      </c>
      <c r="N18" s="436">
        <v>14</v>
      </c>
      <c r="O18" s="436">
        <v>15</v>
      </c>
      <c r="P18" s="436">
        <v>16</v>
      </c>
      <c r="Q18" s="436">
        <v>17</v>
      </c>
      <c r="R18" s="436">
        <v>18</v>
      </c>
      <c r="S18" s="436">
        <v>19</v>
      </c>
      <c r="T18" s="436">
        <v>20</v>
      </c>
      <c r="U18" s="436">
        <v>21</v>
      </c>
      <c r="V18" s="436">
        <v>22</v>
      </c>
      <c r="W18" s="14"/>
    </row>
    <row r="19" spans="2:23" s="276" customFormat="1" ht="34.5" customHeight="1" thickBot="1" thickTop="1">
      <c r="B19" s="277"/>
      <c r="C19" s="421" t="s">
        <v>13</v>
      </c>
      <c r="D19" s="421" t="s">
        <v>82</v>
      </c>
      <c r="E19" s="421" t="s">
        <v>83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66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20"/>
      <c r="E20" s="420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/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48"/>
      <c r="K21" s="449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>
        <v>127</v>
      </c>
      <c r="D22" s="208">
        <v>251354</v>
      </c>
      <c r="E22" s="208">
        <v>5086</v>
      </c>
      <c r="F22" s="292" t="s">
        <v>174</v>
      </c>
      <c r="G22" s="292" t="s">
        <v>299</v>
      </c>
      <c r="H22" s="293">
        <v>13.2</v>
      </c>
      <c r="I22" s="294">
        <f aca="true" t="shared" si="0" ref="I22:I35">IF(H22=220,$G$14,IF(AND(H22&lt;=132,H22&gt;=66),$G$15,IF(AND(H22&lt;66,H22&gt;=33),$G$16,$G$17)))</f>
        <v>6.921</v>
      </c>
      <c r="J22" s="448">
        <v>41153.31875</v>
      </c>
      <c r="K22" s="449">
        <v>41153.54513888889</v>
      </c>
      <c r="L22" s="224">
        <f aca="true" t="shared" si="1" ref="L22:L35">IF(F22="","",(K22-J22)*24)</f>
        <v>5.433333333407063</v>
      </c>
      <c r="M22" s="295">
        <f aca="true" t="shared" si="2" ref="M22:M35">IF(F22="","",ROUND((K22-J22)*24*60,0))</f>
        <v>326</v>
      </c>
      <c r="N22" s="226" t="s">
        <v>143</v>
      </c>
      <c r="O22" s="442" t="str">
        <f aca="true" t="shared" si="3" ref="O22:O35">IF(F22="","",IF(OR(N22="P",N22="RP"),"--","NO"))</f>
        <v>--</v>
      </c>
      <c r="P22" s="296">
        <f aca="true" t="shared" si="4" ref="P22:P35">IF(H22=220,$H$14,IF(AND(H22&lt;=132,H22&gt;=66),$H$15,IF(AND(H22&lt;66,H22&gt;13.2),$H$16,$H$17)))</f>
        <v>40</v>
      </c>
      <c r="Q22" s="297">
        <f aca="true" t="shared" si="5" ref="Q22:Q35">IF(N22="P",I22*P22*ROUND(M22/60,2)*0.1,"--")</f>
        <v>150.32412000000002</v>
      </c>
      <c r="R22" s="298" t="str">
        <f aca="true" t="shared" si="6" ref="R22:R35">IF(AND(N22="F",O22="NO"),I22*P22,"--")</f>
        <v>--</v>
      </c>
      <c r="S22" s="299" t="str">
        <f aca="true" t="shared" si="7" ref="S22:S35">IF(N22="F",I22*P22*ROUND(M22/60,2),"--")</f>
        <v>--</v>
      </c>
      <c r="T22" s="300" t="str">
        <f aca="true" t="shared" si="8" ref="T22:T35">IF(N22="RF",I22*P22*ROUND(M22/60,2),"--")</f>
        <v>--</v>
      </c>
      <c r="U22" s="443" t="s">
        <v>144</v>
      </c>
      <c r="V22" s="304">
        <f aca="true" t="shared" si="9" ref="V22:V35">IF(F22="","",SUM(Q22:T22)*IF(U22="SI",1,2)*IF(H22="500/220",0,1))</f>
        <v>150.32412000000002</v>
      </c>
      <c r="W22" s="237"/>
    </row>
    <row r="23" spans="2:23" s="1" customFormat="1" ht="16.5" customHeight="1">
      <c r="B23" s="13"/>
      <c r="C23" s="209">
        <v>128</v>
      </c>
      <c r="D23" s="208">
        <v>251511</v>
      </c>
      <c r="E23" s="208">
        <v>2348</v>
      </c>
      <c r="F23" s="292" t="s">
        <v>213</v>
      </c>
      <c r="G23" s="292" t="s">
        <v>214</v>
      </c>
      <c r="H23" s="293">
        <v>13.199999809265137</v>
      </c>
      <c r="I23" s="294">
        <f t="shared" si="0"/>
        <v>6.921</v>
      </c>
      <c r="J23" s="448">
        <v>41155.36388888889</v>
      </c>
      <c r="K23" s="449">
        <v>41155.549305555556</v>
      </c>
      <c r="L23" s="224">
        <f t="shared" si="1"/>
        <v>4.4500000000116415</v>
      </c>
      <c r="M23" s="295">
        <f t="shared" si="2"/>
        <v>267</v>
      </c>
      <c r="N23" s="226" t="s">
        <v>143</v>
      </c>
      <c r="O23" s="442" t="str">
        <f t="shared" si="3"/>
        <v>--</v>
      </c>
      <c r="P23" s="296">
        <f t="shared" si="4"/>
        <v>40</v>
      </c>
      <c r="Q23" s="297">
        <f t="shared" si="5"/>
        <v>123.19380000000001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43" t="s">
        <v>144</v>
      </c>
      <c r="V23" s="304">
        <f t="shared" si="9"/>
        <v>123.19380000000001</v>
      </c>
      <c r="W23" s="237"/>
    </row>
    <row r="24" spans="2:23" s="1" customFormat="1" ht="16.5" customHeight="1">
      <c r="B24" s="13"/>
      <c r="C24" s="209">
        <v>129</v>
      </c>
      <c r="D24" s="208">
        <v>251516</v>
      </c>
      <c r="E24" s="208">
        <v>4090</v>
      </c>
      <c r="F24" s="292" t="s">
        <v>215</v>
      </c>
      <c r="G24" s="292" t="s">
        <v>216</v>
      </c>
      <c r="H24" s="293">
        <v>13.199999809265137</v>
      </c>
      <c r="I24" s="294">
        <f t="shared" si="0"/>
        <v>6.921</v>
      </c>
      <c r="J24" s="448">
        <v>41156.38958333333</v>
      </c>
      <c r="K24" s="449">
        <v>41156.60555555556</v>
      </c>
      <c r="L24" s="224">
        <f t="shared" si="1"/>
        <v>5.183333333465271</v>
      </c>
      <c r="M24" s="295">
        <f t="shared" si="2"/>
        <v>311</v>
      </c>
      <c r="N24" s="226" t="s">
        <v>143</v>
      </c>
      <c r="O24" s="442" t="str">
        <f t="shared" si="3"/>
        <v>--</v>
      </c>
      <c r="P24" s="296">
        <f t="shared" si="4"/>
        <v>40</v>
      </c>
      <c r="Q24" s="297">
        <f t="shared" si="5"/>
        <v>143.40312000000003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43" t="s">
        <v>144</v>
      </c>
      <c r="V24" s="304">
        <f t="shared" si="9"/>
        <v>143.40312000000003</v>
      </c>
      <c r="W24" s="237"/>
    </row>
    <row r="25" spans="2:23" s="1" customFormat="1" ht="16.5" customHeight="1">
      <c r="B25" s="13"/>
      <c r="C25" s="209">
        <v>130</v>
      </c>
      <c r="D25" s="208">
        <v>251519</v>
      </c>
      <c r="E25" s="208">
        <v>2445</v>
      </c>
      <c r="F25" s="292" t="s">
        <v>202</v>
      </c>
      <c r="G25" s="292" t="s">
        <v>217</v>
      </c>
      <c r="H25" s="293">
        <v>13.199999809265137</v>
      </c>
      <c r="I25" s="294">
        <f t="shared" si="0"/>
        <v>6.921</v>
      </c>
      <c r="J25" s="448">
        <v>41156.47361111111</v>
      </c>
      <c r="K25" s="449">
        <v>41156.70208333333</v>
      </c>
      <c r="L25" s="224">
        <f t="shared" si="1"/>
        <v>5.4833333332207985</v>
      </c>
      <c r="M25" s="295">
        <f t="shared" si="2"/>
        <v>329</v>
      </c>
      <c r="N25" s="226" t="s">
        <v>143</v>
      </c>
      <c r="O25" s="442" t="str">
        <f t="shared" si="3"/>
        <v>--</v>
      </c>
      <c r="P25" s="296">
        <f t="shared" si="4"/>
        <v>40</v>
      </c>
      <c r="Q25" s="297">
        <f t="shared" si="5"/>
        <v>151.70832000000004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43" t="s">
        <v>144</v>
      </c>
      <c r="V25" s="304">
        <f t="shared" si="9"/>
        <v>151.70832000000004</v>
      </c>
      <c r="W25" s="237"/>
    </row>
    <row r="26" spans="2:23" s="1" customFormat="1" ht="16.5" customHeight="1">
      <c r="B26" s="13"/>
      <c r="C26" s="209"/>
      <c r="D26" s="208"/>
      <c r="E26" s="208"/>
      <c r="F26" s="292"/>
      <c r="G26" s="292"/>
      <c r="H26" s="293"/>
      <c r="I26" s="294"/>
      <c r="J26" s="448"/>
      <c r="K26" s="449"/>
      <c r="L26" s="224"/>
      <c r="M26" s="295"/>
      <c r="N26" s="226"/>
      <c r="O26" s="442"/>
      <c r="P26" s="296"/>
      <c r="Q26" s="297"/>
      <c r="R26" s="298"/>
      <c r="S26" s="299"/>
      <c r="T26" s="300"/>
      <c r="U26" s="443"/>
      <c r="V26" s="304"/>
      <c r="W26" s="237"/>
    </row>
    <row r="27" spans="2:23" s="1" customFormat="1" ht="16.5" customHeight="1">
      <c r="B27" s="13"/>
      <c r="C27" s="209">
        <v>132</v>
      </c>
      <c r="D27" s="208">
        <v>251531</v>
      </c>
      <c r="E27" s="208">
        <v>2446</v>
      </c>
      <c r="F27" s="292" t="s">
        <v>202</v>
      </c>
      <c r="G27" s="292" t="s">
        <v>219</v>
      </c>
      <c r="H27" s="293">
        <v>13.199999809265137</v>
      </c>
      <c r="I27" s="294">
        <f t="shared" si="0"/>
        <v>6.921</v>
      </c>
      <c r="J27" s="448">
        <v>41157.34444444445</v>
      </c>
      <c r="K27" s="449">
        <v>41157.73333333333</v>
      </c>
      <c r="L27" s="224">
        <f t="shared" si="1"/>
        <v>9.333333333197515</v>
      </c>
      <c r="M27" s="295">
        <f t="shared" si="2"/>
        <v>560</v>
      </c>
      <c r="N27" s="226" t="s">
        <v>143</v>
      </c>
      <c r="O27" s="442" t="str">
        <f t="shared" si="3"/>
        <v>--</v>
      </c>
      <c r="P27" s="296">
        <f t="shared" si="4"/>
        <v>40</v>
      </c>
      <c r="Q27" s="297">
        <f t="shared" si="5"/>
        <v>258.29172000000005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43" t="s">
        <v>144</v>
      </c>
      <c r="V27" s="304">
        <f t="shared" si="9"/>
        <v>258.29172000000005</v>
      </c>
      <c r="W27" s="237"/>
    </row>
    <row r="28" spans="2:23" s="1" customFormat="1" ht="16.5" customHeight="1">
      <c r="B28" s="13"/>
      <c r="C28" s="209">
        <v>133</v>
      </c>
      <c r="D28" s="208">
        <v>251535</v>
      </c>
      <c r="E28" s="208">
        <v>3818</v>
      </c>
      <c r="F28" s="292" t="s">
        <v>215</v>
      </c>
      <c r="G28" s="292" t="s">
        <v>300</v>
      </c>
      <c r="H28" s="293">
        <v>13.2</v>
      </c>
      <c r="I28" s="294">
        <f t="shared" si="0"/>
        <v>6.921</v>
      </c>
      <c r="J28" s="448">
        <v>41157.38333333333</v>
      </c>
      <c r="K28" s="449">
        <v>41157.595138888886</v>
      </c>
      <c r="L28" s="224">
        <f t="shared" si="1"/>
        <v>5.083333333313931</v>
      </c>
      <c r="M28" s="295">
        <f t="shared" si="2"/>
        <v>305</v>
      </c>
      <c r="N28" s="226" t="s">
        <v>143</v>
      </c>
      <c r="O28" s="442" t="str">
        <f t="shared" si="3"/>
        <v>--</v>
      </c>
      <c r="P28" s="296">
        <f t="shared" si="4"/>
        <v>40</v>
      </c>
      <c r="Q28" s="297">
        <f t="shared" si="5"/>
        <v>140.63472000000002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43" t="s">
        <v>144</v>
      </c>
      <c r="V28" s="304">
        <f t="shared" si="9"/>
        <v>140.63472000000002</v>
      </c>
      <c r="W28" s="237"/>
    </row>
    <row r="29" spans="2:23" s="1" customFormat="1" ht="16.5" customHeight="1">
      <c r="B29" s="13"/>
      <c r="C29" s="209">
        <v>134</v>
      </c>
      <c r="D29" s="208">
        <v>251536</v>
      </c>
      <c r="E29" s="208">
        <v>2046</v>
      </c>
      <c r="F29" s="292" t="s">
        <v>220</v>
      </c>
      <c r="G29" s="292" t="s">
        <v>221</v>
      </c>
      <c r="H29" s="293">
        <v>33</v>
      </c>
      <c r="I29" s="294">
        <f t="shared" si="0"/>
        <v>6.921</v>
      </c>
      <c r="J29" s="448">
        <v>41157.395833333336</v>
      </c>
      <c r="K29" s="449">
        <v>41157.57916666667</v>
      </c>
      <c r="L29" s="224">
        <f t="shared" si="1"/>
        <v>4.400000000023283</v>
      </c>
      <c r="M29" s="295">
        <f t="shared" si="2"/>
        <v>264</v>
      </c>
      <c r="N29" s="226" t="s">
        <v>143</v>
      </c>
      <c r="O29" s="442" t="str">
        <f t="shared" si="3"/>
        <v>--</v>
      </c>
      <c r="P29" s="296">
        <f t="shared" si="4"/>
        <v>50</v>
      </c>
      <c r="Q29" s="297">
        <f t="shared" si="5"/>
        <v>152.26200000000003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43" t="s">
        <v>144</v>
      </c>
      <c r="V29" s="304">
        <f t="shared" si="9"/>
        <v>152.26200000000003</v>
      </c>
      <c r="W29" s="237"/>
    </row>
    <row r="30" spans="2:23" s="1" customFormat="1" ht="16.5" customHeight="1">
      <c r="B30" s="13"/>
      <c r="C30" s="209">
        <v>135</v>
      </c>
      <c r="D30" s="208">
        <v>251539</v>
      </c>
      <c r="E30" s="208">
        <v>2270</v>
      </c>
      <c r="F30" s="292" t="s">
        <v>195</v>
      </c>
      <c r="G30" s="292" t="s">
        <v>218</v>
      </c>
      <c r="H30" s="293">
        <v>66</v>
      </c>
      <c r="I30" s="294">
        <f t="shared" si="0"/>
        <v>9.23</v>
      </c>
      <c r="J30" s="448">
        <v>41157.43472222222</v>
      </c>
      <c r="K30" s="449">
        <v>41157.66527777778</v>
      </c>
      <c r="L30" s="224">
        <f t="shared" si="1"/>
        <v>5.53333333338378</v>
      </c>
      <c r="M30" s="295">
        <f t="shared" si="2"/>
        <v>332</v>
      </c>
      <c r="N30" s="226" t="s">
        <v>153</v>
      </c>
      <c r="O30" s="442" t="str">
        <f t="shared" si="3"/>
        <v>NO</v>
      </c>
      <c r="P30" s="296">
        <f t="shared" si="4"/>
        <v>50</v>
      </c>
      <c r="Q30" s="297" t="str">
        <f t="shared" si="5"/>
        <v>--</v>
      </c>
      <c r="R30" s="298">
        <f t="shared" si="6"/>
        <v>461.5</v>
      </c>
      <c r="S30" s="299">
        <f t="shared" si="7"/>
        <v>2552.0950000000003</v>
      </c>
      <c r="T30" s="300" t="str">
        <f t="shared" si="8"/>
        <v>--</v>
      </c>
      <c r="U30" s="443" t="s">
        <v>144</v>
      </c>
      <c r="V30" s="304">
        <f t="shared" si="9"/>
        <v>3013.5950000000003</v>
      </c>
      <c r="W30" s="237"/>
    </row>
    <row r="31" spans="2:23" s="1" customFormat="1" ht="16.5" customHeight="1">
      <c r="B31" s="13"/>
      <c r="C31" s="209">
        <v>136</v>
      </c>
      <c r="D31" s="208">
        <v>251540</v>
      </c>
      <c r="E31" s="208">
        <v>2609</v>
      </c>
      <c r="F31" s="292" t="s">
        <v>186</v>
      </c>
      <c r="G31" s="292" t="s">
        <v>222</v>
      </c>
      <c r="H31" s="293">
        <v>33</v>
      </c>
      <c r="I31" s="294">
        <f t="shared" si="0"/>
        <v>6.921</v>
      </c>
      <c r="J31" s="448">
        <v>41157.45277777778</v>
      </c>
      <c r="K31" s="449">
        <v>41157.62013888889</v>
      </c>
      <c r="L31" s="224">
        <f t="shared" si="1"/>
        <v>4.016666666662786</v>
      </c>
      <c r="M31" s="295">
        <f t="shared" si="2"/>
        <v>241</v>
      </c>
      <c r="N31" s="226" t="s">
        <v>143</v>
      </c>
      <c r="O31" s="442" t="str">
        <f t="shared" si="3"/>
        <v>--</v>
      </c>
      <c r="P31" s="296">
        <f t="shared" si="4"/>
        <v>50</v>
      </c>
      <c r="Q31" s="297">
        <f t="shared" si="5"/>
        <v>139.1121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43" t="s">
        <v>144</v>
      </c>
      <c r="V31" s="304">
        <f t="shared" si="9"/>
        <v>139.1121</v>
      </c>
      <c r="W31" s="237"/>
    </row>
    <row r="32" spans="2:23" s="1" customFormat="1" ht="16.5" customHeight="1">
      <c r="B32" s="13"/>
      <c r="C32" s="209">
        <v>137</v>
      </c>
      <c r="D32" s="208">
        <v>251543</v>
      </c>
      <c r="E32" s="208">
        <v>5069</v>
      </c>
      <c r="F32" s="292" t="s">
        <v>202</v>
      </c>
      <c r="G32" s="292" t="s">
        <v>301</v>
      </c>
      <c r="H32" s="293">
        <v>13.2</v>
      </c>
      <c r="I32" s="294">
        <f t="shared" si="0"/>
        <v>6.921</v>
      </c>
      <c r="J32" s="448">
        <v>41158.34444444445</v>
      </c>
      <c r="K32" s="449">
        <v>41158.70972222222</v>
      </c>
      <c r="L32" s="224">
        <f t="shared" si="1"/>
        <v>8.766666666604578</v>
      </c>
      <c r="M32" s="295">
        <f t="shared" si="2"/>
        <v>526</v>
      </c>
      <c r="N32" s="226" t="s">
        <v>143</v>
      </c>
      <c r="O32" s="442" t="str">
        <f t="shared" si="3"/>
        <v>--</v>
      </c>
      <c r="P32" s="296">
        <f t="shared" si="4"/>
        <v>40</v>
      </c>
      <c r="Q32" s="297">
        <f t="shared" si="5"/>
        <v>242.78868000000003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43" t="s">
        <v>144</v>
      </c>
      <c r="V32" s="304">
        <f t="shared" si="9"/>
        <v>242.78868000000003</v>
      </c>
      <c r="W32" s="237"/>
    </row>
    <row r="33" spans="2:23" s="1" customFormat="1" ht="16.5" customHeight="1">
      <c r="B33" s="13"/>
      <c r="C33" s="209">
        <v>138</v>
      </c>
      <c r="D33" s="208">
        <v>251546</v>
      </c>
      <c r="E33" s="208">
        <v>4267</v>
      </c>
      <c r="F33" s="292" t="s">
        <v>215</v>
      </c>
      <c r="G33" s="292" t="s">
        <v>223</v>
      </c>
      <c r="H33" s="293">
        <v>13.199999809265137</v>
      </c>
      <c r="I33" s="294">
        <f t="shared" si="0"/>
        <v>6.921</v>
      </c>
      <c r="J33" s="448">
        <v>41158.35763888889</v>
      </c>
      <c r="K33" s="449">
        <v>41158.595138888886</v>
      </c>
      <c r="L33" s="224">
        <f t="shared" si="1"/>
        <v>5.699999999895226</v>
      </c>
      <c r="M33" s="295">
        <f t="shared" si="2"/>
        <v>342</v>
      </c>
      <c r="N33" s="226" t="s">
        <v>143</v>
      </c>
      <c r="O33" s="442" t="str">
        <f t="shared" si="3"/>
        <v>--</v>
      </c>
      <c r="P33" s="296">
        <f t="shared" si="4"/>
        <v>40</v>
      </c>
      <c r="Q33" s="297">
        <f t="shared" si="5"/>
        <v>157.79880000000003</v>
      </c>
      <c r="R33" s="298" t="str">
        <f t="shared" si="6"/>
        <v>--</v>
      </c>
      <c r="S33" s="299" t="str">
        <f t="shared" si="7"/>
        <v>--</v>
      </c>
      <c r="T33" s="300" t="str">
        <f t="shared" si="8"/>
        <v>--</v>
      </c>
      <c r="U33" s="443" t="s">
        <v>144</v>
      </c>
      <c r="V33" s="304">
        <f t="shared" si="9"/>
        <v>157.79880000000003</v>
      </c>
      <c r="W33" s="237"/>
    </row>
    <row r="34" spans="2:23" s="1" customFormat="1" ht="16.5" customHeight="1">
      <c r="B34" s="13"/>
      <c r="C34" s="209"/>
      <c r="D34" s="208"/>
      <c r="E34" s="208"/>
      <c r="F34" s="292"/>
      <c r="G34" s="292"/>
      <c r="H34" s="293"/>
      <c r="I34" s="294"/>
      <c r="J34" s="448"/>
      <c r="K34" s="449"/>
      <c r="L34" s="224"/>
      <c r="M34" s="295"/>
      <c r="N34" s="226"/>
      <c r="O34" s="442"/>
      <c r="P34" s="296"/>
      <c r="Q34" s="297"/>
      <c r="R34" s="298"/>
      <c r="S34" s="299"/>
      <c r="T34" s="300"/>
      <c r="U34" s="443"/>
      <c r="V34" s="304"/>
      <c r="W34" s="237"/>
    </row>
    <row r="35" spans="2:23" s="1" customFormat="1" ht="16.5" customHeight="1">
      <c r="B35" s="13"/>
      <c r="C35" s="209"/>
      <c r="D35" s="208"/>
      <c r="E35" s="208"/>
      <c r="F35" s="292"/>
      <c r="G35" s="292"/>
      <c r="H35" s="293"/>
      <c r="I35" s="294">
        <f t="shared" si="0"/>
        <v>6.921</v>
      </c>
      <c r="J35" s="448"/>
      <c r="K35" s="449"/>
      <c r="L35" s="224">
        <f t="shared" si="1"/>
      </c>
      <c r="M35" s="295">
        <f t="shared" si="2"/>
      </c>
      <c r="N35" s="226"/>
      <c r="O35" s="442">
        <f t="shared" si="3"/>
      </c>
      <c r="P35" s="296">
        <f t="shared" si="4"/>
        <v>40</v>
      </c>
      <c r="Q35" s="297" t="str">
        <f t="shared" si="5"/>
        <v>--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43">
        <f>IF(F35="","","SI")</f>
      </c>
      <c r="V35" s="304">
        <f t="shared" si="9"/>
      </c>
      <c r="W35" s="237"/>
    </row>
    <row r="36" spans="2:23" s="1" customFormat="1" ht="16.5" customHeight="1" thickBot="1">
      <c r="B36" s="13"/>
      <c r="C36" s="317"/>
      <c r="D36" s="317"/>
      <c r="E36" s="317"/>
      <c r="F36" s="317"/>
      <c r="G36" s="317"/>
      <c r="H36" s="317"/>
      <c r="I36" s="305"/>
      <c r="J36" s="407"/>
      <c r="K36" s="407"/>
      <c r="L36" s="238"/>
      <c r="M36" s="238"/>
      <c r="N36" s="317"/>
      <c r="O36" s="317"/>
      <c r="P36" s="327"/>
      <c r="Q36" s="328"/>
      <c r="R36" s="329"/>
      <c r="S36" s="330"/>
      <c r="T36" s="331"/>
      <c r="U36" s="317"/>
      <c r="V36" s="306"/>
      <c r="W36" s="237"/>
    </row>
    <row r="37" spans="2:23" s="1" customFormat="1" ht="16.5" customHeight="1" thickBot="1" thickTop="1">
      <c r="B37" s="13"/>
      <c r="C37" s="452" t="s">
        <v>296</v>
      </c>
      <c r="D37" s="451" t="s">
        <v>295</v>
      </c>
      <c r="E37" s="128"/>
      <c r="F37" s="113"/>
      <c r="G37" s="2"/>
      <c r="H37" s="2"/>
      <c r="I37" s="2"/>
      <c r="J37" s="2"/>
      <c r="K37" s="2"/>
      <c r="L37" s="2"/>
      <c r="M37" s="2"/>
      <c r="N37" s="2"/>
      <c r="O37" s="2"/>
      <c r="P37" s="2"/>
      <c r="Q37" s="307">
        <f>SUM(Q20:Q36)</f>
        <v>1659.5173800000005</v>
      </c>
      <c r="R37" s="308">
        <f>SUM(R20:R36)</f>
        <v>461.5</v>
      </c>
      <c r="S37" s="308">
        <f>SUM(S20:S36)</f>
        <v>2552.0950000000003</v>
      </c>
      <c r="T37" s="309">
        <f>SUM(T20:T36)</f>
        <v>0</v>
      </c>
      <c r="U37" s="310"/>
      <c r="V37" s="419">
        <f>ROUND(SUM(V20:V36),2)</f>
        <v>4673.11</v>
      </c>
      <c r="W37" s="237"/>
    </row>
    <row r="38" spans="2:23" s="126" customFormat="1" ht="9.75" thickTop="1">
      <c r="B38" s="127"/>
      <c r="C38" s="128"/>
      <c r="D38" s="128"/>
      <c r="E38" s="128"/>
      <c r="F38" s="129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1"/>
      <c r="V38" s="311"/>
      <c r="W38" s="253"/>
    </row>
    <row r="39" spans="2:23" s="1" customFormat="1" ht="16.5" customHeight="1" thickBot="1">
      <c r="B39" s="139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6"/>
    </row>
    <row r="40" spans="2:23" ht="16.5" customHeight="1" thickTop="1"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</row>
    <row r="41" spans="3:6" ht="16.5" customHeight="1">
      <c r="C41" s="312"/>
      <c r="D41" s="312"/>
      <c r="E41" s="312"/>
      <c r="F41" s="312"/>
    </row>
    <row r="42" ht="16.5" customHeight="1"/>
    <row r="43" ht="16.5" customHeight="1"/>
    <row r="44" ht="16.5" customHeight="1"/>
    <row r="45" ht="16.5" customHeight="1"/>
    <row r="46" ht="16.5" customHeight="1"/>
  </sheetData>
  <printOptions/>
  <pageMargins left="0.22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jescandar</cp:lastModifiedBy>
  <cp:lastPrinted>2013-12-11T12:41:47Z</cp:lastPrinted>
  <dcterms:created xsi:type="dcterms:W3CDTF">1998-09-02T21:36:20Z</dcterms:created>
  <dcterms:modified xsi:type="dcterms:W3CDTF">2013-12-11T12:58:33Z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