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675" windowWidth="11970" windowHeight="3720" activeTab="0"/>
  </bookViews>
  <sheets>
    <sheet name="TOT-1013" sheetId="1" r:id="rId1"/>
    <sheet name="LI-10 (1)" sheetId="2" r:id="rId2"/>
    <sheet name="T-10 (1)" sheetId="3" r:id="rId3"/>
    <sheet name="SA-10 (1)" sheetId="4" r:id="rId4"/>
    <sheet name="TASA FALLA" sheetId="5" r:id="rId5"/>
  </sheets>
  <externalReferences>
    <externalReference r:id="rId8"/>
    <externalReference r:id="rId9"/>
    <externalReference r:id="rId10"/>
  </externalReferences>
  <definedNames>
    <definedName name="_xlnm.Print_Area" localSheetId="4">'TASA FALLA'!$A$1:$T$44</definedName>
    <definedName name="DD" localSheetId="4">'TASA FALLA'!DD</definedName>
    <definedName name="DD">[0]!DD</definedName>
    <definedName name="DDD" localSheetId="4">'TASA FALLA'!DDD</definedName>
    <definedName name="DDD">[0]!DDD</definedName>
    <definedName name="DISTROCUYO" localSheetId="4">'TASA FALLA'!DISTROCUYO</definedName>
    <definedName name="DISTROCUYO">[0]!DISTROCUYO</definedName>
    <definedName name="INICIO" localSheetId="4">'TASA FALLA'!INICIO</definedName>
    <definedName name="INICIO">[0]!INICIO</definedName>
    <definedName name="INICIOTI" localSheetId="4">'TASA FALLA'!INICIOTI</definedName>
    <definedName name="INICIOTI">[0]!INICIOTI</definedName>
    <definedName name="LINEAS" localSheetId="4">'TASA FALLA'!LINEAS</definedName>
    <definedName name="LINEAS">[0]!LINEAS</definedName>
    <definedName name="LINEASTI" localSheetId="4">'TASA FALLA'!LINEASTI</definedName>
    <definedName name="LINEASTI">[0]!LINEASTI</definedName>
    <definedName name="NAME_L" localSheetId="4">'TASA FALLA'!NAME_L</definedName>
    <definedName name="NAME_L">[0]!NAME_L</definedName>
    <definedName name="NAME_L_TI" localSheetId="4">'TASA FALLA'!NAME_L_TI</definedName>
    <definedName name="NAME_L_TI">[0]!NAME_L_TI</definedName>
    <definedName name="TRAN" localSheetId="4">'TASA FALLA'!TRAN</definedName>
    <definedName name="TRAN">[0]!TRAN</definedName>
    <definedName name="TRANSNOA" localSheetId="4">'TASA FALLA'!TRANSNOA</definedName>
    <definedName name="TRANSNOA">[0]!TRANSNOA</definedName>
    <definedName name="TRANSPA" localSheetId="4">'TASA FALLA'!TRANSPA</definedName>
    <definedName name="TRANSPA">[0]!TRANSPA</definedName>
    <definedName name="x" localSheetId="4">'TASA FALLA'!x</definedName>
    <definedName name="x">[0]!x</definedName>
    <definedName name="XX" localSheetId="4">'TASA FALLA'!XX</definedName>
    <definedName name="XX">[0]!XX</definedName>
    <definedName name="Z_CED65634_EC76_48B7_BCDE_CE4F22E2E6C4_.wvu.PrintArea" localSheetId="4" hidden="1">'TASA FALLA'!$A$1:$T$44</definedName>
    <definedName name="Z_CED65634_EC76_48B7_BCDE_CE4F22E2E6C4_.wvu.Rows" localSheetId="4" hidden="1">'TASA FALLA'!$16:$16</definedName>
  </definedNames>
  <calcPr fullCalcOnLoad="1"/>
</workbook>
</file>

<file path=xl/sharedStrings.xml><?xml version="1.0" encoding="utf-8"?>
<sst xmlns="http://schemas.openxmlformats.org/spreadsheetml/2006/main" count="226" uniqueCount="106">
  <si>
    <t>SISTEMA DE TRANSPORTE DE ENERGÍA ELÉCTRICA POR DISTRIBUCIÓN TRONCAL</t>
  </si>
  <si>
    <t>DISTROCUYO S.A.</t>
  </si>
  <si>
    <t>LÍNEAS</t>
  </si>
  <si>
    <t xml:space="preserve">ENTE NACIONAL REGULADOR </t>
  </si>
  <si>
    <t>DE LA ELECTRICIDAD</t>
  </si>
  <si>
    <t>Sanciones duplicadas por tasa de falla &gt; 4 Sal. x año/100km.</t>
  </si>
  <si>
    <t>1.-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</si>
  <si>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</si>
  <si>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</si>
  <si>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</si>
  <si>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</si>
  <si>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</si>
  <si>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</si>
  <si>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</si>
  <si>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SISTEMA DE TRANSPORTE DE ENERGÍA ELÉCTRICA POR DISTRIBUCIÓN TRONCAL - DISTROCUYO S.A.</t>
  </si>
  <si>
    <t>1.- LÍNEAS</t>
  </si>
  <si>
    <t xml:space="preserve">$/100 km-h : LÍNEAS 220 kV </t>
  </si>
  <si>
    <t xml:space="preserve">$/100 km-h : LÍNEAS 132 kV </t>
  </si>
  <si>
    <t>FACTOR DE PENALIZACIÓN   K=</t>
  </si>
  <si>
    <t xml:space="preserve">$/100 km-h : LÍNEAS 66 kV </t>
  </si>
  <si>
    <t>N°</t>
  </si>
  <si>
    <t>U
[kV]</t>
  </si>
  <si>
    <t>Long.
[km]</t>
  </si>
  <si>
    <t>$/h</t>
  </si>
  <si>
    <t>Salida</t>
  </si>
  <si>
    <t>Entrada</t>
  </si>
  <si>
    <t>Hs. 
Indisp</t>
  </si>
  <si>
    <t>Minutos
Indisp.</t>
  </si>
  <si>
    <t>C.R.
%</t>
  </si>
  <si>
    <t>PENALIZ.
PROGRAM.</t>
  </si>
  <si>
    <t>REDUCC.
PROGRAM.</t>
  </si>
  <si>
    <t>PENALIZACIÓN FORZADA
Por Salida   1ras. 3 hs.   hs. Restantes</t>
  </si>
  <si>
    <t>REDUCC. FORZADA
Por Salida   1ras. 3 hs.   hs. Restantes</t>
  </si>
  <si>
    <t>RESTANTE
FORZADA</t>
  </si>
  <si>
    <t>REDUCC.
RESTANTE</t>
  </si>
  <si>
    <t>Informó
en Térm.</t>
  </si>
  <si>
    <t>TOTAL
PENALIZAC.</t>
  </si>
  <si>
    <t>2.- CONEXIÓN</t>
  </si>
  <si>
    <t>2.1.- Transformación</t>
  </si>
  <si>
    <t>Por Transformador por MVA    $ =</t>
  </si>
  <si>
    <t>Coeficiente de penalización por salida forzada   =</t>
  </si>
  <si>
    <t>ESTACIÓN 
TRANSFORMADORA</t>
  </si>
  <si>
    <t>EQUIPO</t>
  </si>
  <si>
    <t>POT.
[MVA]</t>
  </si>
  <si>
    <t>Hs
Indisp.</t>
  </si>
  <si>
    <t>Minutos.
Indisp.</t>
  </si>
  <si>
    <t>AUT.</t>
  </si>
  <si>
    <t>E.N.S.</t>
  </si>
  <si>
    <t>K (P y ENS)</t>
  </si>
  <si>
    <t>PENALIZACIÓN FORZADA
Por Salida   hs. Restantes</t>
  </si>
  <si>
    <t>REDUCC. FORZADA
Por Salida   hs. Restantes</t>
  </si>
  <si>
    <t>Informó 
en Térm.</t>
  </si>
  <si>
    <t>SISTEMA DE TRANSPORTE DE ENERGÍA ELÉCTRICA POR DISTRIBUCIÓN TRONCAL -  DISTROCUYO S.A.</t>
  </si>
  <si>
    <t>2.2.- Salidas</t>
  </si>
  <si>
    <t>Salida en 220 kV</t>
  </si>
  <si>
    <t xml:space="preserve">Salida en 132 kV o 66 kV = </t>
  </si>
  <si>
    <t xml:space="preserve">Salida en 33 kV </t>
  </si>
  <si>
    <t>Salida en 13,2 kV =</t>
  </si>
  <si>
    <t>K (U)</t>
  </si>
  <si>
    <t>PENALIZAC.
PROGRAM.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</si>
  <si>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</si>
  <si>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r>
      <t>(</t>
    </r>
    <r>
      <rPr>
        <sz val="7"/>
        <rFont val="Wingdings"/>
        <family val="0"/>
      </rPr>
      <t>²</t>
    </r>
    <r>
      <rPr>
        <sz val="7"/>
        <rFont val="Times New Roman"/>
        <family val="1"/>
      </rPr>
      <t>)</t>
    </r>
  </si>
  <si>
    <t>INDISP</t>
  </si>
  <si>
    <t>ID EQUIPO</t>
  </si>
  <si>
    <t>Desde el 01 al 31 de octubre de 2013</t>
  </si>
  <si>
    <t>AGUA DEL TORO - NIHUIL II</t>
  </si>
  <si>
    <t>P</t>
  </si>
  <si>
    <t>0,000</t>
  </si>
  <si>
    <t>PEDRO VARGAS - SAN RAFAEL</t>
  </si>
  <si>
    <t>CAPIZ - PEDRO VARGAS</t>
  </si>
  <si>
    <t>CRUZ DE PIEDRA - SAN JUAN</t>
  </si>
  <si>
    <t>F</t>
  </si>
  <si>
    <t>CRUZ DE PIEDRA - CAÑADA HONDA</t>
  </si>
  <si>
    <t>ANCHORIS - CAPIZ</t>
  </si>
  <si>
    <t>SI</t>
  </si>
  <si>
    <t>AUTOTRAFO 1</t>
  </si>
  <si>
    <t>220/132/13,2</t>
  </si>
  <si>
    <t>SAN JUAN</t>
  </si>
  <si>
    <t>TRAFO 3</t>
  </si>
  <si>
    <t>CRUZ DE PIEDRA</t>
  </si>
  <si>
    <t>TRAFO 2</t>
  </si>
  <si>
    <t>132/33/13,2</t>
  </si>
  <si>
    <t>ALIMENT. VILLA KRAUSE</t>
  </si>
  <si>
    <t>P - PROGRAMADA  ; F - FORZADA</t>
  </si>
  <si>
    <t>P - PROGRAMADA</t>
  </si>
  <si>
    <t>Valores remuneratorios según el Convenio de Renovación del Acuerdo Instrumental del Acta Acuerdo</t>
  </si>
  <si>
    <t>132/66/13,2</t>
  </si>
  <si>
    <t>132/33</t>
  </si>
  <si>
    <t>TRAFO 5</t>
  </si>
  <si>
    <t>MONTECASEROS</t>
  </si>
  <si>
    <t>AUTOTRAFO 3</t>
  </si>
  <si>
    <t>TRAFO 1</t>
  </si>
  <si>
    <t>SALIDA LINEA GRAN MENDOZA</t>
  </si>
  <si>
    <t xml:space="preserve">        DE LA ELECTRICIDAD</t>
  </si>
  <si>
    <t>TOTAL DE PENALIZACIONES A APLICAR</t>
  </si>
  <si>
    <t>ANEXO V al Memorándum  D.T.E.E.  N°             / 2014</t>
  </si>
  <si>
    <t xml:space="preserve">SISTEMA DE TRANSPORTE DE ENERGÍA ELÉCTRICA POR DISTRIBUCIÓN TRONCAL </t>
  </si>
  <si>
    <t>INDISPONIBILIDADES FORZADAS DE LÍNEAS - TASA DE FALLA</t>
  </si>
  <si>
    <t>LINEAS</t>
  </si>
  <si>
    <t xml:space="preserve">Longitud Total </t>
  </si>
  <si>
    <t xml:space="preserve">Indisponibilidades Forzadas </t>
  </si>
  <si>
    <t xml:space="preserve">TASA DE FALLA </t>
  </si>
  <si>
    <t>VALOR PROVISORIO</t>
  </si>
  <si>
    <t>TASA DE FALLA</t>
  </si>
  <si>
    <t>SALIDAS x AÑO/ 100 km</t>
  </si>
  <si>
    <t xml:space="preserve">Tasa de falla Correspondiente al mes de Octubre de 2013 </t>
  </si>
</sst>
</file>

<file path=xl/styles.xml><?xml version="1.0" encoding="utf-8"?>
<styleSheet xmlns="http://schemas.openxmlformats.org/spreadsheetml/2006/main">
  <numFmts count="7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_)"/>
    <numFmt numFmtId="169" formatCode="0.0_)"/>
    <numFmt numFmtId="170" formatCode="0.0000000_)"/>
    <numFmt numFmtId="171" formatCode="#,##0.0000"/>
    <numFmt numFmtId="172" formatCode="0.00_)"/>
    <numFmt numFmtId="173" formatCode="0.0"/>
    <numFmt numFmtId="174" formatCode="&quot;$&quot;\ #,##0.000;&quot;$&quot;\ \-#,##0.000"/>
    <numFmt numFmtId="175" formatCode="#,##0.0"/>
    <numFmt numFmtId="176" formatCode="0.000"/>
    <numFmt numFmtId="177" formatCode="0.0\ \k\V"/>
    <numFmt numFmtId="178" formatCode="0.00\ &quot;km&quot;"/>
    <numFmt numFmtId="179" formatCode="0.00\ &quot;MVA&quot;"/>
    <numFmt numFmtId="180" formatCode="d/m/yy\ h:mm"/>
    <numFmt numFmtId="181" formatCode="mmm\-yyyy"/>
    <numFmt numFmtId="182" formatCode="0#"/>
    <numFmt numFmtId="183" formatCode="d\ &quot;días&quot;\ \ h:mm\ &quot;horas&quot;"/>
    <numFmt numFmtId="184" formatCode="dd/mm/yy"/>
    <numFmt numFmtId="185" formatCode="#,##0.00000"/>
    <numFmt numFmtId="186" formatCode="0.000_)"/>
    <numFmt numFmtId="187" formatCode="#,##0;[Red]#,##0"/>
    <numFmt numFmtId="188" formatCode="#,##0.000000"/>
    <numFmt numFmtId="189" formatCode="#&quot;.&quot;#&quot;.-&quot;"/>
    <numFmt numFmtId="190" formatCode="#&quot;.&quot;#&quot;.&quot;#&quot;.-&quot;"/>
    <numFmt numFmtId="191" formatCode="&quot;$&quot;#,##0.00;&quot;$&quot;\-#,##0.00"/>
    <numFmt numFmtId="192" formatCode="&quot;$&quot;#,##0.00"/>
    <numFmt numFmtId="193" formatCode="#,##0.00;[Red]#,##0.00"/>
    <numFmt numFmtId="194" formatCode="&quot;$&quot;\ #,##0.00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&quot;$&quot;\ #,##0.0;&quot;$&quot;\ \-#,##0.0"/>
    <numFmt numFmtId="200" formatCode="&quot;$&quot;\ #,##0.0000;&quot;$&quot;\ \-#,##0.0000"/>
    <numFmt numFmtId="201" formatCode="&quot;$&quot;\ #,##0.00000;&quot;$&quot;\ \-#,##0.00000"/>
    <numFmt numFmtId="202" formatCode="&quot;$&quot;\ #,##0.000000;&quot;$&quot;\ \-#,##0.000000"/>
    <numFmt numFmtId="203" formatCode="&quot;$&quot;#,##0.0;&quot;$&quot;\-#,##0.0"/>
    <numFmt numFmtId="204" formatCode="&quot;$&quot;#,##0;&quot;$&quot;\-#,##0"/>
    <numFmt numFmtId="205" formatCode="&quot;$&quot;\ #,##0.0000000;&quot;$&quot;\ \-#,##0.0000000"/>
    <numFmt numFmtId="206" formatCode="&quot;Sí&quot;;&quot;Sí&quot;;&quot;No&quot;"/>
    <numFmt numFmtId="207" formatCode="&quot;Verdadero&quot;;&quot;Verdadero&quot;;&quot;Falso&quot;"/>
    <numFmt numFmtId="208" formatCode="&quot;Activado&quot;;&quot;Activado&quot;;&quot;Desactivado&quot;"/>
    <numFmt numFmtId="209" formatCode="d\-m"/>
    <numFmt numFmtId="210" formatCode="dd/mm/\a\a\a\a\ hh:\n\n"/>
    <numFmt numFmtId="211" formatCode="d\-m\-yy\ h:mm"/>
    <numFmt numFmtId="212" formatCode="#,##0\ &quot;€&quot;;\-#,##0\ &quot;€&quot;"/>
    <numFmt numFmtId="213" formatCode="#,##0\ &quot;€&quot;;[Red]\-#,##0\ &quot;€&quot;"/>
    <numFmt numFmtId="214" formatCode="#,##0.00\ &quot;€&quot;;\-#,##0.00\ &quot;€&quot;"/>
    <numFmt numFmtId="215" formatCode="#,##0.00\ &quot;€&quot;;[Red]\-#,##0.00\ &quot;€&quot;"/>
    <numFmt numFmtId="216" formatCode="_-* #,##0\ &quot;€&quot;_-;\-* #,##0\ &quot;€&quot;_-;_-* &quot;-&quot;\ &quot;€&quot;_-;_-@_-"/>
    <numFmt numFmtId="217" formatCode="_-* #,##0\ _€_-;\-* #,##0\ _€_-;_-* &quot;-&quot;\ _€_-;_-@_-"/>
    <numFmt numFmtId="218" formatCode="_-* #,##0.00\ &quot;€&quot;_-;\-* #,##0.00\ &quot;€&quot;_-;_-* &quot;-&quot;??\ &quot;€&quot;_-;_-@_-"/>
    <numFmt numFmtId="219" formatCode="_-* #,##0.00\ _€_-;\-* #,##0.00\ _€_-;_-* &quot;-&quot;??\ _€_-;_-@_-"/>
    <numFmt numFmtId="220" formatCode="#,##0.000_);[Red]\(#,##0.000\)"/>
    <numFmt numFmtId="221" formatCode="#,##0.0000_);[Red]\(#,##0.0000\)"/>
    <numFmt numFmtId="222" formatCode="#,##0.00000_);[Red]\(#,##0.00000\)"/>
    <numFmt numFmtId="223" formatCode="#,##0.000000_);[Red]\(#,##0.000000\)"/>
    <numFmt numFmtId="224" formatCode="0.0000"/>
    <numFmt numFmtId="225" formatCode="[$€-2]\ #,##0.00_);[Red]\([$€-2]\ #,##0.00\)"/>
    <numFmt numFmtId="226" formatCode="[$-2C0A]dddd\,\ dd&quot; de &quot;mmmm&quot; de &quot;yyyy"/>
    <numFmt numFmtId="227" formatCode="[$-2C0A]hh:mm:ss\ AM/PM"/>
  </numFmts>
  <fonts count="94">
    <font>
      <sz val="10"/>
      <name val="Arial"/>
      <family val="0"/>
    </font>
    <font>
      <sz val="10"/>
      <name val="MS Sans Serif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sz val="10"/>
      <color indexed="10"/>
      <name val="MS Sans Serif"/>
      <family val="2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8"/>
      <name val="Times New Roman"/>
      <family val="1"/>
    </font>
    <font>
      <b/>
      <sz val="20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9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6"/>
      <name val="Times New Roman"/>
      <family val="1"/>
    </font>
    <font>
      <b/>
      <u val="single"/>
      <sz val="16"/>
      <name val="Times New Roman"/>
      <family val="1"/>
    </font>
    <font>
      <sz val="11"/>
      <name val="MS Sans Serif"/>
      <family val="2"/>
    </font>
    <font>
      <sz val="11"/>
      <color indexed="48"/>
      <name val="MS Sans Serif"/>
      <family val="2"/>
    </font>
    <font>
      <sz val="10"/>
      <name val="Wingdings"/>
      <family val="0"/>
    </font>
    <font>
      <sz val="11"/>
      <color indexed="56"/>
      <name val="MS Sans Serif"/>
      <family val="2"/>
    </font>
    <font>
      <sz val="11"/>
      <color indexed="27"/>
      <name val="MS Sans Serif"/>
      <family val="2"/>
    </font>
    <font>
      <sz val="11"/>
      <color indexed="10"/>
      <name val="MS Sans Serif"/>
      <family val="2"/>
    </font>
    <font>
      <sz val="11"/>
      <color indexed="58"/>
      <name val="MS Sans Serif"/>
      <family val="2"/>
    </font>
    <font>
      <sz val="11"/>
      <color indexed="47"/>
      <name val="MS Sans Serif"/>
      <family val="2"/>
    </font>
    <font>
      <sz val="10"/>
      <color indexed="48"/>
      <name val="Times New Roman"/>
      <family val="1"/>
    </font>
    <font>
      <b/>
      <sz val="10"/>
      <color indexed="56"/>
      <name val="Times New Roman"/>
      <family val="1"/>
    </font>
    <font>
      <b/>
      <sz val="10"/>
      <color indexed="27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58"/>
      <name val="Times New Roman"/>
      <family val="1"/>
    </font>
    <font>
      <b/>
      <sz val="10"/>
      <color indexed="47"/>
      <name val="Times New Roman"/>
      <family val="1"/>
    </font>
    <font>
      <sz val="11"/>
      <name val="Times New Roman"/>
      <family val="1"/>
    </font>
    <font>
      <sz val="7"/>
      <name val="Wingdings"/>
      <family val="0"/>
    </font>
    <font>
      <sz val="7"/>
      <name val="Times New Roman"/>
      <family val="1"/>
    </font>
    <font>
      <sz val="7"/>
      <name val="Courier New"/>
      <family val="3"/>
    </font>
    <font>
      <sz val="7"/>
      <color indexed="12"/>
      <name val="Times New Roman"/>
      <family val="1"/>
    </font>
    <font>
      <sz val="7"/>
      <color indexed="10"/>
      <name val="Times New Roman"/>
      <family val="1"/>
    </font>
    <font>
      <b/>
      <sz val="7"/>
      <name val="Times New Roman"/>
      <family val="1"/>
    </font>
    <font>
      <sz val="11"/>
      <color indexed="9"/>
      <name val="MS Sans Serif"/>
      <family val="2"/>
    </font>
    <font>
      <sz val="11"/>
      <color indexed="26"/>
      <name val="MS Sans Serif"/>
      <family val="2"/>
    </font>
    <font>
      <b/>
      <sz val="10"/>
      <color indexed="48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26"/>
      <name val="Times New Roman"/>
      <family val="1"/>
    </font>
    <font>
      <b/>
      <u val="double"/>
      <sz val="10"/>
      <name val="Times New Roman"/>
      <family val="1"/>
    </font>
    <font>
      <sz val="10"/>
      <color indexed="8"/>
      <name val="MS Sans Serif"/>
      <family val="2"/>
    </font>
    <font>
      <sz val="11"/>
      <color indexed="50"/>
      <name val="MS Sans Serif"/>
      <family val="2"/>
    </font>
    <font>
      <sz val="10"/>
      <color indexed="9"/>
      <name val="Times New Roman"/>
      <family val="1"/>
    </font>
    <font>
      <b/>
      <sz val="10"/>
      <color indexed="50"/>
      <name val="Times New Roman"/>
      <family val="1"/>
    </font>
    <font>
      <sz val="10"/>
      <color indexed="18"/>
      <name val="Times New Roman"/>
      <family val="1"/>
    </font>
    <font>
      <b/>
      <i/>
      <sz val="10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sz val="20"/>
      <name val="MS Sans Serif"/>
      <family val="0"/>
    </font>
    <font>
      <sz val="14"/>
      <name val="MS Sans Serif"/>
      <family val="0"/>
    </font>
    <font>
      <sz val="24"/>
      <name val="Times New Roman"/>
      <family val="1"/>
    </font>
    <font>
      <b/>
      <u val="single"/>
      <sz val="24"/>
      <name val="Times New Roman"/>
      <family val="1"/>
    </font>
    <font>
      <sz val="8"/>
      <name val="MS Sans Serif"/>
      <family val="0"/>
    </font>
    <font>
      <b/>
      <u val="single"/>
      <sz val="8"/>
      <name val="Arial"/>
      <family val="0"/>
    </font>
    <font>
      <b/>
      <sz val="10"/>
      <name val="Arial"/>
      <family val="2"/>
    </font>
    <font>
      <b/>
      <u val="single"/>
      <sz val="20"/>
      <name val="Arial"/>
      <family val="0"/>
    </font>
    <font>
      <b/>
      <u val="single"/>
      <sz val="18"/>
      <name val="Times New Roman"/>
      <family val="1"/>
    </font>
    <font>
      <sz val="12"/>
      <name val="Arial"/>
      <family val="0"/>
    </font>
    <font>
      <sz val="14"/>
      <name val="Arial Narrow"/>
      <family val="2"/>
    </font>
    <font>
      <b/>
      <sz val="14"/>
      <name val="Arial Narrow"/>
      <family val="2"/>
    </font>
    <font>
      <b/>
      <u val="single"/>
      <sz val="12"/>
      <name val="Arial"/>
      <family val="0"/>
    </font>
    <font>
      <b/>
      <i/>
      <sz val="12"/>
      <name val="MS Sans Serif"/>
      <family val="2"/>
    </font>
    <font>
      <b/>
      <sz val="12"/>
      <name val="MS Sans Serif"/>
      <family val="2"/>
    </font>
    <font>
      <b/>
      <i/>
      <sz val="12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0"/>
        <bgColor indexed="64"/>
      </patternFill>
    </fill>
    <fill>
      <patternFill patternType="mediumGray">
        <fgColor indexed="47"/>
        <bgColor indexed="47"/>
      </patternFill>
    </fill>
    <fill>
      <patternFill patternType="gray125">
        <fgColor indexed="8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ck"/>
      <top style="double"/>
      <bottom>
        <color indexed="63"/>
      </bottom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uble"/>
    </border>
    <border>
      <left style="medium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5" borderId="0" applyNumberFormat="0" applyBorder="0" applyAlignment="0" applyProtection="0"/>
    <xf numFmtId="0" fontId="60" fillId="8" borderId="0" applyNumberFormat="0" applyBorder="0" applyAlignment="0" applyProtection="0"/>
    <xf numFmtId="0" fontId="60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2" fillId="4" borderId="0" applyNumberFormat="0" applyBorder="0" applyAlignment="0" applyProtection="0"/>
    <xf numFmtId="0" fontId="63" fillId="16" borderId="1" applyNumberFormat="0" applyAlignment="0" applyProtection="0"/>
    <xf numFmtId="0" fontId="64" fillId="17" borderId="2" applyNumberFormat="0" applyAlignment="0" applyProtection="0"/>
    <xf numFmtId="0" fontId="65" fillId="0" borderId="3" applyNumberFormat="0" applyFill="0" applyAlignment="0" applyProtection="0"/>
    <xf numFmtId="0" fontId="66" fillId="0" borderId="0" applyNumberFormat="0" applyFill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21" borderId="0" applyNumberFormat="0" applyBorder="0" applyAlignment="0" applyProtection="0"/>
    <xf numFmtId="0" fontId="67" fillId="7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68" fillId="3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9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70" fillId="16" borderId="5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66" fillId="0" borderId="8" applyNumberFormat="0" applyFill="0" applyAlignment="0" applyProtection="0"/>
    <xf numFmtId="0" fontId="76" fillId="0" borderId="9" applyNumberFormat="0" applyFill="0" applyAlignment="0" applyProtection="0"/>
  </cellStyleXfs>
  <cellXfs count="492">
    <xf numFmtId="0" fontId="0" fillId="0" borderId="0" xfId="0" applyAlignment="1">
      <alignment/>
    </xf>
    <xf numFmtId="0" fontId="1" fillId="0" borderId="0" xfId="53">
      <alignment/>
      <protection/>
    </xf>
    <xf numFmtId="0" fontId="1" fillId="0" borderId="0" xfId="53" applyFill="1" applyBorder="1">
      <alignment/>
      <protection/>
    </xf>
    <xf numFmtId="0" fontId="6" fillId="0" borderId="0" xfId="53" applyFont="1" applyBorder="1" applyAlignment="1" applyProtection="1">
      <alignment horizontal="center"/>
      <protection/>
    </xf>
    <xf numFmtId="0" fontId="6" fillId="0" borderId="0" xfId="53" applyFont="1" applyBorder="1" applyAlignment="1">
      <alignment horizontal="center"/>
      <protection/>
    </xf>
    <xf numFmtId="2" fontId="6" fillId="0" borderId="0" xfId="53" applyNumberFormat="1" applyFont="1" applyBorder="1" applyAlignment="1" applyProtection="1">
      <alignment horizontal="center"/>
      <protection/>
    </xf>
    <xf numFmtId="0" fontId="8" fillId="0" borderId="0" xfId="53" applyFont="1">
      <alignment/>
      <protection/>
    </xf>
    <xf numFmtId="0" fontId="9" fillId="0" borderId="0" xfId="53" applyFont="1" applyAlignment="1">
      <alignment horizontal="centerContinuous"/>
      <protection/>
    </xf>
    <xf numFmtId="0" fontId="8" fillId="0" borderId="0" xfId="53" applyFont="1" applyAlignment="1">
      <alignment horizontal="centerContinuous"/>
      <protection/>
    </xf>
    <xf numFmtId="0" fontId="6" fillId="0" borderId="0" xfId="53" applyFont="1">
      <alignment/>
      <protection/>
    </xf>
    <xf numFmtId="0" fontId="6" fillId="0" borderId="0" xfId="53" applyFont="1" applyAlignment="1">
      <alignment horizontal="centerContinuous"/>
      <protection/>
    </xf>
    <xf numFmtId="0" fontId="6" fillId="0" borderId="0" xfId="53" applyFont="1" applyBorder="1">
      <alignment/>
      <protection/>
    </xf>
    <xf numFmtId="0" fontId="10" fillId="0" borderId="0" xfId="53" applyFont="1">
      <alignment/>
      <protection/>
    </xf>
    <xf numFmtId="0" fontId="10" fillId="0" borderId="0" xfId="53" applyFont="1" applyBorder="1">
      <alignment/>
      <protection/>
    </xf>
    <xf numFmtId="0" fontId="11" fillId="0" borderId="0" xfId="53" applyFont="1" applyFill="1" applyBorder="1" applyAlignment="1" applyProtection="1">
      <alignment horizontal="left"/>
      <protection/>
    </xf>
    <xf numFmtId="0" fontId="8" fillId="0" borderId="0" xfId="53" applyFont="1" applyBorder="1">
      <alignment/>
      <protection/>
    </xf>
    <xf numFmtId="0" fontId="12" fillId="0" borderId="0" xfId="53" applyFont="1">
      <alignment/>
      <protection/>
    </xf>
    <xf numFmtId="0" fontId="13" fillId="0" borderId="0" xfId="53" applyFont="1" applyBorder="1" applyAlignment="1">
      <alignment horizontal="centerContinuous"/>
      <protection/>
    </xf>
    <xf numFmtId="0" fontId="12" fillId="0" borderId="0" xfId="53" applyFont="1" applyAlignment="1">
      <alignment horizontal="centerContinuous"/>
      <protection/>
    </xf>
    <xf numFmtId="0" fontId="12" fillId="0" borderId="0" xfId="53" applyFont="1" applyBorder="1" applyAlignment="1">
      <alignment horizontal="centerContinuous"/>
      <protection/>
    </xf>
    <xf numFmtId="0" fontId="12" fillId="0" borderId="0" xfId="53" applyFont="1" applyBorder="1">
      <alignment/>
      <protection/>
    </xf>
    <xf numFmtId="0" fontId="14" fillId="0" borderId="0" xfId="53" applyFont="1">
      <alignment/>
      <protection/>
    </xf>
    <xf numFmtId="0" fontId="15" fillId="0" borderId="0" xfId="53" applyFont="1">
      <alignment/>
      <protection/>
    </xf>
    <xf numFmtId="0" fontId="16" fillId="0" borderId="0" xfId="53" applyFont="1" applyBorder="1">
      <alignment/>
      <protection/>
    </xf>
    <xf numFmtId="0" fontId="15" fillId="0" borderId="0" xfId="53" applyFont="1" applyBorder="1">
      <alignment/>
      <protection/>
    </xf>
    <xf numFmtId="0" fontId="17" fillId="0" borderId="10" xfId="53" applyFont="1" applyBorder="1">
      <alignment/>
      <protection/>
    </xf>
    <xf numFmtId="0" fontId="17" fillId="0" borderId="11" xfId="53" applyFont="1" applyBorder="1">
      <alignment/>
      <protection/>
    </xf>
    <xf numFmtId="0" fontId="15" fillId="0" borderId="11" xfId="53" applyFont="1" applyBorder="1">
      <alignment/>
      <protection/>
    </xf>
    <xf numFmtId="0" fontId="15" fillId="0" borderId="12" xfId="53" applyFont="1" applyBorder="1">
      <alignment/>
      <protection/>
    </xf>
    <xf numFmtId="0" fontId="18" fillId="0" borderId="13" xfId="53" applyFont="1" applyBorder="1" applyAlignment="1">
      <alignment horizontal="centerContinuous"/>
      <protection/>
    </xf>
    <xf numFmtId="0" fontId="1" fillId="0" borderId="0" xfId="53" applyNumberFormat="1" applyAlignment="1">
      <alignment horizontal="centerContinuous"/>
      <protection/>
    </xf>
    <xf numFmtId="0" fontId="12" fillId="0" borderId="0" xfId="53" applyNumberFormat="1" applyFont="1" applyAlignment="1">
      <alignment horizontal="centerContinuous"/>
      <protection/>
    </xf>
    <xf numFmtId="0" fontId="18" fillId="0" borderId="0" xfId="53" applyFont="1" applyBorder="1" applyAlignment="1">
      <alignment horizontal="centerContinuous"/>
      <protection/>
    </xf>
    <xf numFmtId="0" fontId="12" fillId="0" borderId="14" xfId="53" applyFont="1" applyBorder="1" applyAlignment="1">
      <alignment horizontal="centerContinuous"/>
      <protection/>
    </xf>
    <xf numFmtId="0" fontId="12" fillId="0" borderId="13" xfId="53" applyFont="1" applyBorder="1">
      <alignment/>
      <protection/>
    </xf>
    <xf numFmtId="0" fontId="19" fillId="0" borderId="0" xfId="53" applyNumberFormat="1" applyFont="1" applyBorder="1" applyAlignment="1">
      <alignment horizontal="right"/>
      <protection/>
    </xf>
    <xf numFmtId="0" fontId="18" fillId="0" borderId="0" xfId="53" applyFont="1" applyBorder="1">
      <alignment/>
      <protection/>
    </xf>
    <xf numFmtId="0" fontId="12" fillId="0" borderId="14" xfId="53" applyFont="1" applyBorder="1">
      <alignment/>
      <protection/>
    </xf>
    <xf numFmtId="0" fontId="19" fillId="0" borderId="0" xfId="53" applyNumberFormat="1" applyFont="1" applyBorder="1" applyAlignment="1">
      <alignment horizontal="centerContinuous"/>
      <protection/>
    </xf>
    <xf numFmtId="0" fontId="19" fillId="0" borderId="0" xfId="53" applyNumberFormat="1" applyFont="1" applyBorder="1" applyAlignment="1">
      <alignment horizontal="right"/>
      <protection/>
    </xf>
    <xf numFmtId="0" fontId="19" fillId="0" borderId="0" xfId="53" applyNumberFormat="1" applyFont="1" applyBorder="1" applyAlignment="1">
      <alignment/>
      <protection/>
    </xf>
    <xf numFmtId="7" fontId="19" fillId="0" borderId="0" xfId="53" applyNumberFormat="1" applyFont="1" applyBorder="1" applyAlignment="1">
      <alignment horizontal="right"/>
      <protection/>
    </xf>
    <xf numFmtId="0" fontId="6" fillId="0" borderId="13" xfId="53" applyFont="1" applyBorder="1">
      <alignment/>
      <protection/>
    </xf>
    <xf numFmtId="0" fontId="3" fillId="0" borderId="0" xfId="53" applyNumberFormat="1" applyFont="1" applyBorder="1" applyAlignment="1">
      <alignment horizontal="right"/>
      <protection/>
    </xf>
    <xf numFmtId="0" fontId="3" fillId="0" borderId="0" xfId="53" applyNumberFormat="1" applyFont="1" applyBorder="1" applyAlignment="1">
      <alignment/>
      <protection/>
    </xf>
    <xf numFmtId="0" fontId="20" fillId="0" borderId="0" xfId="53" applyFont="1" applyBorder="1">
      <alignment/>
      <protection/>
    </xf>
    <xf numFmtId="7" fontId="3" fillId="0" borderId="0" xfId="53" applyNumberFormat="1" applyFont="1" applyBorder="1" applyAlignment="1">
      <alignment horizontal="right"/>
      <protection/>
    </xf>
    <xf numFmtId="0" fontId="6" fillId="0" borderId="14" xfId="53" applyFont="1" applyBorder="1">
      <alignment/>
      <protection/>
    </xf>
    <xf numFmtId="0" fontId="6" fillId="0" borderId="0" xfId="53" applyFont="1" applyBorder="1" applyAlignment="1">
      <alignment horizontal="right"/>
      <protection/>
    </xf>
    <xf numFmtId="0" fontId="19" fillId="0" borderId="0" xfId="53" applyFont="1" applyBorder="1">
      <alignment/>
      <protection/>
    </xf>
    <xf numFmtId="0" fontId="12" fillId="0" borderId="0" xfId="53" applyFont="1" applyBorder="1" applyAlignment="1">
      <alignment horizontal="right"/>
      <protection/>
    </xf>
    <xf numFmtId="0" fontId="19" fillId="0" borderId="15" xfId="53" applyFont="1" applyBorder="1" applyAlignment="1">
      <alignment horizontal="center"/>
      <protection/>
    </xf>
    <xf numFmtId="7" fontId="19" fillId="0" borderId="16" xfId="53" applyNumberFormat="1" applyFont="1" applyBorder="1" applyAlignment="1">
      <alignment horizontal="center"/>
      <protection/>
    </xf>
    <xf numFmtId="7" fontId="19" fillId="0" borderId="0" xfId="53" applyNumberFormat="1" applyFont="1" applyBorder="1" applyAlignment="1">
      <alignment horizontal="center"/>
      <protection/>
    </xf>
    <xf numFmtId="0" fontId="15" fillId="0" borderId="17" xfId="53" applyFont="1" applyBorder="1">
      <alignment/>
      <protection/>
    </xf>
    <xf numFmtId="0" fontId="15" fillId="0" borderId="18" xfId="53" applyNumberFormat="1" applyFont="1" applyBorder="1">
      <alignment/>
      <protection/>
    </xf>
    <xf numFmtId="0" fontId="15" fillId="0" borderId="18" xfId="53" applyFont="1" applyBorder="1">
      <alignment/>
      <protection/>
    </xf>
    <xf numFmtId="0" fontId="15" fillId="0" borderId="19" xfId="53" applyFont="1" applyBorder="1">
      <alignment/>
      <protection/>
    </xf>
    <xf numFmtId="0" fontId="15" fillId="0" borderId="0" xfId="53" applyFont="1" applyFill="1" applyBorder="1">
      <alignment/>
      <protection/>
    </xf>
    <xf numFmtId="4" fontId="15" fillId="0" borderId="0" xfId="53" applyNumberFormat="1" applyFont="1" applyFill="1" applyBorder="1">
      <alignment/>
      <protection/>
    </xf>
    <xf numFmtId="7" fontId="15" fillId="0" borderId="0" xfId="53" applyNumberFormat="1" applyFont="1" applyBorder="1">
      <alignment/>
      <protection/>
    </xf>
    <xf numFmtId="172" fontId="15" fillId="0" borderId="0" xfId="53" applyNumberFormat="1" applyFont="1" applyBorder="1" applyAlignment="1">
      <alignment horizontal="center"/>
      <protection/>
    </xf>
    <xf numFmtId="0" fontId="6" fillId="0" borderId="0" xfId="53" applyFont="1" applyFill="1" applyBorder="1">
      <alignment/>
      <protection/>
    </xf>
    <xf numFmtId="4" fontId="6" fillId="0" borderId="0" xfId="53" applyNumberFormat="1" applyFont="1" applyFill="1" applyBorder="1">
      <alignment/>
      <protection/>
    </xf>
    <xf numFmtId="4" fontId="6" fillId="0" borderId="0" xfId="53" applyNumberFormat="1" applyFont="1" applyBorder="1">
      <alignment/>
      <protection/>
    </xf>
    <xf numFmtId="4" fontId="3" fillId="0" borderId="0" xfId="53" applyNumberFormat="1" applyFont="1" applyBorder="1" applyAlignment="1">
      <alignment horizontal="center"/>
      <protection/>
    </xf>
    <xf numFmtId="0" fontId="9" fillId="0" borderId="0" xfId="53" applyFont="1" applyAlignment="1" applyProtection="1">
      <alignment horizontal="centerContinuous"/>
      <protection locked="0"/>
    </xf>
    <xf numFmtId="0" fontId="14" fillId="0" borderId="0" xfId="53" applyFont="1" applyAlignment="1" applyProtection="1">
      <alignment horizontal="centerContinuous"/>
      <protection locked="0"/>
    </xf>
    <xf numFmtId="0" fontId="4" fillId="0" borderId="0" xfId="53" applyFont="1" applyBorder="1" applyAlignment="1" applyProtection="1">
      <alignment horizontal="centerContinuous"/>
      <protection/>
    </xf>
    <xf numFmtId="0" fontId="6" fillId="0" borderId="10" xfId="53" applyFont="1" applyBorder="1">
      <alignment/>
      <protection/>
    </xf>
    <xf numFmtId="0" fontId="6" fillId="0" borderId="11" xfId="53" applyFont="1" applyBorder="1">
      <alignment/>
      <protection/>
    </xf>
    <xf numFmtId="0" fontId="6" fillId="0" borderId="12" xfId="53" applyFont="1" applyBorder="1">
      <alignment/>
      <protection/>
    </xf>
    <xf numFmtId="0" fontId="21" fillId="0" borderId="0" xfId="53" applyFont="1">
      <alignment/>
      <protection/>
    </xf>
    <xf numFmtId="0" fontId="21" fillId="0" borderId="13" xfId="53" applyFont="1" applyBorder="1">
      <alignment/>
      <protection/>
    </xf>
    <xf numFmtId="0" fontId="22" fillId="0" borderId="0" xfId="53" applyFont="1" applyBorder="1">
      <alignment/>
      <protection/>
    </xf>
    <xf numFmtId="0" fontId="21" fillId="0" borderId="0" xfId="53" applyFont="1" applyBorder="1">
      <alignment/>
      <protection/>
    </xf>
    <xf numFmtId="0" fontId="21" fillId="0" borderId="14" xfId="53" applyFont="1" applyBorder="1">
      <alignment/>
      <protection/>
    </xf>
    <xf numFmtId="0" fontId="3" fillId="0" borderId="0" xfId="53" applyFont="1" applyBorder="1">
      <alignment/>
      <protection/>
    </xf>
    <xf numFmtId="0" fontId="18" fillId="0" borderId="0" xfId="53" applyFont="1" applyFill="1" applyBorder="1" applyAlignment="1" applyProtection="1">
      <alignment horizontal="centerContinuous"/>
      <protection locked="0"/>
    </xf>
    <xf numFmtId="0" fontId="18" fillId="0" borderId="0" xfId="53" applyFont="1" applyAlignment="1">
      <alignment horizontal="centerContinuous"/>
      <protection/>
    </xf>
    <xf numFmtId="0" fontId="18" fillId="0" borderId="0" xfId="53" applyFont="1" applyBorder="1" applyAlignment="1" applyProtection="1">
      <alignment horizontal="centerContinuous"/>
      <protection/>
    </xf>
    <xf numFmtId="0" fontId="18" fillId="0" borderId="14" xfId="53" applyFont="1" applyBorder="1" applyAlignment="1">
      <alignment horizontal="centerContinuous"/>
      <protection/>
    </xf>
    <xf numFmtId="0" fontId="14" fillId="0" borderId="0" xfId="53" applyFont="1" applyBorder="1">
      <alignment/>
      <protection/>
    </xf>
    <xf numFmtId="0" fontId="3" fillId="0" borderId="0" xfId="53" applyFont="1" applyBorder="1" applyProtection="1">
      <alignment/>
      <protection/>
    </xf>
    <xf numFmtId="0" fontId="6" fillId="0" borderId="0" xfId="53" applyFont="1" applyBorder="1" applyProtection="1">
      <alignment/>
      <protection/>
    </xf>
    <xf numFmtId="0" fontId="1" fillId="0" borderId="15" xfId="53" applyFont="1" applyBorder="1" applyAlignment="1" applyProtection="1">
      <alignment horizontal="center"/>
      <protection/>
    </xf>
    <xf numFmtId="171" fontId="6" fillId="0" borderId="16" xfId="53" applyNumberFormat="1" applyFont="1" applyBorder="1" applyAlignment="1">
      <alignment horizontal="centerContinuous"/>
      <protection/>
    </xf>
    <xf numFmtId="0" fontId="1" fillId="0" borderId="0" xfId="53" applyFont="1" applyAlignment="1">
      <alignment horizontal="right"/>
      <protection/>
    </xf>
    <xf numFmtId="0" fontId="1" fillId="0" borderId="0" xfId="53" applyFont="1" applyBorder="1" applyAlignment="1">
      <alignment horizontal="right"/>
      <protection/>
    </xf>
    <xf numFmtId="0" fontId="1" fillId="0" borderId="0" xfId="53" applyFont="1" applyBorder="1" applyAlignment="1" applyProtection="1">
      <alignment horizontal="left"/>
      <protection locked="0"/>
    </xf>
    <xf numFmtId="0" fontId="1" fillId="0" borderId="0" xfId="53" applyFont="1" applyAlignment="1" applyProtection="1">
      <alignment/>
      <protection/>
    </xf>
    <xf numFmtId="0" fontId="6" fillId="0" borderId="0" xfId="53" applyFont="1" applyBorder="1" applyAlignment="1">
      <alignment horizontal="left"/>
      <protection/>
    </xf>
    <xf numFmtId="0" fontId="6" fillId="0" borderId="0" xfId="53" applyFont="1" applyAlignment="1">
      <alignment horizontal="center" vertical="center"/>
      <protection/>
    </xf>
    <xf numFmtId="0" fontId="6" fillId="0" borderId="13" xfId="53" applyFont="1" applyBorder="1" applyAlignment="1">
      <alignment horizontal="center" vertical="center"/>
      <protection/>
    </xf>
    <xf numFmtId="0" fontId="23" fillId="0" borderId="20" xfId="53" applyFont="1" applyBorder="1" applyAlignment="1" applyProtection="1">
      <alignment horizontal="center" vertical="center"/>
      <protection/>
    </xf>
    <xf numFmtId="0" fontId="23" fillId="0" borderId="20" xfId="53" applyFont="1" applyBorder="1" applyAlignment="1" applyProtection="1">
      <alignment horizontal="center" vertical="center" wrapText="1"/>
      <protection/>
    </xf>
    <xf numFmtId="0" fontId="24" fillId="16" borderId="20" xfId="53" applyFont="1" applyFill="1" applyBorder="1" applyAlignment="1" applyProtection="1">
      <alignment horizontal="center" vertical="center"/>
      <protection/>
    </xf>
    <xf numFmtId="0" fontId="26" fillId="24" borderId="20" xfId="53" applyFont="1" applyFill="1" applyBorder="1" applyAlignment="1">
      <alignment horizontal="center" vertical="center" wrapText="1"/>
      <protection/>
    </xf>
    <xf numFmtId="0" fontId="27" fillId="25" borderId="20" xfId="53" applyFont="1" applyFill="1" applyBorder="1" applyAlignment="1">
      <alignment horizontal="center" vertical="center" wrapText="1"/>
      <protection/>
    </xf>
    <xf numFmtId="0" fontId="28" fillId="16" borderId="15" xfId="53" applyFont="1" applyFill="1" applyBorder="1" applyAlignment="1" applyProtection="1">
      <alignment horizontal="centerContinuous" vertical="center" wrapText="1"/>
      <protection/>
    </xf>
    <xf numFmtId="0" fontId="7" fillId="16" borderId="21" xfId="53" applyFont="1" applyFill="1" applyBorder="1" applyAlignment="1">
      <alignment horizontal="centerContinuous"/>
      <protection/>
    </xf>
    <xf numFmtId="0" fontId="28" fillId="16" borderId="16" xfId="53" applyFont="1" applyFill="1" applyBorder="1" applyAlignment="1">
      <alignment horizontal="centerContinuous" vertical="center"/>
      <protection/>
    </xf>
    <xf numFmtId="0" fontId="26" fillId="6" borderId="15" xfId="53" applyFont="1" applyFill="1" applyBorder="1" applyAlignment="1" applyProtection="1">
      <alignment horizontal="centerContinuous" vertical="center" wrapText="1"/>
      <protection/>
    </xf>
    <xf numFmtId="0" fontId="26" fillId="6" borderId="21" xfId="53" applyFont="1" applyFill="1" applyBorder="1" applyAlignment="1">
      <alignment horizontal="centerContinuous" vertical="center"/>
      <protection/>
    </xf>
    <xf numFmtId="0" fontId="26" fillId="6" borderId="16" xfId="53" applyFont="1" applyFill="1" applyBorder="1" applyAlignment="1">
      <alignment horizontal="centerContinuous" vertical="center"/>
      <protection/>
    </xf>
    <xf numFmtId="0" fontId="29" fillId="4" borderId="20" xfId="53" applyFont="1" applyFill="1" applyBorder="1" applyAlignment="1">
      <alignment horizontal="center" vertical="center" wrapText="1"/>
      <protection/>
    </xf>
    <xf numFmtId="0" fontId="30" fillId="21" borderId="20" xfId="53" applyFont="1" applyFill="1" applyBorder="1" applyAlignment="1">
      <alignment horizontal="center" vertical="center" wrapText="1"/>
      <protection/>
    </xf>
    <xf numFmtId="0" fontId="23" fillId="0" borderId="20" xfId="53" applyFont="1" applyBorder="1" applyAlignment="1">
      <alignment horizontal="center" vertical="center" wrapText="1"/>
      <protection/>
    </xf>
    <xf numFmtId="0" fontId="6" fillId="0" borderId="14" xfId="53" applyFont="1" applyBorder="1" applyAlignment="1">
      <alignment horizontal="center" vertical="center"/>
      <protection/>
    </xf>
    <xf numFmtId="0" fontId="6" fillId="0" borderId="22" xfId="53" applyFont="1" applyBorder="1" applyProtection="1">
      <alignment/>
      <protection locked="0"/>
    </xf>
    <xf numFmtId="0" fontId="6" fillId="0" borderId="22" xfId="53" applyFont="1" applyBorder="1" applyAlignment="1" applyProtection="1">
      <alignment horizontal="center"/>
      <protection locked="0"/>
    </xf>
    <xf numFmtId="0" fontId="31" fillId="16" borderId="22" xfId="53" applyFont="1" applyFill="1" applyBorder="1" applyProtection="1">
      <alignment/>
      <protection locked="0"/>
    </xf>
    <xf numFmtId="0" fontId="6" fillId="0" borderId="22" xfId="53" applyFont="1" applyBorder="1" applyAlignment="1">
      <alignment horizontal="center"/>
      <protection/>
    </xf>
    <xf numFmtId="0" fontId="32" fillId="24" borderId="22" xfId="53" applyFont="1" applyFill="1" applyBorder="1" applyProtection="1">
      <alignment/>
      <protection locked="0"/>
    </xf>
    <xf numFmtId="0" fontId="33" fillId="25" borderId="22" xfId="53" applyFont="1" applyFill="1" applyBorder="1" applyProtection="1">
      <alignment/>
      <protection locked="0"/>
    </xf>
    <xf numFmtId="0" fontId="34" fillId="16" borderId="22" xfId="53" applyFont="1" applyFill="1" applyBorder="1" applyAlignment="1" applyProtection="1">
      <alignment horizontal="center"/>
      <protection locked="0"/>
    </xf>
    <xf numFmtId="0" fontId="34" fillId="16" borderId="22" xfId="53" applyFont="1" applyFill="1" applyBorder="1" applyProtection="1">
      <alignment/>
      <protection locked="0"/>
    </xf>
    <xf numFmtId="0" fontId="32" fillId="6" borderId="22" xfId="53" applyFont="1" applyFill="1" applyBorder="1" applyProtection="1">
      <alignment/>
      <protection locked="0"/>
    </xf>
    <xf numFmtId="0" fontId="35" fillId="4" borderId="22" xfId="53" applyFont="1" applyFill="1" applyBorder="1" applyProtection="1">
      <alignment/>
      <protection locked="0"/>
    </xf>
    <xf numFmtId="0" fontId="36" fillId="21" borderId="22" xfId="53" applyFont="1" applyFill="1" applyBorder="1" applyProtection="1">
      <alignment/>
      <protection locked="0"/>
    </xf>
    <xf numFmtId="0" fontId="37" fillId="0" borderId="22" xfId="53" applyFont="1" applyBorder="1" applyAlignment="1">
      <alignment horizontal="center"/>
      <protection/>
    </xf>
    <xf numFmtId="0" fontId="6" fillId="0" borderId="23" xfId="53" applyFont="1" applyBorder="1" applyProtection="1">
      <alignment/>
      <protection locked="0"/>
    </xf>
    <xf numFmtId="0" fontId="6" fillId="0" borderId="24" xfId="53" applyFont="1" applyBorder="1" applyAlignment="1" applyProtection="1">
      <alignment horizontal="center"/>
      <protection locked="0"/>
    </xf>
    <xf numFmtId="0" fontId="31" fillId="16" borderId="23" xfId="53" applyFont="1" applyFill="1" applyBorder="1" applyProtection="1">
      <alignment/>
      <protection locked="0"/>
    </xf>
    <xf numFmtId="0" fontId="6" fillId="0" borderId="23" xfId="53" applyFont="1" applyBorder="1" applyAlignment="1" applyProtection="1">
      <alignment horizontal="center"/>
      <protection locked="0"/>
    </xf>
    <xf numFmtId="0" fontId="6" fillId="0" borderId="23" xfId="53" applyFont="1" applyBorder="1" applyAlignment="1">
      <alignment horizontal="center"/>
      <protection/>
    </xf>
    <xf numFmtId="0" fontId="32" fillId="24" borderId="23" xfId="53" applyFont="1" applyFill="1" applyBorder="1" applyProtection="1">
      <alignment/>
      <protection locked="0"/>
    </xf>
    <xf numFmtId="0" fontId="33" fillId="25" borderId="23" xfId="53" applyFont="1" applyFill="1" applyBorder="1" applyProtection="1">
      <alignment/>
      <protection locked="0"/>
    </xf>
    <xf numFmtId="0" fontId="34" fillId="16" borderId="23" xfId="53" applyFont="1" applyFill="1" applyBorder="1" applyAlignment="1" applyProtection="1">
      <alignment horizontal="center"/>
      <protection locked="0"/>
    </xf>
    <xf numFmtId="0" fontId="34" fillId="16" borderId="23" xfId="53" applyFont="1" applyFill="1" applyBorder="1" applyProtection="1">
      <alignment/>
      <protection locked="0"/>
    </xf>
    <xf numFmtId="0" fontId="32" fillId="6" borderId="23" xfId="53" applyFont="1" applyFill="1" applyBorder="1" applyProtection="1">
      <alignment/>
      <protection locked="0"/>
    </xf>
    <xf numFmtId="0" fontId="35" fillId="4" borderId="23" xfId="53" applyFont="1" applyFill="1" applyBorder="1" applyProtection="1">
      <alignment/>
      <protection locked="0"/>
    </xf>
    <xf numFmtId="0" fontId="36" fillId="21" borderId="23" xfId="53" applyFont="1" applyFill="1" applyBorder="1" applyProtection="1">
      <alignment/>
      <protection locked="0"/>
    </xf>
    <xf numFmtId="0" fontId="37" fillId="0" borderId="23" xfId="53" applyFont="1" applyBorder="1" applyAlignment="1">
      <alignment horizontal="center"/>
      <protection/>
    </xf>
    <xf numFmtId="2" fontId="6" fillId="0" borderId="24" xfId="53" applyNumberFormat="1" applyFont="1" applyBorder="1" applyAlignment="1" applyProtection="1">
      <alignment horizontal="center"/>
      <protection locked="0"/>
    </xf>
    <xf numFmtId="172" fontId="31" fillId="16" borderId="23" xfId="53" applyNumberFormat="1" applyFont="1" applyFill="1" applyBorder="1" applyAlignment="1" applyProtection="1">
      <alignment horizontal="center"/>
      <protection locked="0"/>
    </xf>
    <xf numFmtId="22" fontId="6" fillId="0" borderId="23" xfId="53" applyNumberFormat="1" applyFont="1" applyBorder="1" applyAlignment="1" applyProtection="1">
      <alignment horizontal="center"/>
      <protection locked="0"/>
    </xf>
    <xf numFmtId="2" fontId="6" fillId="0" borderId="23" xfId="53" applyNumberFormat="1" applyFont="1" applyBorder="1" applyAlignment="1" applyProtection="1">
      <alignment horizontal="center"/>
      <protection/>
    </xf>
    <xf numFmtId="1" fontId="6" fillId="0" borderId="23" xfId="53" applyNumberFormat="1" applyFont="1" applyBorder="1" applyAlignment="1" applyProtection="1">
      <alignment horizontal="center"/>
      <protection/>
    </xf>
    <xf numFmtId="172" fontId="6" fillId="0" borderId="23" xfId="53" applyNumberFormat="1" applyFont="1" applyBorder="1" applyAlignment="1" applyProtection="1">
      <alignment horizontal="center"/>
      <protection locked="0"/>
    </xf>
    <xf numFmtId="172" fontId="6" fillId="0" borderId="23" xfId="53" applyNumberFormat="1" applyFont="1" applyBorder="1" applyAlignment="1" applyProtection="1" quotePrefix="1">
      <alignment horizontal="center"/>
      <protection locked="0"/>
    </xf>
    <xf numFmtId="2" fontId="32" fillId="24" borderId="23" xfId="53" applyNumberFormat="1" applyFont="1" applyFill="1" applyBorder="1" applyAlignment="1" applyProtection="1">
      <alignment horizontal="center"/>
      <protection locked="0"/>
    </xf>
    <xf numFmtId="2" fontId="33" fillId="25" borderId="23" xfId="53" applyNumberFormat="1" applyFont="1" applyFill="1" applyBorder="1" applyAlignment="1" applyProtection="1">
      <alignment horizontal="center"/>
      <protection locked="0"/>
    </xf>
    <xf numFmtId="172" fontId="34" fillId="16" borderId="23" xfId="53" applyNumberFormat="1" applyFont="1" applyFill="1" applyBorder="1" applyAlignment="1" applyProtection="1" quotePrefix="1">
      <alignment horizontal="center"/>
      <protection locked="0"/>
    </xf>
    <xf numFmtId="4" fontId="34" fillId="16" borderId="23" xfId="53" applyNumberFormat="1" applyFont="1" applyFill="1" applyBorder="1" applyAlignment="1" applyProtection="1">
      <alignment horizontal="center"/>
      <protection locked="0"/>
    </xf>
    <xf numFmtId="172" fontId="32" fillId="6" borderId="23" xfId="53" applyNumberFormat="1" applyFont="1" applyFill="1" applyBorder="1" applyAlignment="1" applyProtection="1" quotePrefix="1">
      <alignment horizontal="center"/>
      <protection locked="0"/>
    </xf>
    <xf numFmtId="4" fontId="32" fillId="6" borderId="23" xfId="53" applyNumberFormat="1" applyFont="1" applyFill="1" applyBorder="1" applyAlignment="1" applyProtection="1">
      <alignment horizontal="center"/>
      <protection locked="0"/>
    </xf>
    <xf numFmtId="4" fontId="35" fillId="4" borderId="23" xfId="53" applyNumberFormat="1" applyFont="1" applyFill="1" applyBorder="1" applyAlignment="1" applyProtection="1">
      <alignment horizontal="center"/>
      <protection locked="0"/>
    </xf>
    <xf numFmtId="4" fontId="36" fillId="21" borderId="23" xfId="53" applyNumberFormat="1" applyFont="1" applyFill="1" applyBorder="1" applyAlignment="1" applyProtection="1">
      <alignment horizontal="center"/>
      <protection locked="0"/>
    </xf>
    <xf numFmtId="4" fontId="6" fillId="0" borderId="23" xfId="53" applyNumberFormat="1" applyFont="1" applyBorder="1" applyAlignment="1" applyProtection="1">
      <alignment horizontal="center"/>
      <protection locked="0"/>
    </xf>
    <xf numFmtId="4" fontId="37" fillId="0" borderId="23" xfId="53" applyNumberFormat="1" applyFont="1" applyBorder="1" applyAlignment="1">
      <alignment horizontal="right"/>
      <protection/>
    </xf>
    <xf numFmtId="2" fontId="6" fillId="0" borderId="14" xfId="53" applyNumberFormat="1" applyFont="1" applyBorder="1">
      <alignment/>
      <protection/>
    </xf>
    <xf numFmtId="0" fontId="6" fillId="0" borderId="13" xfId="53" applyFont="1" applyBorder="1" applyAlignment="1">
      <alignment horizontal="center"/>
      <protection/>
    </xf>
    <xf numFmtId="0" fontId="6" fillId="0" borderId="25" xfId="53" applyFont="1" applyBorder="1" applyAlignment="1" applyProtection="1">
      <alignment horizontal="center"/>
      <protection locked="0"/>
    </xf>
    <xf numFmtId="0" fontId="6" fillId="0" borderId="26" xfId="53" applyFont="1" applyBorder="1" applyAlignment="1" applyProtection="1">
      <alignment horizontal="center"/>
      <protection/>
    </xf>
    <xf numFmtId="2" fontId="6" fillId="0" borderId="26" xfId="53" applyNumberFormat="1" applyFont="1" applyBorder="1" applyAlignment="1" applyProtection="1">
      <alignment horizontal="center"/>
      <protection/>
    </xf>
    <xf numFmtId="172" fontId="6" fillId="0" borderId="25" xfId="53" applyNumberFormat="1" applyFont="1" applyBorder="1" applyAlignment="1" applyProtection="1">
      <alignment horizontal="center"/>
      <protection/>
    </xf>
    <xf numFmtId="172" fontId="31" fillId="16" borderId="25" xfId="53" applyNumberFormat="1" applyFont="1" applyFill="1" applyBorder="1" applyAlignment="1" applyProtection="1">
      <alignment horizontal="center"/>
      <protection/>
    </xf>
    <xf numFmtId="22" fontId="6" fillId="0" borderId="25" xfId="53" applyNumberFormat="1" applyFont="1" applyBorder="1" applyAlignment="1">
      <alignment horizontal="center"/>
      <protection/>
    </xf>
    <xf numFmtId="172" fontId="32" fillId="24" borderId="25" xfId="53" applyNumberFormat="1" applyFont="1" applyFill="1" applyBorder="1" applyAlignment="1" applyProtection="1" quotePrefix="1">
      <alignment horizontal="center"/>
      <protection/>
    </xf>
    <xf numFmtId="172" fontId="33" fillId="25" borderId="25" xfId="53" applyNumberFormat="1" applyFont="1" applyFill="1" applyBorder="1" applyAlignment="1" applyProtection="1" quotePrefix="1">
      <alignment horizontal="center"/>
      <protection/>
    </xf>
    <xf numFmtId="172" fontId="34" fillId="16" borderId="25" xfId="53" applyNumberFormat="1" applyFont="1" applyFill="1" applyBorder="1" applyAlignment="1" applyProtection="1" quotePrefix="1">
      <alignment horizontal="center"/>
      <protection/>
    </xf>
    <xf numFmtId="4" fontId="34" fillId="16" borderId="25" xfId="53" applyNumberFormat="1" applyFont="1" applyFill="1" applyBorder="1" applyAlignment="1">
      <alignment horizontal="center"/>
      <protection/>
    </xf>
    <xf numFmtId="4" fontId="32" fillId="6" borderId="25" xfId="53" applyNumberFormat="1" applyFont="1" applyFill="1" applyBorder="1" applyAlignment="1">
      <alignment horizontal="center"/>
      <protection/>
    </xf>
    <xf numFmtId="4" fontId="35" fillId="4" borderId="25" xfId="53" applyNumberFormat="1" applyFont="1" applyFill="1" applyBorder="1" applyAlignment="1">
      <alignment horizontal="center"/>
      <protection/>
    </xf>
    <xf numFmtId="4" fontId="36" fillId="21" borderId="25" xfId="53" applyNumberFormat="1" applyFont="1" applyFill="1" applyBorder="1" applyAlignment="1">
      <alignment horizontal="center"/>
      <protection/>
    </xf>
    <xf numFmtId="4" fontId="6" fillId="0" borderId="25" xfId="53" applyNumberFormat="1" applyFont="1" applyBorder="1" applyAlignment="1">
      <alignment horizontal="center"/>
      <protection/>
    </xf>
    <xf numFmtId="7" fontId="37" fillId="0" borderId="27" xfId="53" applyNumberFormat="1" applyFont="1" applyBorder="1" applyAlignment="1">
      <alignment horizontal="center"/>
      <protection/>
    </xf>
    <xf numFmtId="0" fontId="39" fillId="0" borderId="28" xfId="53" applyFont="1" applyBorder="1" applyAlignment="1">
      <alignment horizontal="center"/>
      <protection/>
    </xf>
    <xf numFmtId="0" fontId="40" fillId="0" borderId="0" xfId="53" applyFont="1" applyBorder="1" applyAlignment="1" applyProtection="1">
      <alignment horizontal="left"/>
      <protection/>
    </xf>
    <xf numFmtId="172" fontId="6" fillId="0" borderId="0" xfId="53" applyNumberFormat="1" applyFont="1" applyBorder="1" applyAlignment="1" applyProtection="1">
      <alignment horizontal="center"/>
      <protection/>
    </xf>
    <xf numFmtId="172" fontId="6" fillId="0" borderId="0" xfId="53" applyNumberFormat="1" applyFont="1" applyBorder="1" applyAlignment="1" applyProtection="1" quotePrefix="1">
      <alignment horizontal="center"/>
      <protection/>
    </xf>
    <xf numFmtId="2" fontId="32" fillId="24" borderId="20" xfId="53" applyNumberFormat="1" applyFont="1" applyFill="1" applyBorder="1" applyAlignment="1">
      <alignment horizontal="center"/>
      <protection/>
    </xf>
    <xf numFmtId="2" fontId="33" fillId="25" borderId="20" xfId="53" applyNumberFormat="1" applyFont="1" applyFill="1" applyBorder="1" applyAlignment="1">
      <alignment horizontal="center"/>
      <protection/>
    </xf>
    <xf numFmtId="172" fontId="34" fillId="16" borderId="20" xfId="53" applyNumberFormat="1" applyFont="1" applyFill="1" applyBorder="1" applyAlignment="1" applyProtection="1" quotePrefix="1">
      <alignment horizontal="center"/>
      <protection/>
    </xf>
    <xf numFmtId="172" fontId="32" fillId="6" borderId="20" xfId="53" applyNumberFormat="1" applyFont="1" applyFill="1" applyBorder="1" applyAlignment="1" applyProtection="1" quotePrefix="1">
      <alignment horizontal="center"/>
      <protection/>
    </xf>
    <xf numFmtId="172" fontId="35" fillId="4" borderId="20" xfId="53" applyNumberFormat="1" applyFont="1" applyFill="1" applyBorder="1" applyAlignment="1" applyProtection="1" quotePrefix="1">
      <alignment horizontal="center"/>
      <protection/>
    </xf>
    <xf numFmtId="172" fontId="36" fillId="21" borderId="20" xfId="53" applyNumberFormat="1" applyFont="1" applyFill="1" applyBorder="1" applyAlignment="1" applyProtection="1" quotePrefix="1">
      <alignment horizontal="center"/>
      <protection/>
    </xf>
    <xf numFmtId="4" fontId="5" fillId="0" borderId="0" xfId="53" applyNumberFormat="1" applyFont="1" applyBorder="1" applyAlignment="1">
      <alignment horizontal="center"/>
      <protection/>
    </xf>
    <xf numFmtId="8" fontId="2" fillId="0" borderId="20" xfId="53" applyNumberFormat="1" applyFont="1" applyBorder="1" applyAlignment="1" applyProtection="1">
      <alignment horizontal="right"/>
      <protection locked="0"/>
    </xf>
    <xf numFmtId="2" fontId="6" fillId="0" borderId="14" xfId="53" applyNumberFormat="1" applyFont="1" applyBorder="1" applyAlignment="1">
      <alignment horizontal="center"/>
      <protection/>
    </xf>
    <xf numFmtId="0" fontId="39" fillId="0" borderId="0" xfId="53" applyFont="1">
      <alignment/>
      <protection/>
    </xf>
    <xf numFmtId="0" fontId="39" fillId="0" borderId="13" xfId="53" applyFont="1" applyBorder="1">
      <alignment/>
      <protection/>
    </xf>
    <xf numFmtId="0" fontId="39" fillId="0" borderId="0" xfId="53" applyFont="1" applyBorder="1" applyAlignment="1">
      <alignment horizontal="center"/>
      <protection/>
    </xf>
    <xf numFmtId="0" fontId="40" fillId="0" borderId="0" xfId="53" applyFont="1" applyBorder="1" applyAlignment="1" applyProtection="1">
      <alignment horizontal="left" vertical="top"/>
      <protection/>
    </xf>
    <xf numFmtId="0" fontId="39" fillId="0" borderId="0" xfId="53" applyFont="1" applyBorder="1" applyAlignment="1" applyProtection="1">
      <alignment horizontal="center"/>
      <protection/>
    </xf>
    <xf numFmtId="2" fontId="39" fillId="0" borderId="0" xfId="53" applyNumberFormat="1" applyFont="1" applyBorder="1" applyAlignment="1" applyProtection="1">
      <alignment horizontal="center"/>
      <protection/>
    </xf>
    <xf numFmtId="172" fontId="39" fillId="0" borderId="0" xfId="53" applyNumberFormat="1" applyFont="1" applyBorder="1" applyAlignment="1" applyProtection="1">
      <alignment horizontal="center"/>
      <protection/>
    </xf>
    <xf numFmtId="172" fontId="39" fillId="0" borderId="0" xfId="53" applyNumberFormat="1" applyFont="1" applyBorder="1" applyAlignment="1" applyProtection="1" quotePrefix="1">
      <alignment horizontal="center"/>
      <protection/>
    </xf>
    <xf numFmtId="2" fontId="41" fillId="0" borderId="0" xfId="53" applyNumberFormat="1" applyFont="1" applyBorder="1" applyAlignment="1">
      <alignment horizontal="center"/>
      <protection/>
    </xf>
    <xf numFmtId="172" fontId="42" fillId="0" borderId="0" xfId="53" applyNumberFormat="1" applyFont="1" applyBorder="1" applyAlignment="1" applyProtection="1" quotePrefix="1">
      <alignment horizontal="center"/>
      <protection/>
    </xf>
    <xf numFmtId="4" fontId="42" fillId="0" borderId="0" xfId="53" applyNumberFormat="1" applyFont="1" applyBorder="1" applyAlignment="1">
      <alignment horizontal="center"/>
      <protection/>
    </xf>
    <xf numFmtId="8" fontId="43" fillId="0" borderId="0" xfId="53" applyNumberFormat="1" applyFont="1" applyBorder="1" applyAlignment="1" applyProtection="1">
      <alignment horizontal="right"/>
      <protection locked="0"/>
    </xf>
    <xf numFmtId="2" fontId="39" fillId="0" borderId="14" xfId="53" applyNumberFormat="1" applyFont="1" applyBorder="1" applyAlignment="1">
      <alignment horizontal="center"/>
      <protection/>
    </xf>
    <xf numFmtId="0" fontId="6" fillId="0" borderId="17" xfId="53" applyFont="1" applyBorder="1">
      <alignment/>
      <protection/>
    </xf>
    <xf numFmtId="0" fontId="6" fillId="0" borderId="18" xfId="53" applyFont="1" applyBorder="1">
      <alignment/>
      <protection/>
    </xf>
    <xf numFmtId="0" fontId="6" fillId="0" borderId="19" xfId="53" applyFont="1" applyBorder="1">
      <alignment/>
      <protection/>
    </xf>
    <xf numFmtId="0" fontId="1" fillId="0" borderId="0" xfId="53" applyBorder="1">
      <alignment/>
      <protection/>
    </xf>
    <xf numFmtId="0" fontId="8" fillId="0" borderId="0" xfId="53" applyFont="1" applyFill="1">
      <alignment/>
      <protection/>
    </xf>
    <xf numFmtId="0" fontId="8" fillId="0" borderId="0" xfId="53" applyFont="1" applyFill="1" applyAlignment="1">
      <alignment horizontal="centerContinuous"/>
      <protection/>
    </xf>
    <xf numFmtId="0" fontId="6" fillId="0" borderId="0" xfId="53" applyFont="1" applyFill="1" applyAlignment="1">
      <alignment horizontal="centerContinuous"/>
      <protection/>
    </xf>
    <xf numFmtId="0" fontId="4" fillId="0" borderId="0" xfId="53" applyFont="1" applyFill="1" applyBorder="1" applyAlignment="1" applyProtection="1">
      <alignment horizontal="centerContinuous"/>
      <protection/>
    </xf>
    <xf numFmtId="0" fontId="10" fillId="0" borderId="0" xfId="53" applyFont="1" applyFill="1" applyAlignment="1">
      <alignment horizontal="centerContinuous"/>
      <protection/>
    </xf>
    <xf numFmtId="0" fontId="10" fillId="0" borderId="0" xfId="53" applyFont="1" applyFill="1">
      <alignment/>
      <protection/>
    </xf>
    <xf numFmtId="0" fontId="6" fillId="0" borderId="0" xfId="53" applyFont="1" applyFill="1">
      <alignment/>
      <protection/>
    </xf>
    <xf numFmtId="0" fontId="6" fillId="0" borderId="10" xfId="53" applyFont="1" applyFill="1" applyBorder="1">
      <alignment/>
      <protection/>
    </xf>
    <xf numFmtId="0" fontId="6" fillId="0" borderId="11" xfId="53" applyFont="1" applyFill="1" applyBorder="1">
      <alignment/>
      <protection/>
    </xf>
    <xf numFmtId="0" fontId="6" fillId="0" borderId="12" xfId="53" applyFont="1" applyFill="1" applyBorder="1">
      <alignment/>
      <protection/>
    </xf>
    <xf numFmtId="0" fontId="21" fillId="0" borderId="13" xfId="53" applyFont="1" applyFill="1" applyBorder="1">
      <alignment/>
      <protection/>
    </xf>
    <xf numFmtId="0" fontId="21" fillId="0" borderId="0" xfId="53" applyFont="1" applyFill="1" applyBorder="1">
      <alignment/>
      <protection/>
    </xf>
    <xf numFmtId="0" fontId="22" fillId="0" borderId="0" xfId="53" applyFont="1" applyFill="1" applyBorder="1">
      <alignment/>
      <protection/>
    </xf>
    <xf numFmtId="0" fontId="21" fillId="0" borderId="0" xfId="53" applyFont="1" applyFill="1">
      <alignment/>
      <protection/>
    </xf>
    <xf numFmtId="0" fontId="21" fillId="0" borderId="14" xfId="53" applyFont="1" applyFill="1" applyBorder="1">
      <alignment/>
      <protection/>
    </xf>
    <xf numFmtId="0" fontId="6" fillId="0" borderId="13" xfId="53" applyFont="1" applyFill="1" applyBorder="1">
      <alignment/>
      <protection/>
    </xf>
    <xf numFmtId="0" fontId="6" fillId="0" borderId="14" xfId="53" applyFont="1" applyFill="1" applyBorder="1">
      <alignment/>
      <protection/>
    </xf>
    <xf numFmtId="0" fontId="3" fillId="0" borderId="0" xfId="53" applyFont="1" applyFill="1" applyBorder="1">
      <alignment/>
      <protection/>
    </xf>
    <xf numFmtId="0" fontId="22" fillId="0" borderId="0" xfId="53" applyFont="1" applyFill="1">
      <alignment/>
      <protection/>
    </xf>
    <xf numFmtId="0" fontId="21" fillId="0" borderId="0" xfId="53" applyFont="1" applyFill="1" applyBorder="1" applyProtection="1">
      <alignment/>
      <protection/>
    </xf>
    <xf numFmtId="0" fontId="6" fillId="0" borderId="0" xfId="53" applyFont="1" applyFill="1" applyBorder="1" applyAlignment="1" applyProtection="1">
      <alignment horizontal="left"/>
      <protection/>
    </xf>
    <xf numFmtId="168" fontId="6" fillId="0" borderId="0" xfId="53" applyNumberFormat="1" applyFont="1" applyFill="1" applyBorder="1" applyProtection="1">
      <alignment/>
      <protection/>
    </xf>
    <xf numFmtId="0" fontId="6" fillId="0" borderId="0" xfId="53" applyFont="1" applyFill="1" applyBorder="1" applyProtection="1">
      <alignment/>
      <protection/>
    </xf>
    <xf numFmtId="0" fontId="18" fillId="0" borderId="13" xfId="53" applyFont="1" applyFill="1" applyBorder="1" applyAlignment="1">
      <alignment horizontal="centerContinuous"/>
      <protection/>
    </xf>
    <xf numFmtId="0" fontId="18" fillId="0" borderId="0" xfId="53" applyFont="1" applyFill="1" applyBorder="1" applyAlignment="1">
      <alignment horizontal="centerContinuous"/>
      <protection/>
    </xf>
    <xf numFmtId="0" fontId="18" fillId="0" borderId="14" xfId="53" applyFont="1" applyFill="1" applyBorder="1" applyAlignment="1">
      <alignment horizontal="centerContinuous"/>
      <protection/>
    </xf>
    <xf numFmtId="0" fontId="6" fillId="0" borderId="0" xfId="53" applyFont="1" applyFill="1" applyBorder="1" applyAlignment="1">
      <alignment horizontal="center"/>
      <protection/>
    </xf>
    <xf numFmtId="0" fontId="1" fillId="0" borderId="15" xfId="53" applyFont="1" applyFill="1" applyBorder="1" applyAlignment="1" applyProtection="1">
      <alignment horizontal="left"/>
      <protection/>
    </xf>
    <xf numFmtId="0" fontId="1" fillId="0" borderId="28" xfId="53" applyFont="1" applyFill="1" applyBorder="1" applyAlignment="1" applyProtection="1">
      <alignment horizontal="center"/>
      <protection/>
    </xf>
    <xf numFmtId="0" fontId="1" fillId="0" borderId="28" xfId="53" applyFont="1" applyFill="1" applyBorder="1">
      <alignment/>
      <protection/>
    </xf>
    <xf numFmtId="0" fontId="1" fillId="0" borderId="20" xfId="53" applyFont="1" applyFill="1" applyBorder="1" applyAlignment="1">
      <alignment horizontal="center"/>
      <protection/>
    </xf>
    <xf numFmtId="0" fontId="1" fillId="0" borderId="15" xfId="53" applyFont="1" applyFill="1" applyBorder="1" applyAlignment="1" applyProtection="1" quotePrefix="1">
      <alignment horizontal="left"/>
      <protection/>
    </xf>
    <xf numFmtId="0" fontId="1" fillId="0" borderId="21" xfId="53" applyFont="1" applyFill="1" applyBorder="1" applyAlignment="1" applyProtection="1">
      <alignment horizontal="center"/>
      <protection/>
    </xf>
    <xf numFmtId="168" fontId="1" fillId="0" borderId="20" xfId="53" applyNumberFormat="1" applyFont="1" applyFill="1" applyBorder="1" applyAlignment="1" applyProtection="1">
      <alignment horizontal="center"/>
      <protection/>
    </xf>
    <xf numFmtId="0" fontId="6" fillId="0" borderId="0" xfId="53" applyFont="1" applyAlignment="1" applyProtection="1">
      <alignment/>
      <protection/>
    </xf>
    <xf numFmtId="22" fontId="6" fillId="0" borderId="0" xfId="53" applyNumberFormat="1" applyFont="1" applyFill="1" applyBorder="1">
      <alignment/>
      <protection/>
    </xf>
    <xf numFmtId="0" fontId="6" fillId="0" borderId="0" xfId="53" applyFont="1" applyAlignment="1">
      <alignment vertical="center"/>
      <protection/>
    </xf>
    <xf numFmtId="0" fontId="6" fillId="0" borderId="13" xfId="53" applyFont="1" applyFill="1" applyBorder="1" applyAlignment="1">
      <alignment vertical="center"/>
      <protection/>
    </xf>
    <xf numFmtId="0" fontId="23" fillId="0" borderId="20" xfId="53" applyFont="1" applyFill="1" applyBorder="1" applyAlignment="1" applyProtection="1">
      <alignment horizontal="center" vertical="center" wrapText="1"/>
      <protection/>
    </xf>
    <xf numFmtId="0" fontId="23" fillId="0" borderId="20" xfId="53" applyFont="1" applyFill="1" applyBorder="1" applyAlignment="1" applyProtection="1">
      <alignment horizontal="center" vertical="center"/>
      <protection/>
    </xf>
    <xf numFmtId="0" fontId="23" fillId="0" borderId="20" xfId="53" applyFont="1" applyFill="1" applyBorder="1" applyAlignment="1" applyProtection="1" quotePrefix="1">
      <alignment horizontal="center" vertical="center" wrapText="1"/>
      <protection/>
    </xf>
    <xf numFmtId="0" fontId="23" fillId="0" borderId="20" xfId="53" applyFont="1" applyFill="1" applyBorder="1" applyAlignment="1">
      <alignment horizontal="center" vertical="center" wrapText="1"/>
      <protection/>
    </xf>
    <xf numFmtId="0" fontId="24" fillId="16" borderId="20" xfId="53" applyFont="1" applyFill="1" applyBorder="1" applyAlignment="1" applyProtection="1">
      <alignment horizontal="center" vertical="center"/>
      <protection/>
    </xf>
    <xf numFmtId="0" fontId="30" fillId="21" borderId="20" xfId="53" applyFont="1" applyFill="1" applyBorder="1" applyAlignment="1" applyProtection="1">
      <alignment horizontal="center" vertical="center"/>
      <protection/>
    </xf>
    <xf numFmtId="0" fontId="26" fillId="6" borderId="20" xfId="53" applyFont="1" applyFill="1" applyBorder="1" applyAlignment="1">
      <alignment horizontal="center" vertical="center" wrapText="1"/>
      <protection/>
    </xf>
    <xf numFmtId="0" fontId="44" fillId="26" borderId="20" xfId="53" applyFont="1" applyFill="1" applyBorder="1" applyAlignment="1">
      <alignment horizontal="center" vertical="center" wrapText="1"/>
      <protection/>
    </xf>
    <xf numFmtId="0" fontId="44" fillId="27" borderId="15" xfId="53" applyFont="1" applyFill="1" applyBorder="1" applyAlignment="1" applyProtection="1">
      <alignment horizontal="centerContinuous" vertical="center" wrapText="1"/>
      <protection/>
    </xf>
    <xf numFmtId="0" fontId="44" fillId="27" borderId="16" xfId="53" applyFont="1" applyFill="1" applyBorder="1" applyAlignment="1">
      <alignment horizontal="centerContinuous" vertical="center"/>
      <protection/>
    </xf>
    <xf numFmtId="0" fontId="45" fillId="28" borderId="15" xfId="53" applyFont="1" applyFill="1" applyBorder="1" applyAlignment="1" applyProtection="1">
      <alignment horizontal="centerContinuous" vertical="center" wrapText="1"/>
      <protection/>
    </xf>
    <xf numFmtId="0" fontId="45" fillId="28" borderId="16" xfId="53" applyFont="1" applyFill="1" applyBorder="1" applyAlignment="1">
      <alignment horizontal="centerContinuous" vertical="center"/>
      <protection/>
    </xf>
    <xf numFmtId="0" fontId="29" fillId="23" borderId="20" xfId="53" applyFont="1" applyFill="1" applyBorder="1" applyAlignment="1">
      <alignment horizontal="center" vertical="center" wrapText="1"/>
      <protection/>
    </xf>
    <xf numFmtId="0" fontId="44" fillId="3" borderId="20" xfId="53" applyFont="1" applyFill="1" applyBorder="1" applyAlignment="1">
      <alignment horizontal="center" vertical="center" wrapText="1"/>
      <protection/>
    </xf>
    <xf numFmtId="0" fontId="6" fillId="0" borderId="14" xfId="53" applyFont="1" applyFill="1" applyBorder="1" applyAlignment="1">
      <alignment vertical="center"/>
      <protection/>
    </xf>
    <xf numFmtId="0" fontId="6" fillId="0" borderId="29" xfId="53" applyFont="1" applyFill="1" applyBorder="1" applyAlignment="1" applyProtection="1">
      <alignment horizontal="center"/>
      <protection locked="0"/>
    </xf>
    <xf numFmtId="0" fontId="6" fillId="0" borderId="22" xfId="53" applyFont="1" applyFill="1" applyBorder="1" applyAlignment="1" applyProtection="1">
      <alignment horizontal="center"/>
      <protection locked="0"/>
    </xf>
    <xf numFmtId="0" fontId="6" fillId="0" borderId="22" xfId="53" applyFont="1" applyFill="1" applyBorder="1" applyProtection="1">
      <alignment/>
      <protection locked="0"/>
    </xf>
    <xf numFmtId="0" fontId="46" fillId="16" borderId="22" xfId="53" applyFont="1" applyFill="1" applyBorder="1" applyProtection="1">
      <alignment/>
      <protection locked="0"/>
    </xf>
    <xf numFmtId="0" fontId="6" fillId="0" borderId="22" xfId="53" applyFont="1" applyFill="1" applyBorder="1" applyAlignment="1">
      <alignment horizontal="center"/>
      <protection/>
    </xf>
    <xf numFmtId="0" fontId="47" fillId="26" borderId="22" xfId="53" applyFont="1" applyFill="1" applyBorder="1" applyProtection="1">
      <alignment/>
      <protection locked="0"/>
    </xf>
    <xf numFmtId="0" fontId="47" fillId="27" borderId="30" xfId="53" applyFont="1" applyFill="1" applyBorder="1" applyAlignment="1" applyProtection="1">
      <alignment horizontal="center"/>
      <protection locked="0"/>
    </xf>
    <xf numFmtId="0" fontId="47" fillId="27" borderId="31" xfId="53" applyFont="1" applyFill="1" applyBorder="1" applyProtection="1">
      <alignment/>
      <protection locked="0"/>
    </xf>
    <xf numFmtId="0" fontId="48" fillId="28" borderId="30" xfId="53" applyFont="1" applyFill="1" applyBorder="1" applyAlignment="1" applyProtection="1">
      <alignment horizontal="center"/>
      <protection locked="0"/>
    </xf>
    <xf numFmtId="0" fontId="48" fillId="28" borderId="31" xfId="53" applyFont="1" applyFill="1" applyBorder="1" applyProtection="1">
      <alignment/>
      <protection locked="0"/>
    </xf>
    <xf numFmtId="0" fontId="35" fillId="23" borderId="22" xfId="53" applyFont="1" applyFill="1" applyBorder="1" applyProtection="1">
      <alignment/>
      <protection locked="0"/>
    </xf>
    <xf numFmtId="0" fontId="47" fillId="3" borderId="22" xfId="53" applyFont="1" applyFill="1" applyBorder="1" applyProtection="1">
      <alignment/>
      <protection locked="0"/>
    </xf>
    <xf numFmtId="0" fontId="37" fillId="0" borderId="22" xfId="53" applyFont="1" applyFill="1" applyBorder="1" applyAlignment="1">
      <alignment horizontal="right"/>
      <protection/>
    </xf>
    <xf numFmtId="0" fontId="6" fillId="0" borderId="32" xfId="53" applyFont="1" applyFill="1" applyBorder="1" applyAlignment="1" applyProtection="1">
      <alignment horizontal="center"/>
      <protection locked="0"/>
    </xf>
    <xf numFmtId="0" fontId="6" fillId="0" borderId="23" xfId="53" applyFont="1" applyFill="1" applyBorder="1" applyProtection="1">
      <alignment/>
      <protection locked="0"/>
    </xf>
    <xf numFmtId="0" fontId="46" fillId="16" borderId="23" xfId="53" applyFont="1" applyFill="1" applyBorder="1" applyProtection="1">
      <alignment/>
      <protection locked="0"/>
    </xf>
    <xf numFmtId="0" fontId="6" fillId="0" borderId="23" xfId="53" applyFont="1" applyFill="1" applyBorder="1" applyAlignment="1" applyProtection="1">
      <alignment horizontal="center"/>
      <protection locked="0"/>
    </xf>
    <xf numFmtId="0" fontId="6" fillId="0" borderId="23" xfId="53" applyFont="1" applyFill="1" applyBorder="1" applyAlignment="1">
      <alignment horizontal="center"/>
      <protection/>
    </xf>
    <xf numFmtId="0" fontId="47" fillId="26" borderId="23" xfId="53" applyFont="1" applyFill="1" applyBorder="1" applyProtection="1">
      <alignment/>
      <protection locked="0"/>
    </xf>
    <xf numFmtId="0" fontId="47" fillId="27" borderId="33" xfId="53" applyFont="1" applyFill="1" applyBorder="1" applyAlignment="1" applyProtection="1">
      <alignment horizontal="center"/>
      <protection locked="0"/>
    </xf>
    <xf numFmtId="0" fontId="47" fillId="27" borderId="34" xfId="53" applyFont="1" applyFill="1" applyBorder="1" applyProtection="1">
      <alignment/>
      <protection locked="0"/>
    </xf>
    <xf numFmtId="0" fontId="48" fillId="28" borderId="33" xfId="53" applyFont="1" applyFill="1" applyBorder="1" applyAlignment="1" applyProtection="1">
      <alignment horizontal="center"/>
      <protection locked="0"/>
    </xf>
    <xf numFmtId="0" fontId="48" fillId="28" borderId="34" xfId="53" applyFont="1" applyFill="1" applyBorder="1" applyProtection="1">
      <alignment/>
      <protection locked="0"/>
    </xf>
    <xf numFmtId="0" fontId="35" fillId="23" borderId="23" xfId="53" applyFont="1" applyFill="1" applyBorder="1" applyProtection="1">
      <alignment/>
      <protection locked="0"/>
    </xf>
    <xf numFmtId="0" fontId="47" fillId="3" borderId="23" xfId="53" applyFont="1" applyFill="1" applyBorder="1" applyProtection="1">
      <alignment/>
      <protection locked="0"/>
    </xf>
    <xf numFmtId="0" fontId="37" fillId="0" borderId="34" xfId="53" applyFont="1" applyFill="1" applyBorder="1" applyAlignment="1">
      <alignment horizontal="right"/>
      <protection/>
    </xf>
    <xf numFmtId="169" fontId="6" fillId="0" borderId="24" xfId="53" applyNumberFormat="1" applyFont="1" applyBorder="1" applyAlignment="1" applyProtection="1" quotePrefix="1">
      <alignment horizontal="center"/>
      <protection locked="0"/>
    </xf>
    <xf numFmtId="2" fontId="6" fillId="0" borderId="24" xfId="53" applyNumberFormat="1" applyFont="1" applyBorder="1" applyAlignment="1" applyProtection="1" quotePrefix="1">
      <alignment horizontal="center"/>
      <protection locked="0"/>
    </xf>
    <xf numFmtId="172" fontId="46" fillId="16" borderId="23" xfId="53" applyNumberFormat="1" applyFont="1" applyFill="1" applyBorder="1" applyAlignment="1" applyProtection="1">
      <alignment horizontal="center"/>
      <protection locked="0"/>
    </xf>
    <xf numFmtId="22" fontId="6" fillId="0" borderId="23" xfId="53" applyNumberFormat="1" applyFont="1" applyFill="1" applyBorder="1" applyAlignment="1" applyProtection="1">
      <alignment horizontal="center"/>
      <protection locked="0"/>
    </xf>
    <xf numFmtId="2" fontId="6" fillId="0" borderId="23" xfId="53" applyNumberFormat="1" applyFont="1" applyFill="1" applyBorder="1" applyAlignment="1" applyProtection="1">
      <alignment horizontal="center"/>
      <protection/>
    </xf>
    <xf numFmtId="3" fontId="6" fillId="0" borderId="23" xfId="53" applyNumberFormat="1" applyFont="1" applyFill="1" applyBorder="1" applyAlignment="1" applyProtection="1">
      <alignment horizontal="center"/>
      <protection/>
    </xf>
    <xf numFmtId="172" fontId="6" fillId="0" borderId="23" xfId="53" applyNumberFormat="1" applyFont="1" applyFill="1" applyBorder="1" applyAlignment="1" applyProtection="1">
      <alignment horizontal="center"/>
      <protection locked="0"/>
    </xf>
    <xf numFmtId="172" fontId="6" fillId="0" borderId="23" xfId="53" applyNumberFormat="1" applyFont="1" applyFill="1" applyBorder="1" applyAlignment="1" applyProtection="1" quotePrefix="1">
      <alignment horizontal="center"/>
      <protection locked="0"/>
    </xf>
    <xf numFmtId="2" fontId="32" fillId="6" borderId="23" xfId="53" applyNumberFormat="1" applyFont="1" applyFill="1" applyBorder="1" applyAlignment="1" applyProtection="1">
      <alignment horizontal="center"/>
      <protection locked="0"/>
    </xf>
    <xf numFmtId="2" fontId="47" fillId="26" borderId="23" xfId="53" applyNumberFormat="1" applyFont="1" applyFill="1" applyBorder="1" applyAlignment="1" applyProtection="1">
      <alignment horizontal="center"/>
      <protection locked="0"/>
    </xf>
    <xf numFmtId="172" fontId="47" fillId="27" borderId="33" xfId="53" applyNumberFormat="1" applyFont="1" applyFill="1" applyBorder="1" applyAlignment="1" applyProtection="1" quotePrefix="1">
      <alignment horizontal="center"/>
      <protection locked="0"/>
    </xf>
    <xf numFmtId="172" fontId="47" fillId="27" borderId="35" xfId="53" applyNumberFormat="1" applyFont="1" applyFill="1" applyBorder="1" applyAlignment="1" applyProtection="1" quotePrefix="1">
      <alignment horizontal="center"/>
      <protection locked="0"/>
    </xf>
    <xf numFmtId="172" fontId="48" fillId="28" borderId="33" xfId="53" applyNumberFormat="1" applyFont="1" applyFill="1" applyBorder="1" applyAlignment="1" applyProtection="1" quotePrefix="1">
      <alignment horizontal="center"/>
      <protection locked="0"/>
    </xf>
    <xf numFmtId="172" fontId="48" fillId="28" borderId="35" xfId="53" applyNumberFormat="1" applyFont="1" applyFill="1" applyBorder="1" applyAlignment="1" applyProtection="1" quotePrefix="1">
      <alignment horizontal="center"/>
      <protection locked="0"/>
    </xf>
    <xf numFmtId="172" fontId="35" fillId="23" borderId="23" xfId="53" applyNumberFormat="1" applyFont="1" applyFill="1" applyBorder="1" applyAlignment="1" applyProtection="1" quotePrefix="1">
      <alignment horizontal="center"/>
      <protection locked="0"/>
    </xf>
    <xf numFmtId="172" fontId="47" fillId="3" borderId="24" xfId="53" applyNumberFormat="1" applyFont="1" applyFill="1" applyBorder="1" applyAlignment="1" applyProtection="1" quotePrefix="1">
      <alignment horizontal="center"/>
      <protection locked="0"/>
    </xf>
    <xf numFmtId="172" fontId="37" fillId="0" borderId="34" xfId="53" applyNumberFormat="1" applyFont="1" applyFill="1" applyBorder="1" applyAlignment="1">
      <alignment horizontal="right"/>
      <protection/>
    </xf>
    <xf numFmtId="2" fontId="6" fillId="0" borderId="14" xfId="53" applyNumberFormat="1" applyFont="1" applyFill="1" applyBorder="1">
      <alignment/>
      <protection/>
    </xf>
    <xf numFmtId="0" fontId="6" fillId="0" borderId="25" xfId="53" applyFont="1" applyFill="1" applyBorder="1">
      <alignment/>
      <protection/>
    </xf>
    <xf numFmtId="0" fontId="46" fillId="16" borderId="25" xfId="53" applyFont="1" applyFill="1" applyBorder="1">
      <alignment/>
      <protection/>
    </xf>
    <xf numFmtId="0" fontId="36" fillId="21" borderId="25" xfId="53" applyFont="1" applyFill="1" applyBorder="1">
      <alignment/>
      <protection/>
    </xf>
    <xf numFmtId="0" fontId="32" fillId="6" borderId="25" xfId="53" applyFont="1" applyFill="1" applyBorder="1">
      <alignment/>
      <protection/>
    </xf>
    <xf numFmtId="0" fontId="47" fillId="26" borderId="25" xfId="53" applyFont="1" applyFill="1" applyBorder="1">
      <alignment/>
      <protection/>
    </xf>
    <xf numFmtId="0" fontId="47" fillId="27" borderId="36" xfId="53" applyFont="1" applyFill="1" applyBorder="1">
      <alignment/>
      <protection/>
    </xf>
    <xf numFmtId="0" fontId="47" fillId="27" borderId="37" xfId="53" applyFont="1" applyFill="1" applyBorder="1">
      <alignment/>
      <protection/>
    </xf>
    <xf numFmtId="0" fontId="48" fillId="28" borderId="36" xfId="53" applyFont="1" applyFill="1" applyBorder="1">
      <alignment/>
      <protection/>
    </xf>
    <xf numFmtId="0" fontId="48" fillId="28" borderId="37" xfId="53" applyFont="1" applyFill="1" applyBorder="1">
      <alignment/>
      <protection/>
    </xf>
    <xf numFmtId="0" fontId="35" fillId="23" borderId="25" xfId="53" applyFont="1" applyFill="1" applyBorder="1">
      <alignment/>
      <protection/>
    </xf>
    <xf numFmtId="0" fontId="47" fillId="3" borderId="25" xfId="53" applyFont="1" applyFill="1" applyBorder="1">
      <alignment/>
      <protection/>
    </xf>
    <xf numFmtId="0" fontId="37" fillId="0" borderId="27" xfId="53" applyFont="1" applyFill="1" applyBorder="1" applyAlignment="1">
      <alignment horizontal="right"/>
      <protection/>
    </xf>
    <xf numFmtId="7" fontId="32" fillId="6" borderId="20" xfId="53" applyNumberFormat="1" applyFont="1" applyFill="1" applyBorder="1" applyAlignment="1">
      <alignment horizontal="center"/>
      <protection/>
    </xf>
    <xf numFmtId="7" fontId="47" fillId="26" borderId="20" xfId="53" applyNumberFormat="1" applyFont="1" applyFill="1" applyBorder="1" applyAlignment="1">
      <alignment horizontal="center"/>
      <protection/>
    </xf>
    <xf numFmtId="7" fontId="47" fillId="27" borderId="20" xfId="53" applyNumberFormat="1" applyFont="1" applyFill="1" applyBorder="1" applyAlignment="1">
      <alignment horizontal="center"/>
      <protection/>
    </xf>
    <xf numFmtId="7" fontId="47" fillId="27" borderId="38" xfId="53" applyNumberFormat="1" applyFont="1" applyFill="1" applyBorder="1" applyAlignment="1">
      <alignment horizontal="center"/>
      <protection/>
    </xf>
    <xf numFmtId="7" fontId="48" fillId="28" borderId="20" xfId="53" applyNumberFormat="1" applyFont="1" applyFill="1" applyBorder="1" applyAlignment="1">
      <alignment horizontal="center"/>
      <protection/>
    </xf>
    <xf numFmtId="7" fontId="35" fillId="23" borderId="20" xfId="53" applyNumberFormat="1" applyFont="1" applyFill="1" applyBorder="1" applyAlignment="1">
      <alignment horizontal="center"/>
      <protection/>
    </xf>
    <xf numFmtId="7" fontId="47" fillId="3" borderId="20" xfId="53" applyNumberFormat="1" applyFont="1" applyFill="1" applyBorder="1" applyAlignment="1">
      <alignment horizontal="center"/>
      <protection/>
    </xf>
    <xf numFmtId="0" fontId="6" fillId="0" borderId="39" xfId="53" applyFont="1" applyFill="1" applyBorder="1">
      <alignment/>
      <protection/>
    </xf>
    <xf numFmtId="7" fontId="2" fillId="0" borderId="20" xfId="53" applyNumberFormat="1" applyFont="1" applyFill="1" applyBorder="1" applyAlignment="1" applyProtection="1">
      <alignment horizontal="right"/>
      <protection locked="0"/>
    </xf>
    <xf numFmtId="0" fontId="39" fillId="0" borderId="13" xfId="53" applyFont="1" applyFill="1" applyBorder="1">
      <alignment/>
      <protection/>
    </xf>
    <xf numFmtId="0" fontId="39" fillId="0" borderId="0" xfId="53" applyFont="1" applyFill="1" applyBorder="1">
      <alignment/>
      <protection/>
    </xf>
    <xf numFmtId="7" fontId="39" fillId="0" borderId="0" xfId="53" applyNumberFormat="1" applyFont="1" applyFill="1" applyBorder="1" applyAlignment="1">
      <alignment horizontal="center"/>
      <protection/>
    </xf>
    <xf numFmtId="7" fontId="39" fillId="0" borderId="0" xfId="53" applyNumberFormat="1" applyFont="1" applyFill="1" applyBorder="1" applyAlignment="1" applyProtection="1">
      <alignment horizontal="right"/>
      <protection locked="0"/>
    </xf>
    <xf numFmtId="0" fontId="39" fillId="0" borderId="14" xfId="53" applyFont="1" applyFill="1" applyBorder="1">
      <alignment/>
      <protection/>
    </xf>
    <xf numFmtId="0" fontId="6" fillId="0" borderId="17" xfId="53" applyFont="1" applyFill="1" applyBorder="1">
      <alignment/>
      <protection/>
    </xf>
    <xf numFmtId="0" fontId="6" fillId="0" borderId="18" xfId="53" applyFont="1" applyFill="1" applyBorder="1">
      <alignment/>
      <protection/>
    </xf>
    <xf numFmtId="0" fontId="6" fillId="0" borderId="19" xfId="53" applyFont="1" applyFill="1" applyBorder="1">
      <alignment/>
      <protection/>
    </xf>
    <xf numFmtId="0" fontId="0" fillId="0" borderId="0" xfId="53" applyFont="1" applyFill="1" applyBorder="1">
      <alignment/>
      <protection/>
    </xf>
    <xf numFmtId="0" fontId="8" fillId="0" borderId="0" xfId="53" applyFont="1" applyAlignment="1">
      <alignment horizontal="centerContinuous" vertical="center"/>
      <protection/>
    </xf>
    <xf numFmtId="0" fontId="6" fillId="0" borderId="0" xfId="53" applyFont="1" applyAlignment="1">
      <alignment horizontal="centerContinuous" vertical="center"/>
      <protection/>
    </xf>
    <xf numFmtId="0" fontId="10" fillId="0" borderId="0" xfId="53" applyFont="1" applyAlignment="1">
      <alignment horizontal="centerContinuous"/>
      <protection/>
    </xf>
    <xf numFmtId="0" fontId="49" fillId="0" borderId="0" xfId="53" applyFont="1" applyBorder="1">
      <alignment/>
      <protection/>
    </xf>
    <xf numFmtId="0" fontId="18" fillId="0" borderId="0" xfId="53" applyFont="1" applyFill="1" applyBorder="1" applyAlignment="1" applyProtection="1" quotePrefix="1">
      <alignment horizontal="centerContinuous"/>
      <protection locked="0"/>
    </xf>
    <xf numFmtId="0" fontId="1" fillId="0" borderId="15" xfId="53" applyFont="1" applyBorder="1" applyAlignment="1" applyProtection="1">
      <alignment horizontal="left"/>
      <protection/>
    </xf>
    <xf numFmtId="0" fontId="1" fillId="0" borderId="20" xfId="53" applyFont="1" applyBorder="1" applyAlignment="1">
      <alignment horizontal="center"/>
      <protection/>
    </xf>
    <xf numFmtId="22" fontId="6" fillId="0" borderId="0" xfId="53" applyNumberFormat="1" applyFont="1" applyBorder="1">
      <alignment/>
      <protection/>
    </xf>
    <xf numFmtId="0" fontId="1" fillId="0" borderId="15" xfId="53" applyFont="1" applyBorder="1">
      <alignment/>
      <protection/>
    </xf>
    <xf numFmtId="174" fontId="50" fillId="0" borderId="38" xfId="53" applyNumberFormat="1" applyFont="1" applyBorder="1" applyAlignment="1">
      <alignment horizontal="center"/>
      <protection/>
    </xf>
    <xf numFmtId="0" fontId="1" fillId="0" borderId="25" xfId="53" applyFont="1" applyBorder="1" applyAlignment="1">
      <alignment horizontal="center"/>
      <protection/>
    </xf>
    <xf numFmtId="174" fontId="6" fillId="0" borderId="0" xfId="53" applyNumberFormat="1" applyFont="1" applyBorder="1">
      <alignment/>
      <protection/>
    </xf>
    <xf numFmtId="0" fontId="6" fillId="0" borderId="0" xfId="53" applyFont="1" applyBorder="1" applyAlignment="1" quotePrefix="1">
      <alignment horizontal="center"/>
      <protection/>
    </xf>
    <xf numFmtId="0" fontId="1" fillId="0" borderId="15" xfId="53" applyFont="1" applyBorder="1" applyAlignment="1">
      <alignment horizontal="left"/>
      <protection/>
    </xf>
    <xf numFmtId="1" fontId="1" fillId="0" borderId="25" xfId="53" applyNumberFormat="1" applyFont="1" applyBorder="1" applyAlignment="1">
      <alignment horizontal="center"/>
      <protection/>
    </xf>
    <xf numFmtId="0" fontId="23" fillId="0" borderId="0" xfId="53" applyFont="1">
      <alignment/>
      <protection/>
    </xf>
    <xf numFmtId="0" fontId="23" fillId="0" borderId="13" xfId="53" applyFont="1" applyBorder="1">
      <alignment/>
      <protection/>
    </xf>
    <xf numFmtId="0" fontId="23" fillId="0" borderId="16" xfId="53" applyFont="1" applyFill="1" applyBorder="1" applyAlignment="1" applyProtection="1">
      <alignment horizontal="center" vertical="center"/>
      <protection/>
    </xf>
    <xf numFmtId="0" fontId="23" fillId="0" borderId="21" xfId="53" applyFont="1" applyFill="1" applyBorder="1" applyAlignment="1">
      <alignment horizontal="center" vertical="center" wrapText="1"/>
      <protection/>
    </xf>
    <xf numFmtId="0" fontId="44" fillId="3" borderId="20" xfId="53" applyFont="1" applyFill="1" applyBorder="1" applyAlignment="1" applyProtection="1">
      <alignment horizontal="center" vertical="center"/>
      <protection/>
    </xf>
    <xf numFmtId="0" fontId="51" fillId="23" borderId="20" xfId="53" applyFont="1" applyFill="1" applyBorder="1" applyAlignment="1">
      <alignment horizontal="center" vertical="center" wrapText="1"/>
      <protection/>
    </xf>
    <xf numFmtId="0" fontId="44" fillId="28" borderId="15" xfId="53" applyFont="1" applyFill="1" applyBorder="1" applyAlignment="1" applyProtection="1">
      <alignment horizontal="centerContinuous" vertical="center" wrapText="1"/>
      <protection/>
    </xf>
    <xf numFmtId="0" fontId="44" fillId="28" borderId="16" xfId="53" applyFont="1" applyFill="1" applyBorder="1" applyAlignment="1">
      <alignment horizontal="centerContinuous" vertical="center"/>
      <protection/>
    </xf>
    <xf numFmtId="0" fontId="26" fillId="8" borderId="20" xfId="53" applyFont="1" applyFill="1" applyBorder="1" applyAlignment="1">
      <alignment horizontal="center" vertical="center" wrapText="1"/>
      <protection/>
    </xf>
    <xf numFmtId="0" fontId="23" fillId="0" borderId="14" xfId="53" applyFont="1" applyFill="1" applyBorder="1">
      <alignment/>
      <protection/>
    </xf>
    <xf numFmtId="168" fontId="6" fillId="0" borderId="23" xfId="53" applyNumberFormat="1" applyFont="1" applyFill="1" applyBorder="1" applyAlignment="1" applyProtection="1">
      <alignment horizontal="center"/>
      <protection locked="0"/>
    </xf>
    <xf numFmtId="0" fontId="31" fillId="16" borderId="22" xfId="53" applyFont="1" applyFill="1" applyBorder="1" applyAlignment="1" applyProtection="1">
      <alignment horizontal="center"/>
      <protection locked="0"/>
    </xf>
    <xf numFmtId="0" fontId="6" fillId="0" borderId="34" xfId="53" applyFont="1" applyFill="1" applyBorder="1" applyAlignment="1" applyProtection="1">
      <alignment horizontal="center"/>
      <protection locked="0"/>
    </xf>
    <xf numFmtId="0" fontId="52" fillId="3" borderId="22" xfId="53" applyFont="1" applyFill="1" applyBorder="1" applyAlignment="1" applyProtection="1">
      <alignment horizontal="center"/>
      <protection locked="0"/>
    </xf>
    <xf numFmtId="0" fontId="53" fillId="23" borderId="22" xfId="53" applyFont="1" applyFill="1" applyBorder="1" applyAlignment="1" applyProtection="1">
      <alignment horizontal="center"/>
      <protection locked="0"/>
    </xf>
    <xf numFmtId="172" fontId="47" fillId="28" borderId="30" xfId="53" applyNumberFormat="1" applyFont="1" applyFill="1" applyBorder="1" applyAlignment="1" applyProtection="1" quotePrefix="1">
      <alignment horizontal="center"/>
      <protection locked="0"/>
    </xf>
    <xf numFmtId="172" fontId="47" fillId="28" borderId="40" xfId="53" applyNumberFormat="1" applyFont="1" applyFill="1" applyBorder="1" applyAlignment="1" applyProtection="1" quotePrefix="1">
      <alignment horizontal="center"/>
      <protection locked="0"/>
    </xf>
    <xf numFmtId="172" fontId="32" fillId="8" borderId="22" xfId="53" applyNumberFormat="1" applyFont="1" applyFill="1" applyBorder="1" applyAlignment="1" applyProtection="1" quotePrefix="1">
      <alignment horizontal="center"/>
      <protection locked="0"/>
    </xf>
    <xf numFmtId="0" fontId="6" fillId="0" borderId="32" xfId="53" applyFont="1" applyFill="1" applyBorder="1" applyAlignment="1" applyProtection="1">
      <alignment horizontal="left"/>
      <protection locked="0"/>
    </xf>
    <xf numFmtId="0" fontId="37" fillId="0" borderId="23" xfId="53" applyFont="1" applyFill="1" applyBorder="1" applyAlignment="1">
      <alignment horizontal="center"/>
      <protection/>
    </xf>
    <xf numFmtId="0" fontId="54" fillId="0" borderId="32" xfId="53" applyFont="1" applyFill="1" applyBorder="1" applyAlignment="1" applyProtection="1">
      <alignment horizontal="center"/>
      <protection locked="0"/>
    </xf>
    <xf numFmtId="175" fontId="5" fillId="0" borderId="23" xfId="53" applyNumberFormat="1" applyFont="1" applyFill="1" applyBorder="1" applyAlignment="1" applyProtection="1">
      <alignment horizontal="center"/>
      <protection locked="0"/>
    </xf>
    <xf numFmtId="174" fontId="31" fillId="16" borderId="23" xfId="53" applyNumberFormat="1" applyFont="1" applyFill="1" applyBorder="1" applyAlignment="1" applyProtection="1">
      <alignment horizontal="center"/>
      <protection locked="0"/>
    </xf>
    <xf numFmtId="22" fontId="6" fillId="0" borderId="24" xfId="53" applyNumberFormat="1" applyFont="1" applyFill="1" applyBorder="1" applyAlignment="1" applyProtection="1">
      <alignment horizontal="center"/>
      <protection locked="0"/>
    </xf>
    <xf numFmtId="22" fontId="6" fillId="0" borderId="35" xfId="53" applyNumberFormat="1" applyFont="1" applyFill="1" applyBorder="1" applyAlignment="1" applyProtection="1">
      <alignment horizontal="center"/>
      <protection locked="0"/>
    </xf>
    <xf numFmtId="168" fontId="6" fillId="0" borderId="23" xfId="53" applyNumberFormat="1" applyFont="1" applyFill="1" applyBorder="1" applyAlignment="1" applyProtection="1" quotePrefix="1">
      <alignment horizontal="center"/>
      <protection/>
    </xf>
    <xf numFmtId="168" fontId="52" fillId="3" borderId="23" xfId="53" applyNumberFormat="1" applyFont="1" applyFill="1" applyBorder="1" applyAlignment="1" applyProtection="1">
      <alignment horizontal="center"/>
      <protection locked="0"/>
    </xf>
    <xf numFmtId="2" fontId="53" fillId="23" borderId="23" xfId="53" applyNumberFormat="1" applyFont="1" applyFill="1" applyBorder="1" applyAlignment="1" applyProtection="1">
      <alignment horizontal="center"/>
      <protection locked="0"/>
    </xf>
    <xf numFmtId="172" fontId="47" fillId="28" borderId="33" xfId="53" applyNumberFormat="1" applyFont="1" applyFill="1" applyBorder="1" applyAlignment="1" applyProtection="1" quotePrefix="1">
      <alignment horizontal="center"/>
      <protection locked="0"/>
    </xf>
    <xf numFmtId="172" fontId="47" fillId="28" borderId="35" xfId="53" applyNumberFormat="1" applyFont="1" applyFill="1" applyBorder="1" applyAlignment="1" applyProtection="1" quotePrefix="1">
      <alignment horizontal="center"/>
      <protection locked="0"/>
    </xf>
    <xf numFmtId="172" fontId="32" fillId="8" borderId="23" xfId="53" applyNumberFormat="1" applyFont="1" applyFill="1" applyBorder="1" applyAlignment="1" applyProtection="1" quotePrefix="1">
      <alignment horizontal="center"/>
      <protection locked="0"/>
    </xf>
    <xf numFmtId="172" fontId="6" fillId="0" borderId="32" xfId="53" applyNumberFormat="1" applyFont="1" applyFill="1" applyBorder="1" applyAlignment="1" applyProtection="1">
      <alignment horizontal="center"/>
      <protection locked="0"/>
    </xf>
    <xf numFmtId="172" fontId="37" fillId="0" borderId="23" xfId="53" applyNumberFormat="1" applyFont="1" applyFill="1" applyBorder="1" applyAlignment="1">
      <alignment horizontal="center"/>
      <protection/>
    </xf>
    <xf numFmtId="175" fontId="5" fillId="0" borderId="23" xfId="53" applyNumberFormat="1" applyFont="1" applyFill="1" applyBorder="1" applyAlignment="1" applyProtection="1" quotePrefix="1">
      <alignment horizontal="center"/>
      <protection locked="0"/>
    </xf>
    <xf numFmtId="172" fontId="37" fillId="0" borderId="23" xfId="53" applyNumberFormat="1" applyFont="1" applyFill="1" applyBorder="1" applyAlignment="1">
      <alignment horizontal="right"/>
      <protection/>
    </xf>
    <xf numFmtId="0" fontId="31" fillId="16" borderId="25" xfId="53" applyFont="1" applyFill="1" applyBorder="1">
      <alignment/>
      <protection/>
    </xf>
    <xf numFmtId="0" fontId="52" fillId="3" borderId="25" xfId="53" applyFont="1" applyFill="1" applyBorder="1">
      <alignment/>
      <protection/>
    </xf>
    <xf numFmtId="0" fontId="53" fillId="23" borderId="25" xfId="53" applyFont="1" applyFill="1" applyBorder="1">
      <alignment/>
      <protection/>
    </xf>
    <xf numFmtId="0" fontId="47" fillId="28" borderId="36" xfId="53" applyFont="1" applyFill="1" applyBorder="1">
      <alignment/>
      <protection/>
    </xf>
    <xf numFmtId="0" fontId="47" fillId="28" borderId="37" xfId="53" applyFont="1" applyFill="1" applyBorder="1">
      <alignment/>
      <protection/>
    </xf>
    <xf numFmtId="0" fontId="32" fillId="8" borderId="25" xfId="53" applyFont="1" applyFill="1" applyBorder="1">
      <alignment/>
      <protection/>
    </xf>
    <xf numFmtId="0" fontId="37" fillId="0" borderId="27" xfId="53" applyFont="1" applyFill="1" applyBorder="1">
      <alignment/>
      <protection/>
    </xf>
    <xf numFmtId="2" fontId="53" fillId="23" borderId="20" xfId="53" applyNumberFormat="1" applyFont="1" applyFill="1" applyBorder="1" applyAlignment="1">
      <alignment horizontal="center"/>
      <protection/>
    </xf>
    <xf numFmtId="2" fontId="47" fillId="28" borderId="20" xfId="53" applyNumberFormat="1" applyFont="1" applyFill="1" applyBorder="1" applyAlignment="1">
      <alignment horizontal="center"/>
      <protection/>
    </xf>
    <xf numFmtId="2" fontId="32" fillId="8" borderId="20" xfId="53" applyNumberFormat="1" applyFont="1" applyFill="1" applyBorder="1" applyAlignment="1">
      <alignment horizontal="center"/>
      <protection/>
    </xf>
    <xf numFmtId="7" fontId="6" fillId="0" borderId="0" xfId="53" applyNumberFormat="1" applyFont="1" applyFill="1" applyBorder="1" applyAlignment="1">
      <alignment horizontal="center"/>
      <protection/>
    </xf>
    <xf numFmtId="7" fontId="2" fillId="0" borderId="20" xfId="53" applyNumberFormat="1" applyFont="1" applyFill="1" applyBorder="1" applyAlignment="1" applyProtection="1">
      <alignment horizontal="right"/>
      <protection locked="0"/>
    </xf>
    <xf numFmtId="7" fontId="43" fillId="0" borderId="0" xfId="53" applyNumberFormat="1" applyFont="1" applyFill="1" applyBorder="1" applyAlignment="1" applyProtection="1">
      <alignment horizontal="center"/>
      <protection locked="0"/>
    </xf>
    <xf numFmtId="0" fontId="1" fillId="0" borderId="0" xfId="53" applyFont="1">
      <alignment/>
      <protection/>
    </xf>
    <xf numFmtId="0" fontId="55" fillId="0" borderId="0" xfId="53" applyFont="1" applyAlignment="1">
      <alignment horizontal="right" vertical="top"/>
      <protection/>
    </xf>
    <xf numFmtId="0" fontId="55" fillId="0" borderId="0" xfId="53" applyFont="1" applyFill="1" applyAlignment="1">
      <alignment horizontal="right" vertical="top"/>
      <protection/>
    </xf>
    <xf numFmtId="0" fontId="19" fillId="0" borderId="0" xfId="53" applyFont="1" applyBorder="1" applyAlignment="1">
      <alignment horizontal="center"/>
      <protection/>
    </xf>
    <xf numFmtId="0" fontId="56" fillId="0" borderId="0" xfId="53" applyNumberFormat="1" applyFont="1" applyBorder="1" applyAlignment="1">
      <alignment horizontal="left"/>
      <protection/>
    </xf>
    <xf numFmtId="0" fontId="6" fillId="0" borderId="32" xfId="53" applyFont="1" applyFill="1" applyBorder="1" applyProtection="1">
      <alignment/>
      <protection locked="0"/>
    </xf>
    <xf numFmtId="0" fontId="23" fillId="0" borderId="20" xfId="0" applyFont="1" applyBorder="1" applyAlignment="1">
      <alignment horizontal="center" vertical="center"/>
    </xf>
    <xf numFmtId="0" fontId="52" fillId="0" borderId="0" xfId="53" applyFont="1" applyBorder="1">
      <alignment/>
      <protection/>
    </xf>
    <xf numFmtId="0" fontId="52" fillId="0" borderId="0" xfId="53" applyFont="1" applyFill="1" applyBorder="1">
      <alignment/>
      <protection/>
    </xf>
    <xf numFmtId="169" fontId="6" fillId="0" borderId="24" xfId="53" applyNumberFormat="1" applyFont="1" applyBorder="1" applyAlignment="1" applyProtection="1">
      <alignment horizontal="center"/>
      <protection locked="0"/>
    </xf>
    <xf numFmtId="0" fontId="59" fillId="0" borderId="0" xfId="53" applyFont="1" applyBorder="1" applyAlignment="1">
      <alignment horizontal="left"/>
      <protection/>
    </xf>
    <xf numFmtId="0" fontId="6" fillId="0" borderId="24" xfId="53" applyNumberFormat="1" applyFont="1" applyBorder="1" applyAlignment="1" applyProtection="1">
      <alignment horizontal="center"/>
      <protection locked="0"/>
    </xf>
    <xf numFmtId="0" fontId="78" fillId="0" borderId="0" xfId="53" applyFont="1" applyAlignment="1">
      <alignment horizontal="centerContinuous"/>
      <protection/>
    </xf>
    <xf numFmtId="0" fontId="4" fillId="0" borderId="0" xfId="53" applyFont="1" applyFill="1" applyBorder="1" applyAlignment="1" applyProtection="1">
      <alignment horizontal="left"/>
      <protection/>
    </xf>
    <xf numFmtId="0" fontId="79" fillId="0" borderId="0" xfId="53" applyFont="1" applyAlignment="1">
      <alignment horizontal="centerContinuous"/>
      <protection/>
    </xf>
    <xf numFmtId="176" fontId="1" fillId="0" borderId="15" xfId="53" applyNumberFormat="1" applyFont="1" applyBorder="1" applyAlignment="1">
      <alignment horizontal="centerContinuous"/>
      <protection/>
    </xf>
    <xf numFmtId="0" fontId="6" fillId="0" borderId="16" xfId="53" applyFont="1" applyBorder="1" applyAlignment="1" applyProtection="1">
      <alignment horizontal="centerContinuous"/>
      <protection/>
    </xf>
    <xf numFmtId="174" fontId="1" fillId="0" borderId="38" xfId="53" applyNumberFormat="1" applyFont="1" applyBorder="1" applyAlignment="1" applyProtection="1">
      <alignment horizontal="center"/>
      <protection/>
    </xf>
    <xf numFmtId="174" fontId="1" fillId="0" borderId="38" xfId="53" applyNumberFormat="1" applyFont="1" applyBorder="1" applyAlignment="1">
      <alignment horizontal="center"/>
      <protection/>
    </xf>
    <xf numFmtId="0" fontId="1" fillId="0" borderId="0" xfId="54">
      <alignment/>
      <protection/>
    </xf>
    <xf numFmtId="0" fontId="55" fillId="0" borderId="0" xfId="54" applyFont="1" applyAlignment="1">
      <alignment horizontal="right" vertical="top"/>
      <protection/>
    </xf>
    <xf numFmtId="0" fontId="80" fillId="0" borderId="0" xfId="54" applyFont="1">
      <alignment/>
      <protection/>
    </xf>
    <xf numFmtId="0" fontId="81" fillId="0" borderId="0" xfId="54" applyFont="1" applyAlignment="1">
      <alignment horizontal="centerContinuous"/>
      <protection/>
    </xf>
    <xf numFmtId="0" fontId="4" fillId="0" borderId="0" xfId="54" applyFont="1" applyBorder="1" applyAlignment="1" applyProtection="1">
      <alignment horizontal="centerContinuous" vertical="center"/>
      <protection/>
    </xf>
    <xf numFmtId="0" fontId="82" fillId="0" borderId="0" xfId="54" applyFont="1" applyAlignment="1">
      <alignment horizontal="centerContinuous" vertical="center"/>
      <protection/>
    </xf>
    <xf numFmtId="0" fontId="82" fillId="0" borderId="0" xfId="54" applyFont="1">
      <alignment/>
      <protection/>
    </xf>
    <xf numFmtId="0" fontId="83" fillId="0" borderId="0" xfId="54" applyFont="1" applyBorder="1" applyAlignment="1">
      <alignment horizontal="centerContinuous"/>
      <protection/>
    </xf>
    <xf numFmtId="0" fontId="84" fillId="0" borderId="0" xfId="54" applyFont="1" applyBorder="1" applyAlignment="1" applyProtection="1">
      <alignment horizontal="left"/>
      <protection/>
    </xf>
    <xf numFmtId="0" fontId="85" fillId="0" borderId="0" xfId="54" applyFont="1" applyBorder="1" applyAlignment="1">
      <alignment horizontal="centerContinuous"/>
      <protection/>
    </xf>
    <xf numFmtId="0" fontId="86" fillId="0" borderId="0" xfId="54" applyFont="1" applyBorder="1" applyAlignment="1" applyProtection="1">
      <alignment horizontal="centerContinuous"/>
      <protection/>
    </xf>
    <xf numFmtId="0" fontId="1" fillId="0" borderId="0" xfId="54" applyAlignment="1">
      <alignment horizontal="centerContinuous"/>
      <protection/>
    </xf>
    <xf numFmtId="0" fontId="86" fillId="0" borderId="0" xfId="54" applyFont="1" applyAlignment="1">
      <alignment horizontal="centerContinuous"/>
      <protection/>
    </xf>
    <xf numFmtId="0" fontId="1" fillId="0" borderId="10" xfId="54" applyBorder="1">
      <alignment/>
      <protection/>
    </xf>
    <xf numFmtId="0" fontId="1" fillId="0" borderId="11" xfId="54" applyBorder="1">
      <alignment/>
      <protection/>
    </xf>
    <xf numFmtId="0" fontId="87" fillId="0" borderId="11" xfId="54" applyFont="1" applyBorder="1">
      <alignment/>
      <protection/>
    </xf>
    <xf numFmtId="0" fontId="1" fillId="0" borderId="12" xfId="54" applyBorder="1">
      <alignment/>
      <protection/>
    </xf>
    <xf numFmtId="0" fontId="18" fillId="0" borderId="13" xfId="54" applyFont="1" applyBorder="1" applyAlignment="1">
      <alignment horizontal="centerContinuous"/>
      <protection/>
    </xf>
    <xf numFmtId="0" fontId="87" fillId="0" borderId="0" xfId="54" applyFont="1" applyBorder="1" applyAlignment="1">
      <alignment horizontal="centerContinuous"/>
      <protection/>
    </xf>
    <xf numFmtId="0" fontId="1" fillId="0" borderId="0" xfId="54" applyBorder="1" applyAlignment="1">
      <alignment horizontal="centerContinuous"/>
      <protection/>
    </xf>
    <xf numFmtId="0" fontId="1" fillId="0" borderId="14" xfId="54" applyBorder="1" applyAlignment="1">
      <alignment horizontal="centerContinuous"/>
      <protection/>
    </xf>
    <xf numFmtId="0" fontId="1" fillId="0" borderId="13" xfId="54" applyBorder="1">
      <alignment/>
      <protection/>
    </xf>
    <xf numFmtId="0" fontId="1" fillId="0" borderId="41" xfId="54" applyBorder="1">
      <alignment/>
      <protection/>
    </xf>
    <xf numFmtId="0" fontId="87" fillId="0" borderId="0" xfId="54" applyFont="1" applyBorder="1" applyAlignment="1" applyProtection="1">
      <alignment horizontal="center"/>
      <protection/>
    </xf>
    <xf numFmtId="0" fontId="87" fillId="0" borderId="0" xfId="54" applyFont="1" applyBorder="1">
      <alignment/>
      <protection/>
    </xf>
    <xf numFmtId="0" fontId="1" fillId="0" borderId="0" xfId="54" applyBorder="1">
      <alignment/>
      <protection/>
    </xf>
    <xf numFmtId="0" fontId="1" fillId="0" borderId="14" xfId="54" applyBorder="1">
      <alignment/>
      <protection/>
    </xf>
    <xf numFmtId="0" fontId="88" fillId="0" borderId="0" xfId="54" applyFont="1" applyAlignment="1">
      <alignment horizontal="centerContinuous" vertical="center"/>
      <protection/>
    </xf>
    <xf numFmtId="0" fontId="88" fillId="0" borderId="13" xfId="54" applyFont="1" applyBorder="1" applyAlignment="1">
      <alignment horizontal="centerContinuous" vertical="center"/>
      <protection/>
    </xf>
    <xf numFmtId="0" fontId="88" fillId="29" borderId="42" xfId="54" applyFont="1" applyFill="1" applyBorder="1" applyAlignment="1" applyProtection="1">
      <alignment horizontal="centerContinuous" vertical="center"/>
      <protection/>
    </xf>
    <xf numFmtId="0" fontId="88" fillId="29" borderId="42" xfId="54" applyFont="1" applyFill="1" applyBorder="1" applyAlignment="1" applyProtection="1">
      <alignment horizontal="centerContinuous" vertical="center" wrapText="1"/>
      <protection/>
    </xf>
    <xf numFmtId="172" fontId="88" fillId="29" borderId="20" xfId="54" applyNumberFormat="1" applyFont="1" applyFill="1" applyBorder="1" applyAlignment="1" applyProtection="1">
      <alignment horizontal="centerContinuous" vertical="center" wrapText="1"/>
      <protection/>
    </xf>
    <xf numFmtId="17" fontId="88" fillId="29" borderId="16" xfId="54" applyNumberFormat="1" applyFont="1" applyFill="1" applyBorder="1" applyAlignment="1">
      <alignment horizontal="center" vertical="center"/>
      <protection/>
    </xf>
    <xf numFmtId="0" fontId="88" fillId="0" borderId="14" xfId="54" applyFont="1" applyBorder="1" applyAlignment="1">
      <alignment vertical="center"/>
      <protection/>
    </xf>
    <xf numFmtId="0" fontId="88" fillId="0" borderId="0" xfId="54" applyFont="1" applyAlignment="1">
      <alignment vertical="center"/>
      <protection/>
    </xf>
    <xf numFmtId="0" fontId="88" fillId="0" borderId="13" xfId="54" applyFont="1" applyBorder="1" applyAlignment="1">
      <alignment vertical="center"/>
      <protection/>
    </xf>
    <xf numFmtId="0" fontId="88" fillId="0" borderId="32" xfId="54" applyFont="1" applyBorder="1" applyAlignment="1">
      <alignment vertical="center"/>
      <protection/>
    </xf>
    <xf numFmtId="0" fontId="88" fillId="0" borderId="43" xfId="54" applyFont="1" applyBorder="1" applyAlignment="1">
      <alignment vertical="center"/>
      <protection/>
    </xf>
    <xf numFmtId="0" fontId="88" fillId="0" borderId="27" xfId="54" applyFont="1" applyBorder="1" applyAlignment="1">
      <alignment vertical="center"/>
      <protection/>
    </xf>
    <xf numFmtId="0" fontId="88" fillId="0" borderId="44" xfId="54" applyFont="1" applyBorder="1" applyAlignment="1">
      <alignment vertical="center"/>
      <protection/>
    </xf>
    <xf numFmtId="0" fontId="88" fillId="30" borderId="32" xfId="54" applyFont="1" applyFill="1" applyBorder="1" applyAlignment="1">
      <alignment horizontal="center" vertical="center"/>
      <protection/>
    </xf>
    <xf numFmtId="0" fontId="88" fillId="30" borderId="45" xfId="54" applyFont="1" applyFill="1" applyBorder="1" applyAlignment="1" applyProtection="1">
      <alignment horizontal="center" vertical="center"/>
      <protection/>
    </xf>
    <xf numFmtId="2" fontId="88" fillId="30" borderId="24" xfId="54" applyNumberFormat="1" applyFont="1" applyFill="1" applyBorder="1" applyAlignment="1" applyProtection="1">
      <alignment horizontal="center" vertical="center"/>
      <protection/>
    </xf>
    <xf numFmtId="0" fontId="88" fillId="31" borderId="32" xfId="54" applyFont="1" applyFill="1" applyBorder="1" applyAlignment="1">
      <alignment horizontal="center" vertical="center"/>
      <protection/>
    </xf>
    <xf numFmtId="0" fontId="88" fillId="31" borderId="45" xfId="54" applyFont="1" applyFill="1" applyBorder="1" applyAlignment="1" applyProtection="1">
      <alignment horizontal="center" vertical="center"/>
      <protection/>
    </xf>
    <xf numFmtId="2" fontId="88" fillId="31" borderId="24" xfId="54" applyNumberFormat="1" applyFont="1" applyFill="1" applyBorder="1" applyAlignment="1" applyProtection="1">
      <alignment horizontal="center" vertical="center"/>
      <protection/>
    </xf>
    <xf numFmtId="0" fontId="88" fillId="31" borderId="24" xfId="54" applyFont="1" applyFill="1" applyBorder="1" applyAlignment="1">
      <alignment horizontal="center" vertical="center"/>
      <protection/>
    </xf>
    <xf numFmtId="0" fontId="88" fillId="31" borderId="46" xfId="54" applyFont="1" applyFill="1" applyBorder="1" applyAlignment="1" applyProtection="1">
      <alignment horizontal="center" vertical="center"/>
      <protection/>
    </xf>
    <xf numFmtId="2" fontId="88" fillId="31" borderId="47" xfId="54" applyNumberFormat="1" applyFont="1" applyFill="1" applyBorder="1" applyAlignment="1" applyProtection="1">
      <alignment horizontal="center" vertical="center"/>
      <protection/>
    </xf>
    <xf numFmtId="0" fontId="88" fillId="0" borderId="48" xfId="54" applyFont="1" applyBorder="1" applyAlignment="1">
      <alignment horizontal="center" vertical="center"/>
      <protection/>
    </xf>
    <xf numFmtId="0" fontId="88" fillId="0" borderId="49" xfId="54" applyFont="1" applyBorder="1" applyAlignment="1" applyProtection="1">
      <alignment horizontal="left" vertical="center"/>
      <protection/>
    </xf>
    <xf numFmtId="0" fontId="88" fillId="0" borderId="49" xfId="54" applyFont="1" applyBorder="1" applyAlignment="1" applyProtection="1">
      <alignment horizontal="center" vertical="center"/>
      <protection/>
    </xf>
    <xf numFmtId="2" fontId="88" fillId="0" borderId="26" xfId="54" applyNumberFormat="1" applyFont="1" applyBorder="1" applyAlignment="1" applyProtection="1">
      <alignment horizontal="center" vertical="center"/>
      <protection/>
    </xf>
    <xf numFmtId="0" fontId="88" fillId="0" borderId="0" xfId="54" applyFont="1" applyBorder="1" applyAlignment="1">
      <alignment horizontal="center" vertical="center"/>
      <protection/>
    </xf>
    <xf numFmtId="0" fontId="88" fillId="0" borderId="0" xfId="54" applyFont="1" applyBorder="1" applyAlignment="1" applyProtection="1">
      <alignment horizontal="left" vertical="center"/>
      <protection/>
    </xf>
    <xf numFmtId="0" fontId="89" fillId="0" borderId="28" xfId="54" applyFont="1" applyBorder="1" applyAlignment="1" applyProtection="1">
      <alignment horizontal="right" vertical="center"/>
      <protection/>
    </xf>
    <xf numFmtId="172" fontId="89" fillId="0" borderId="26" xfId="54" applyNumberFormat="1" applyFont="1" applyBorder="1" applyAlignment="1" applyProtection="1">
      <alignment horizontal="center" vertical="center"/>
      <protection/>
    </xf>
    <xf numFmtId="1" fontId="88" fillId="0" borderId="20" xfId="54" applyNumberFormat="1" applyFont="1" applyFill="1" applyBorder="1" applyAlignment="1">
      <alignment horizontal="center" vertical="center"/>
      <protection/>
    </xf>
    <xf numFmtId="1" fontId="88" fillId="0" borderId="20" xfId="54" applyNumberFormat="1" applyFont="1" applyBorder="1" applyAlignment="1">
      <alignment horizontal="center" vertical="center"/>
      <protection/>
    </xf>
    <xf numFmtId="0" fontId="88" fillId="0" borderId="0" xfId="54" applyFont="1" applyBorder="1" applyAlignment="1">
      <alignment vertical="center"/>
      <protection/>
    </xf>
    <xf numFmtId="0" fontId="88" fillId="0" borderId="0" xfId="54" applyFont="1" applyBorder="1" applyAlignment="1" applyProtection="1">
      <alignment horizontal="center" vertical="center"/>
      <protection/>
    </xf>
    <xf numFmtId="0" fontId="89" fillId="0" borderId="0" xfId="54" applyFont="1" applyAlignment="1">
      <alignment horizontal="right" vertical="center"/>
      <protection/>
    </xf>
    <xf numFmtId="1" fontId="88" fillId="0" borderId="20" xfId="54" applyNumberFormat="1" applyFont="1" applyBorder="1" applyAlignment="1" applyProtection="1">
      <alignment horizontal="center" vertical="center"/>
      <protection/>
    </xf>
    <xf numFmtId="17" fontId="89" fillId="0" borderId="0" xfId="54" applyNumberFormat="1" applyFont="1" applyBorder="1" applyAlignment="1">
      <alignment horizontal="right" vertical="center"/>
      <protection/>
    </xf>
    <xf numFmtId="2" fontId="89" fillId="32" borderId="26" xfId="55" applyNumberFormat="1" applyFont="1" applyFill="1" applyBorder="1" applyAlignment="1">
      <alignment horizontal="center" vertical="center"/>
      <protection/>
    </xf>
    <xf numFmtId="2" fontId="89" fillId="33" borderId="50" xfId="55" applyNumberFormat="1" applyFont="1" applyFill="1" applyBorder="1" applyAlignment="1">
      <alignment horizontal="center" vertical="center"/>
      <protection/>
    </xf>
    <xf numFmtId="0" fontId="6" fillId="0" borderId="0" xfId="54" applyFont="1" applyBorder="1">
      <alignment/>
      <protection/>
    </xf>
    <xf numFmtId="0" fontId="3" fillId="0" borderId="0" xfId="54" applyFont="1" applyBorder="1" applyAlignment="1" applyProtection="1">
      <alignment horizontal="center"/>
      <protection/>
    </xf>
    <xf numFmtId="172" fontId="3" fillId="0" borderId="0" xfId="54" applyNumberFormat="1" applyFont="1" applyBorder="1" applyAlignment="1" applyProtection="1">
      <alignment horizontal="right"/>
      <protection/>
    </xf>
    <xf numFmtId="2" fontId="1" fillId="0" borderId="0" xfId="54" applyNumberFormat="1" applyBorder="1" applyAlignment="1">
      <alignment horizontal="center"/>
      <protection/>
    </xf>
    <xf numFmtId="2" fontId="1" fillId="0" borderId="14" xfId="54" applyNumberFormat="1" applyBorder="1" applyAlignment="1">
      <alignment horizontal="center"/>
      <protection/>
    </xf>
    <xf numFmtId="0" fontId="90" fillId="0" borderId="13" xfId="54" applyFont="1" applyBorder="1">
      <alignment/>
      <protection/>
    </xf>
    <xf numFmtId="0" fontId="1" fillId="0" borderId="15" xfId="54" applyFont="1" applyBorder="1">
      <alignment/>
      <protection/>
    </xf>
    <xf numFmtId="0" fontId="91" fillId="0" borderId="21" xfId="54" applyFont="1" applyBorder="1" applyAlignment="1">
      <alignment horizontal="center"/>
      <protection/>
    </xf>
    <xf numFmtId="2" fontId="92" fillId="0" borderId="21" xfId="54" applyNumberFormat="1" applyFont="1" applyBorder="1" applyAlignment="1">
      <alignment horizontal="center"/>
      <protection/>
    </xf>
    <xf numFmtId="0" fontId="93" fillId="0" borderId="21" xfId="54" applyFont="1" applyBorder="1">
      <alignment/>
      <protection/>
    </xf>
    <xf numFmtId="0" fontId="1" fillId="0" borderId="21" xfId="54" applyBorder="1">
      <alignment/>
      <protection/>
    </xf>
    <xf numFmtId="0" fontId="1" fillId="0" borderId="16" xfId="54" applyBorder="1">
      <alignment/>
      <protection/>
    </xf>
    <xf numFmtId="1" fontId="1" fillId="0" borderId="0" xfId="54" applyNumberFormat="1" applyBorder="1" applyAlignment="1">
      <alignment horizontal="center"/>
      <protection/>
    </xf>
    <xf numFmtId="0" fontId="90" fillId="0" borderId="17" xfId="54" applyFont="1" applyBorder="1">
      <alignment/>
      <protection/>
    </xf>
    <xf numFmtId="0" fontId="3" fillId="0" borderId="18" xfId="54" applyFont="1" applyBorder="1" applyAlignment="1" applyProtection="1">
      <alignment horizontal="left"/>
      <protection/>
    </xf>
    <xf numFmtId="0" fontId="6" fillId="0" borderId="18" xfId="54" applyFont="1" applyBorder="1">
      <alignment/>
      <protection/>
    </xf>
    <xf numFmtId="0" fontId="3" fillId="0" borderId="18" xfId="54" applyFont="1" applyBorder="1" applyAlignment="1">
      <alignment horizontal="center"/>
      <protection/>
    </xf>
    <xf numFmtId="0" fontId="1" fillId="0" borderId="18" xfId="54" applyBorder="1">
      <alignment/>
      <protection/>
    </xf>
    <xf numFmtId="0" fontId="1" fillId="0" borderId="19" xfId="54" applyBorder="1">
      <alignment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Cuyo" xfId="53"/>
    <cellStyle name="Normal_T0002CUY" xfId="54"/>
    <cellStyle name="Normal_T9904CUY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685800</xdr:colOff>
      <xdr:row>0</xdr:row>
      <xdr:rowOff>0</xdr:rowOff>
    </xdr:from>
    <xdr:to>
      <xdr:col>0</xdr:col>
      <xdr:colOff>1171575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0</xdr:rowOff>
    </xdr:from>
    <xdr:to>
      <xdr:col>0</xdr:col>
      <xdr:colOff>1095375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495300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485775</xdr:colOff>
      <xdr:row>0</xdr:row>
      <xdr:rowOff>28575</xdr:rowOff>
    </xdr:from>
    <xdr:to>
      <xdr:col>0</xdr:col>
      <xdr:colOff>962025</xdr:colOff>
      <xdr:row>2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8575"/>
          <a:ext cx="4762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485775</xdr:colOff>
      <xdr:row>0</xdr:row>
      <xdr:rowOff>28575</xdr:rowOff>
    </xdr:from>
    <xdr:to>
      <xdr:col>0</xdr:col>
      <xdr:colOff>981075</xdr:colOff>
      <xdr:row>2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8575"/>
          <a:ext cx="4953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1066800</xdr:colOff>
      <xdr:row>0</xdr:row>
      <xdr:rowOff>28575</xdr:rowOff>
    </xdr:from>
    <xdr:to>
      <xdr:col>1</xdr:col>
      <xdr:colOff>28575</xdr:colOff>
      <xdr:row>1</xdr:row>
      <xdr:rowOff>428625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28575"/>
          <a:ext cx="476250" cy="8858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0913CUY%20Anexo%20I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ransporte\Transporte\ARCHIVOS.XLS\P-DSCUYO\TBASECU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ax_server\files\transporte\Transporte\ARCHIVOS.XLS\P-DSCUYO\TBASECU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-0913"/>
      <sheetName val="LI-09 (1)"/>
      <sheetName val="T-09 (1)"/>
      <sheetName val="SA-09 (1)"/>
      <sheetName val="TASA FALL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sa de Falla"/>
    </sheetNames>
    <sheetDataSet>
      <sheetData sheetId="0">
        <row r="15">
          <cell r="HF15">
            <v>41183</v>
          </cell>
          <cell r="HG15">
            <v>41214</v>
          </cell>
          <cell r="HH15">
            <v>41244</v>
          </cell>
          <cell r="HI15">
            <v>41275</v>
          </cell>
          <cell r="HJ15">
            <v>41306</v>
          </cell>
          <cell r="HK15">
            <v>41334</v>
          </cell>
          <cell r="HL15">
            <v>41365</v>
          </cell>
          <cell r="HM15">
            <v>41395</v>
          </cell>
          <cell r="HN15">
            <v>41426</v>
          </cell>
          <cell r="HO15">
            <v>41456</v>
          </cell>
          <cell r="HP15">
            <v>41487</v>
          </cell>
          <cell r="HQ15">
            <v>41518</v>
          </cell>
          <cell r="HR15">
            <v>41548</v>
          </cell>
        </row>
        <row r="17">
          <cell r="C17">
            <v>1</v>
          </cell>
          <cell r="D17" t="str">
            <v>AGUA DEL TORO - CRUZ DE PIEDRA</v>
          </cell>
          <cell r="E17">
            <v>220</v>
          </cell>
          <cell r="F17">
            <v>177.9</v>
          </cell>
        </row>
        <row r="18">
          <cell r="C18">
            <v>2</v>
          </cell>
          <cell r="D18" t="str">
            <v>AGUA DEL TORO - LOS REYUNOS</v>
          </cell>
          <cell r="E18">
            <v>220</v>
          </cell>
          <cell r="F18">
            <v>43</v>
          </cell>
        </row>
        <row r="19">
          <cell r="C19">
            <v>3</v>
          </cell>
          <cell r="D19" t="str">
            <v>AGUA DEL TORO - NIHUIL II</v>
          </cell>
          <cell r="E19">
            <v>220</v>
          </cell>
          <cell r="F19">
            <v>53.5</v>
          </cell>
        </row>
        <row r="20">
          <cell r="C20">
            <v>4</v>
          </cell>
          <cell r="D20" t="str">
            <v>CRUZ DE PIEDRA - SAN JUAN</v>
          </cell>
          <cell r="E20">
            <v>220</v>
          </cell>
          <cell r="F20">
            <v>171.6</v>
          </cell>
          <cell r="HM20">
            <v>1</v>
          </cell>
        </row>
        <row r="21">
          <cell r="C21">
            <v>5</v>
          </cell>
          <cell r="D21" t="str">
            <v>LOS REYUNOS - GRAN MENDOZA</v>
          </cell>
          <cell r="E21">
            <v>220</v>
          </cell>
          <cell r="F21">
            <v>188.3</v>
          </cell>
        </row>
        <row r="22">
          <cell r="C22">
            <v>6</v>
          </cell>
          <cell r="D22" t="str">
            <v>CRUZ DE PIEDRA - CAÑADA HONDA</v>
          </cell>
          <cell r="E22">
            <v>132</v>
          </cell>
          <cell r="F22">
            <v>125.8</v>
          </cell>
          <cell r="HP22">
            <v>1</v>
          </cell>
        </row>
        <row r="23">
          <cell r="C23">
            <v>7</v>
          </cell>
          <cell r="D23" t="str">
            <v>ANCHORIS - CAPIZ</v>
          </cell>
          <cell r="E23">
            <v>132</v>
          </cell>
          <cell r="F23">
            <v>42</v>
          </cell>
        </row>
        <row r="24">
          <cell r="C24">
            <v>8</v>
          </cell>
          <cell r="D24" t="str">
            <v>ANCHORIS - CRUZ DE PIEDRA</v>
          </cell>
          <cell r="E24">
            <v>132</v>
          </cell>
          <cell r="F24">
            <v>33.5</v>
          </cell>
        </row>
        <row r="25">
          <cell r="C25">
            <v>9</v>
          </cell>
          <cell r="D25" t="str">
            <v>ANCHORIZ -Deriv."T" a LC 35-B.R.Tunuyan</v>
          </cell>
          <cell r="E25">
            <v>132</v>
          </cell>
          <cell r="F25">
            <v>52.9</v>
          </cell>
        </row>
        <row r="26">
          <cell r="C26">
            <v>10</v>
          </cell>
          <cell r="D26" t="str">
            <v>CAPIZ - PEDRO VARGAS</v>
          </cell>
          <cell r="E26">
            <v>132</v>
          </cell>
          <cell r="F26">
            <v>122.1</v>
          </cell>
        </row>
        <row r="27">
          <cell r="C27">
            <v>11</v>
          </cell>
          <cell r="D27" t="str">
            <v>SAN RAFAEL - PEDRO VARGAS</v>
          </cell>
          <cell r="E27">
            <v>132</v>
          </cell>
          <cell r="F27">
            <v>15.6</v>
          </cell>
        </row>
        <row r="28">
          <cell r="C28">
            <v>12</v>
          </cell>
          <cell r="D28" t="str">
            <v>GRAN MENDOZA - MONTE CASEROS 1</v>
          </cell>
          <cell r="E28">
            <v>132</v>
          </cell>
          <cell r="F28">
            <v>19.1</v>
          </cell>
        </row>
        <row r="29">
          <cell r="C29">
            <v>13</v>
          </cell>
          <cell r="D29" t="str">
            <v>GRAN MENDOZA - MONTE CASEROS 2</v>
          </cell>
          <cell r="E29">
            <v>132</v>
          </cell>
          <cell r="F29">
            <v>19.1</v>
          </cell>
        </row>
        <row r="30">
          <cell r="C30">
            <v>14</v>
          </cell>
          <cell r="D30" t="str">
            <v>CRUZ DE PIEDRA - GRAN MENDOZA 1</v>
          </cell>
          <cell r="E30">
            <v>132</v>
          </cell>
          <cell r="F30">
            <v>22</v>
          </cell>
          <cell r="HI30">
            <v>1</v>
          </cell>
        </row>
        <row r="31">
          <cell r="C31">
            <v>15</v>
          </cell>
          <cell r="D31" t="str">
            <v>CRUZ DE PIEDRA - GRAN MENDOZA 2</v>
          </cell>
          <cell r="E31">
            <v>132</v>
          </cell>
          <cell r="F31">
            <v>22</v>
          </cell>
          <cell r="HI31">
            <v>1</v>
          </cell>
        </row>
        <row r="32">
          <cell r="C32">
            <v>16</v>
          </cell>
          <cell r="D32" t="str">
            <v>CRUZ DE PIEDRA - SAN JUAN</v>
          </cell>
          <cell r="E32">
            <v>132</v>
          </cell>
          <cell r="F32">
            <v>180.18</v>
          </cell>
          <cell r="HF32" t="str">
            <v>XXXX</v>
          </cell>
          <cell r="HG32" t="str">
            <v>XXXX</v>
          </cell>
          <cell r="HH32" t="str">
            <v>XXXX</v>
          </cell>
          <cell r="HI32" t="str">
            <v>XXXX</v>
          </cell>
          <cell r="HJ32" t="str">
            <v>XXXX</v>
          </cell>
          <cell r="HK32" t="str">
            <v>XXXX</v>
          </cell>
          <cell r="HL32" t="str">
            <v>XXXX</v>
          </cell>
          <cell r="HM32" t="str">
            <v>XXXX</v>
          </cell>
          <cell r="HN32" t="str">
            <v>XXXX</v>
          </cell>
          <cell r="HO32" t="str">
            <v>XXXX</v>
          </cell>
          <cell r="HP32" t="str">
            <v>XXXX</v>
          </cell>
          <cell r="HQ32" t="str">
            <v>XXXX</v>
          </cell>
        </row>
        <row r="33">
          <cell r="C33">
            <v>17</v>
          </cell>
          <cell r="D33" t="str">
            <v>CRUZ DE PIEDRA - LUJAN DE CUYO 1</v>
          </cell>
          <cell r="E33">
            <v>132</v>
          </cell>
          <cell r="F33">
            <v>18.1</v>
          </cell>
        </row>
        <row r="34">
          <cell r="C34">
            <v>18</v>
          </cell>
          <cell r="D34" t="str">
            <v>CRUZ DE PIEDRA - LUJAN DE CUYO 2</v>
          </cell>
          <cell r="E34">
            <v>132</v>
          </cell>
          <cell r="F34">
            <v>18.1</v>
          </cell>
          <cell r="HF34">
            <v>1</v>
          </cell>
        </row>
        <row r="35">
          <cell r="C35">
            <v>19</v>
          </cell>
          <cell r="D35" t="str">
            <v>C.H. NIHUIL I - PEDRO VARGAS</v>
          </cell>
          <cell r="E35">
            <v>132</v>
          </cell>
          <cell r="F35">
            <v>46.5</v>
          </cell>
        </row>
        <row r="36">
          <cell r="C36">
            <v>20</v>
          </cell>
          <cell r="D36" t="str">
            <v>N AN JUAN - SAN JUAN</v>
          </cell>
          <cell r="E36">
            <v>220</v>
          </cell>
          <cell r="F36">
            <v>4.5</v>
          </cell>
        </row>
        <row r="37">
          <cell r="C37">
            <v>21</v>
          </cell>
          <cell r="D37" t="str">
            <v>SAN JUAN - CAÑADA HONDA</v>
          </cell>
          <cell r="E37">
            <v>132</v>
          </cell>
          <cell r="F37">
            <v>54.4</v>
          </cell>
          <cell r="HF37">
            <v>1</v>
          </cell>
          <cell r="HG37">
            <v>1</v>
          </cell>
          <cell r="HM37">
            <v>1</v>
          </cell>
          <cell r="HN37">
            <v>1</v>
          </cell>
        </row>
        <row r="42">
          <cell r="HF42">
            <v>1.04</v>
          </cell>
          <cell r="HG42">
            <v>1.12</v>
          </cell>
          <cell r="HH42">
            <v>1.04</v>
          </cell>
          <cell r="HI42">
            <v>0.88</v>
          </cell>
          <cell r="HJ42">
            <v>0.96</v>
          </cell>
          <cell r="HK42">
            <v>0.96</v>
          </cell>
          <cell r="HL42">
            <v>0.88</v>
          </cell>
          <cell r="HM42">
            <v>0.88</v>
          </cell>
          <cell r="HN42">
            <v>0.88</v>
          </cell>
          <cell r="HO42">
            <v>0.88</v>
          </cell>
          <cell r="HP42">
            <v>0.8</v>
          </cell>
          <cell r="HQ42">
            <v>0.8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sa de Falla"/>
    </sheetNames>
    <sheetDataSet>
      <sheetData sheetId="0"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S42"/>
  <sheetViews>
    <sheetView tabSelected="1" zoomScale="70" zoomScaleNormal="70" zoomScalePageLayoutView="0" workbookViewId="0" topLeftCell="A1">
      <selection activeCell="A2" sqref="A2:J11"/>
    </sheetView>
  </sheetViews>
  <sheetFormatPr defaultColWidth="11.421875" defaultRowHeight="12.75"/>
  <cols>
    <col min="1" max="1" width="18.8515625" style="9" customWidth="1"/>
    <col min="2" max="2" width="7.7109375" style="9" customWidth="1"/>
    <col min="3" max="3" width="9.8515625" style="9" customWidth="1"/>
    <col min="4" max="4" width="8.421875" style="9" customWidth="1"/>
    <col min="5" max="5" width="9.421875" style="9" customWidth="1"/>
    <col min="6" max="7" width="17.7109375" style="9" customWidth="1"/>
    <col min="8" max="8" width="8.00390625" style="9" customWidth="1"/>
    <col min="9" max="9" width="15.7109375" style="9" customWidth="1"/>
    <col min="10" max="10" width="13.28125" style="9" customWidth="1"/>
    <col min="11" max="11" width="15.7109375" style="9" customWidth="1"/>
    <col min="12" max="13" width="11.421875" style="9" customWidth="1"/>
    <col min="14" max="14" width="14.140625" style="9" customWidth="1"/>
    <col min="15" max="15" width="11.421875" style="9" customWidth="1"/>
    <col min="16" max="16" width="14.7109375" style="9" customWidth="1"/>
    <col min="17" max="17" width="11.421875" style="9" customWidth="1"/>
    <col min="18" max="18" width="12.00390625" style="9" customWidth="1"/>
    <col min="19" max="16384" width="11.421875" style="9" customWidth="1"/>
  </cols>
  <sheetData>
    <row r="1" spans="2:11" s="6" customFormat="1" ht="26.25">
      <c r="B1" s="7"/>
      <c r="K1" s="389"/>
    </row>
    <row r="2" spans="2:10" s="6" customFormat="1" ht="26.25">
      <c r="B2" s="7" t="s">
        <v>95</v>
      </c>
      <c r="C2" s="400"/>
      <c r="D2" s="8"/>
      <c r="E2" s="8"/>
      <c r="F2" s="8"/>
      <c r="G2" s="8"/>
      <c r="H2" s="8"/>
      <c r="I2" s="8"/>
      <c r="J2" s="8"/>
    </row>
    <row r="3" spans="3:19" ht="12.75">
      <c r="C3" s="1"/>
      <c r="D3" s="10"/>
      <c r="E3" s="10"/>
      <c r="F3" s="10"/>
      <c r="G3" s="10"/>
      <c r="H3" s="10"/>
      <c r="I3" s="10"/>
      <c r="J3" s="10"/>
      <c r="P3" s="11"/>
      <c r="Q3" s="11"/>
      <c r="R3" s="11"/>
      <c r="S3" s="11"/>
    </row>
    <row r="4" spans="1:19" s="12" customFormat="1" ht="11.25">
      <c r="A4" s="401" t="s">
        <v>3</v>
      </c>
      <c r="B4" s="401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s="12" customFormat="1" ht="11.25">
      <c r="A5" s="401" t="s">
        <v>93</v>
      </c>
      <c r="B5" s="401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</row>
    <row r="6" spans="2:19" s="6" customFormat="1" ht="8.25" customHeight="1">
      <c r="B6" s="14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2:19" s="16" customFormat="1" ht="19.5">
      <c r="B7" s="17" t="s">
        <v>0</v>
      </c>
      <c r="C7" s="402"/>
      <c r="D7" s="18"/>
      <c r="E7" s="18"/>
      <c r="F7" s="19"/>
      <c r="G7" s="19"/>
      <c r="H7" s="19"/>
      <c r="I7" s="19"/>
      <c r="J7" s="19"/>
      <c r="K7" s="20"/>
      <c r="L7" s="20"/>
      <c r="M7" s="20"/>
      <c r="N7" s="20"/>
      <c r="O7" s="20"/>
      <c r="P7" s="20"/>
      <c r="Q7" s="20"/>
      <c r="R7" s="20"/>
      <c r="S7" s="20"/>
    </row>
    <row r="8" spans="9:19" ht="12.75"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</row>
    <row r="9" spans="2:19" s="16" customFormat="1" ht="19.5">
      <c r="B9" s="17" t="s">
        <v>1</v>
      </c>
      <c r="C9" s="402"/>
      <c r="D9" s="18"/>
      <c r="E9" s="18"/>
      <c r="F9" s="19"/>
      <c r="G9" s="19"/>
      <c r="H9" s="19"/>
      <c r="I9" s="19"/>
      <c r="J9" s="19"/>
      <c r="K9" s="20"/>
      <c r="L9" s="20"/>
      <c r="M9" s="20"/>
      <c r="N9" s="20"/>
      <c r="O9" s="20"/>
      <c r="P9" s="20"/>
      <c r="Q9" s="20"/>
      <c r="R9" s="20"/>
      <c r="S9" s="20"/>
    </row>
    <row r="10" spans="4:19" ht="12.75">
      <c r="D10" s="21"/>
      <c r="E10" s="2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2:19" s="16" customFormat="1" ht="19.5">
      <c r="B11" s="17" t="s">
        <v>94</v>
      </c>
      <c r="C11" s="402"/>
      <c r="D11" s="18"/>
      <c r="E11" s="18"/>
      <c r="F11" s="19"/>
      <c r="G11" s="19"/>
      <c r="H11" s="19"/>
      <c r="I11" s="19"/>
      <c r="J11" s="19"/>
      <c r="K11" s="20"/>
      <c r="L11" s="20"/>
      <c r="M11" s="20"/>
      <c r="N11" s="20"/>
      <c r="O11" s="20"/>
      <c r="P11" s="20"/>
      <c r="Q11" s="20"/>
      <c r="R11" s="20"/>
      <c r="S11" s="20"/>
    </row>
    <row r="12" spans="4:19" s="22" customFormat="1" ht="16.5" thickBot="1">
      <c r="D12" s="23"/>
      <c r="E12" s="23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</row>
    <row r="13" spans="2:19" s="22" customFormat="1" ht="16.5" thickTop="1">
      <c r="B13" s="25">
        <v>1</v>
      </c>
      <c r="C13" s="26" t="b">
        <v>0</v>
      </c>
      <c r="D13" s="27"/>
      <c r="E13" s="27"/>
      <c r="F13" s="27"/>
      <c r="G13" s="27"/>
      <c r="H13" s="27"/>
      <c r="I13" s="27"/>
      <c r="J13" s="28"/>
      <c r="K13" s="24"/>
      <c r="L13" s="24"/>
      <c r="M13" s="24"/>
      <c r="N13" s="24"/>
      <c r="O13" s="24"/>
      <c r="P13" s="24"/>
      <c r="Q13" s="24"/>
      <c r="R13" s="24"/>
      <c r="S13" s="24"/>
    </row>
    <row r="14" spans="2:19" s="16" customFormat="1" ht="19.5">
      <c r="B14" s="29" t="s">
        <v>64</v>
      </c>
      <c r="C14" s="30"/>
      <c r="D14" s="31"/>
      <c r="E14" s="32"/>
      <c r="F14" s="32"/>
      <c r="G14" s="32"/>
      <c r="H14" s="32"/>
      <c r="I14" s="19"/>
      <c r="J14" s="33"/>
      <c r="K14" s="20"/>
      <c r="L14" s="20"/>
      <c r="M14" s="20"/>
      <c r="N14" s="20"/>
      <c r="O14" s="20"/>
      <c r="P14" s="20"/>
      <c r="Q14" s="20"/>
      <c r="R14" s="20"/>
      <c r="S14" s="20"/>
    </row>
    <row r="15" spans="2:19" s="16" customFormat="1" ht="19.5" hidden="1">
      <c r="B15" s="34"/>
      <c r="C15" s="35"/>
      <c r="D15" s="35"/>
      <c r="E15" s="20"/>
      <c r="F15" s="36"/>
      <c r="G15" s="36"/>
      <c r="H15" s="36"/>
      <c r="I15" s="20"/>
      <c r="J15" s="37"/>
      <c r="K15" s="20"/>
      <c r="L15" s="20"/>
      <c r="M15" s="20"/>
      <c r="N15" s="20"/>
      <c r="O15" s="20"/>
      <c r="P15" s="20"/>
      <c r="Q15" s="20"/>
      <c r="R15" s="20"/>
      <c r="S15" s="20"/>
    </row>
    <row r="16" spans="2:19" s="16" customFormat="1" ht="19.5" hidden="1">
      <c r="B16" s="29" t="s">
        <v>5</v>
      </c>
      <c r="C16" s="38"/>
      <c r="D16" s="38"/>
      <c r="E16" s="19"/>
      <c r="F16" s="32"/>
      <c r="G16" s="32"/>
      <c r="H16" s="32"/>
      <c r="I16" s="19"/>
      <c r="J16" s="33"/>
      <c r="K16" s="1"/>
      <c r="L16" s="20"/>
      <c r="M16" s="20"/>
      <c r="N16" s="20"/>
      <c r="O16" s="20"/>
      <c r="P16" s="20"/>
      <c r="Q16" s="20"/>
      <c r="R16" s="20"/>
      <c r="S16" s="20"/>
    </row>
    <row r="17" spans="2:19" s="16" customFormat="1" ht="19.5">
      <c r="B17" s="34"/>
      <c r="C17" s="35"/>
      <c r="D17" s="35"/>
      <c r="E17" s="20"/>
      <c r="F17" s="36"/>
      <c r="G17" s="36"/>
      <c r="H17" s="36"/>
      <c r="I17" s="20"/>
      <c r="J17" s="37"/>
      <c r="K17" s="1"/>
      <c r="L17" s="20"/>
      <c r="M17" s="20"/>
      <c r="N17" s="20"/>
      <c r="O17" s="20"/>
      <c r="P17" s="20"/>
      <c r="Q17" s="20"/>
      <c r="R17" s="20"/>
      <c r="S17" s="20"/>
    </row>
    <row r="18" spans="2:19" s="16" customFormat="1" ht="19.5">
      <c r="B18" s="34"/>
      <c r="C18" s="39" t="s">
        <v>6</v>
      </c>
      <c r="D18" s="40" t="s">
        <v>2</v>
      </c>
      <c r="E18" s="20"/>
      <c r="F18" s="36"/>
      <c r="G18" s="36"/>
      <c r="H18" s="36"/>
      <c r="I18" s="41">
        <f>'LI-10 (1)'!AA42</f>
        <v>77076.45</v>
      </c>
      <c r="J18" s="37"/>
      <c r="K18" s="20"/>
      <c r="L18" s="20"/>
      <c r="M18" s="20"/>
      <c r="N18" s="20"/>
      <c r="O18" s="20"/>
      <c r="P18" s="20"/>
      <c r="Q18" s="20"/>
      <c r="R18" s="20"/>
      <c r="S18" s="20"/>
    </row>
    <row r="19" spans="2:19" ht="13.5">
      <c r="B19" s="42"/>
      <c r="C19" s="43"/>
      <c r="D19" s="44"/>
      <c r="E19" s="11"/>
      <c r="F19" s="45"/>
      <c r="G19" s="45"/>
      <c r="H19" s="45"/>
      <c r="I19" s="46"/>
      <c r="J19" s="47"/>
      <c r="K19" s="11"/>
      <c r="L19" s="11"/>
      <c r="M19" s="11"/>
      <c r="N19" s="11"/>
      <c r="O19" s="11"/>
      <c r="P19" s="11"/>
      <c r="Q19" s="11"/>
      <c r="R19" s="11"/>
      <c r="S19" s="11"/>
    </row>
    <row r="20" spans="2:19" s="16" customFormat="1" ht="19.5">
      <c r="B20" s="34"/>
      <c r="C20" s="39" t="s">
        <v>7</v>
      </c>
      <c r="D20" s="40" t="s">
        <v>8</v>
      </c>
      <c r="E20" s="20"/>
      <c r="F20" s="36"/>
      <c r="G20" s="36"/>
      <c r="H20" s="36"/>
      <c r="I20" s="41"/>
      <c r="J20" s="37"/>
      <c r="K20" s="20"/>
      <c r="L20" s="20"/>
      <c r="M20" s="20"/>
      <c r="N20" s="20"/>
      <c r="O20" s="20"/>
      <c r="P20" s="20"/>
      <c r="Q20" s="20"/>
      <c r="R20" s="20"/>
      <c r="S20" s="20"/>
    </row>
    <row r="21" spans="2:19" ht="13.5">
      <c r="B21" s="42"/>
      <c r="C21" s="43"/>
      <c r="D21" s="43"/>
      <c r="E21" s="11"/>
      <c r="F21" s="45"/>
      <c r="G21" s="45"/>
      <c r="H21" s="45"/>
      <c r="I21" s="48"/>
      <c r="J21" s="47"/>
      <c r="K21" s="11"/>
      <c r="L21" s="11"/>
      <c r="M21" s="11"/>
      <c r="N21" s="11"/>
      <c r="O21" s="11"/>
      <c r="P21" s="11"/>
      <c r="Q21" s="11"/>
      <c r="R21" s="11"/>
      <c r="S21" s="11"/>
    </row>
    <row r="22" spans="2:19" s="16" customFormat="1" ht="19.5">
      <c r="B22" s="34"/>
      <c r="C22" s="39"/>
      <c r="D22" s="39" t="s">
        <v>9</v>
      </c>
      <c r="E22" s="49" t="s">
        <v>10</v>
      </c>
      <c r="F22" s="36"/>
      <c r="G22" s="36"/>
      <c r="H22" s="36"/>
      <c r="I22" s="41">
        <f>'T-10 (1)'!AC42</f>
        <v>2519.39</v>
      </c>
      <c r="J22" s="37"/>
      <c r="K22" s="20"/>
      <c r="L22" s="20"/>
      <c r="M22" s="20"/>
      <c r="N22" s="20"/>
      <c r="O22" s="20"/>
      <c r="P22" s="20"/>
      <c r="Q22" s="20"/>
      <c r="R22" s="20"/>
      <c r="S22" s="20"/>
    </row>
    <row r="23" spans="2:19" ht="13.5">
      <c r="B23" s="42"/>
      <c r="C23" s="43"/>
      <c r="D23" s="43"/>
      <c r="E23" s="11"/>
      <c r="F23" s="45"/>
      <c r="G23" s="45"/>
      <c r="H23" s="45"/>
      <c r="I23" s="48"/>
      <c r="J23" s="47"/>
      <c r="K23" s="11"/>
      <c r="L23" s="11"/>
      <c r="M23" s="11"/>
      <c r="N23" s="11"/>
      <c r="O23" s="11"/>
      <c r="P23" s="11"/>
      <c r="Q23" s="11"/>
      <c r="R23" s="11"/>
      <c r="S23" s="11"/>
    </row>
    <row r="24" spans="2:19" s="16" customFormat="1" ht="19.5">
      <c r="B24" s="34"/>
      <c r="C24" s="39"/>
      <c r="D24" s="39" t="s">
        <v>11</v>
      </c>
      <c r="E24" s="49" t="s">
        <v>12</v>
      </c>
      <c r="F24" s="36"/>
      <c r="G24" s="36"/>
      <c r="H24" s="36"/>
      <c r="I24" s="41">
        <f>'SA-10 (1)'!V43</f>
        <v>6886.03</v>
      </c>
      <c r="J24" s="37"/>
      <c r="K24" s="20"/>
      <c r="L24" s="20"/>
      <c r="M24" s="20"/>
      <c r="N24" s="20"/>
      <c r="O24" s="20"/>
      <c r="P24" s="20"/>
      <c r="Q24" s="20"/>
      <c r="R24" s="20"/>
      <c r="S24" s="20"/>
    </row>
    <row r="25" spans="2:19" s="16" customFormat="1" ht="19.5">
      <c r="B25" s="34"/>
      <c r="C25" s="35"/>
      <c r="D25" s="35"/>
      <c r="E25" s="49"/>
      <c r="F25" s="36"/>
      <c r="G25" s="36"/>
      <c r="H25" s="36"/>
      <c r="I25" s="41"/>
      <c r="J25" s="37"/>
      <c r="K25" s="20"/>
      <c r="L25" s="20"/>
      <c r="M25" s="20"/>
      <c r="N25" s="20"/>
      <c r="O25" s="20"/>
      <c r="P25" s="20"/>
      <c r="Q25" s="20"/>
      <c r="R25" s="20"/>
      <c r="S25" s="20"/>
    </row>
    <row r="26" spans="2:19" s="16" customFormat="1" ht="19.5">
      <c r="B26" s="34"/>
      <c r="C26" s="35"/>
      <c r="D26" s="35"/>
      <c r="E26" s="20"/>
      <c r="F26" s="36"/>
      <c r="G26" s="36"/>
      <c r="H26" s="36"/>
      <c r="I26" s="50"/>
      <c r="J26" s="37"/>
      <c r="K26" s="20"/>
      <c r="L26" s="20"/>
      <c r="M26" s="20"/>
      <c r="N26" s="20"/>
      <c r="O26" s="20"/>
      <c r="P26" s="20"/>
      <c r="Q26" s="20"/>
      <c r="R26" s="20"/>
      <c r="S26" s="20"/>
    </row>
    <row r="27" spans="2:19" s="16" customFormat="1" ht="20.25" thickBot="1">
      <c r="B27" s="34"/>
      <c r="C27" s="35"/>
      <c r="D27" s="35"/>
      <c r="E27" s="20"/>
      <c r="F27" s="36"/>
      <c r="G27" s="36"/>
      <c r="H27" s="36"/>
      <c r="I27" s="20"/>
      <c r="J27" s="37"/>
      <c r="K27" s="20"/>
      <c r="L27" s="20"/>
      <c r="M27" s="20"/>
      <c r="N27" s="20"/>
      <c r="O27" s="20"/>
      <c r="P27" s="20"/>
      <c r="Q27" s="20"/>
      <c r="R27" s="20"/>
      <c r="S27" s="20"/>
    </row>
    <row r="28" spans="2:19" s="16" customFormat="1" ht="20.25" thickBot="1" thickTop="1">
      <c r="B28" s="34"/>
      <c r="C28" s="39"/>
      <c r="D28" s="39"/>
      <c r="F28" s="51" t="s">
        <v>13</v>
      </c>
      <c r="G28" s="52">
        <f>SUM(I18:I26)</f>
        <v>86481.87</v>
      </c>
      <c r="H28" s="53"/>
      <c r="J28" s="37"/>
      <c r="K28" s="20"/>
      <c r="L28" s="20"/>
      <c r="M28" s="20"/>
      <c r="N28" s="20"/>
      <c r="O28" s="20"/>
      <c r="P28" s="20"/>
      <c r="Q28" s="20"/>
      <c r="R28" s="20"/>
      <c r="S28" s="20"/>
    </row>
    <row r="29" spans="2:19" s="16" customFormat="1" ht="19.5" thickTop="1">
      <c r="B29" s="34"/>
      <c r="C29" s="39"/>
      <c r="D29" s="39"/>
      <c r="F29" s="391"/>
      <c r="G29" s="53"/>
      <c r="H29" s="53"/>
      <c r="J29" s="37"/>
      <c r="K29" s="20"/>
      <c r="L29" s="20"/>
      <c r="M29" s="20"/>
      <c r="N29" s="20"/>
      <c r="O29" s="20"/>
      <c r="P29" s="20"/>
      <c r="Q29" s="20"/>
      <c r="R29" s="20"/>
      <c r="S29" s="20"/>
    </row>
    <row r="30" spans="2:19" s="16" customFormat="1" ht="18.75">
      <c r="B30" s="34"/>
      <c r="C30" s="392" t="s">
        <v>85</v>
      </c>
      <c r="D30" s="39"/>
      <c r="F30" s="391"/>
      <c r="G30" s="53"/>
      <c r="H30" s="53"/>
      <c r="J30" s="37"/>
      <c r="K30" s="20"/>
      <c r="L30" s="20"/>
      <c r="M30" s="20"/>
      <c r="N30" s="20"/>
      <c r="O30" s="20"/>
      <c r="P30" s="20"/>
      <c r="Q30" s="20"/>
      <c r="R30" s="20"/>
      <c r="S30" s="20"/>
    </row>
    <row r="31" spans="2:19" s="22" customFormat="1" ht="16.5" thickBot="1">
      <c r="B31" s="54"/>
      <c r="C31" s="55"/>
      <c r="D31" s="55"/>
      <c r="E31" s="56"/>
      <c r="F31" s="56"/>
      <c r="G31" s="56"/>
      <c r="H31" s="56"/>
      <c r="I31" s="56"/>
      <c r="J31" s="57"/>
      <c r="K31" s="24"/>
      <c r="L31" s="24"/>
      <c r="M31" s="58"/>
      <c r="N31" s="59"/>
      <c r="O31" s="59"/>
      <c r="P31" s="60"/>
      <c r="Q31" s="61"/>
      <c r="R31" s="24"/>
      <c r="S31" s="24"/>
    </row>
    <row r="32" spans="4:19" ht="13.5" thickTop="1">
      <c r="D32" s="11"/>
      <c r="F32" s="11"/>
      <c r="G32" s="11"/>
      <c r="H32" s="11"/>
      <c r="I32" s="11"/>
      <c r="J32" s="11"/>
      <c r="K32" s="11"/>
      <c r="L32" s="11"/>
      <c r="M32" s="62"/>
      <c r="N32" s="63"/>
      <c r="O32" s="63"/>
      <c r="P32" s="11"/>
      <c r="Q32" s="4"/>
      <c r="R32" s="11"/>
      <c r="S32" s="11"/>
    </row>
    <row r="33" spans="4:19" ht="12.75">
      <c r="D33" s="11"/>
      <c r="F33" s="11"/>
      <c r="G33" s="11"/>
      <c r="H33" s="11"/>
      <c r="I33" s="11"/>
      <c r="J33" s="11"/>
      <c r="K33" s="11"/>
      <c r="L33" s="11"/>
      <c r="M33" s="11"/>
      <c r="N33" s="64"/>
      <c r="O33" s="64"/>
      <c r="P33" s="65"/>
      <c r="Q33" s="4"/>
      <c r="R33" s="11"/>
      <c r="S33" s="11"/>
    </row>
    <row r="34" spans="4:19" ht="12.75"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64"/>
      <c r="O34" s="64"/>
      <c r="P34" s="65"/>
      <c r="Q34" s="4"/>
      <c r="R34" s="11"/>
      <c r="S34" s="11"/>
    </row>
    <row r="35" spans="4:19" ht="12.75">
      <c r="D35" s="11"/>
      <c r="E35" s="11"/>
      <c r="L35" s="11"/>
      <c r="M35" s="11"/>
      <c r="N35" s="11"/>
      <c r="O35" s="11"/>
      <c r="P35" s="11"/>
      <c r="Q35" s="11"/>
      <c r="R35" s="11"/>
      <c r="S35" s="11"/>
    </row>
    <row r="36" spans="4:19" ht="12.75">
      <c r="D36" s="11"/>
      <c r="E36" s="11"/>
      <c r="P36" s="11"/>
      <c r="Q36" s="11"/>
      <c r="R36" s="11"/>
      <c r="S36" s="11"/>
    </row>
    <row r="37" spans="4:19" ht="12.75">
      <c r="D37" s="11"/>
      <c r="E37" s="11"/>
      <c r="P37" s="11"/>
      <c r="Q37" s="11"/>
      <c r="R37" s="11"/>
      <c r="S37" s="11"/>
    </row>
    <row r="38" spans="4:19" ht="12.75">
      <c r="D38" s="11"/>
      <c r="E38" s="11"/>
      <c r="P38" s="11"/>
      <c r="Q38" s="11"/>
      <c r="R38" s="11"/>
      <c r="S38" s="11"/>
    </row>
    <row r="39" spans="4:19" ht="12.75">
      <c r="D39" s="11"/>
      <c r="E39" s="11"/>
      <c r="P39" s="11"/>
      <c r="Q39" s="11"/>
      <c r="R39" s="11"/>
      <c r="S39" s="11"/>
    </row>
    <row r="40" spans="4:19" ht="12.75">
      <c r="D40" s="11"/>
      <c r="E40" s="11"/>
      <c r="P40" s="11"/>
      <c r="Q40" s="11"/>
      <c r="R40" s="11"/>
      <c r="S40" s="11"/>
    </row>
    <row r="41" spans="16:19" ht="12.75">
      <c r="P41" s="11"/>
      <c r="Q41" s="11"/>
      <c r="R41" s="11"/>
      <c r="S41" s="11"/>
    </row>
    <row r="42" spans="16:19" ht="12.75">
      <c r="P42" s="11"/>
      <c r="Q42" s="11"/>
      <c r="R42" s="11"/>
      <c r="S42" s="11"/>
    </row>
  </sheetData>
  <sheetProtection/>
  <mergeCells count="2">
    <mergeCell ref="A4:B4"/>
    <mergeCell ref="A5:B5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98" r:id="rId2"/>
  <headerFooter alignWithMargins="0">
    <oddFooter>&amp;L&amp;"Times New Roman,Normal"&amp;8&amp;Z&amp;F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AB90"/>
  <sheetViews>
    <sheetView zoomScale="70" zoomScaleNormal="70" zoomScalePageLayoutView="0" workbookViewId="0" topLeftCell="A1">
      <selection activeCell="C21" sqref="C21:AA29"/>
    </sheetView>
  </sheetViews>
  <sheetFormatPr defaultColWidth="11.421875" defaultRowHeight="12.75"/>
  <cols>
    <col min="1" max="1" width="21.140625" style="1" customWidth="1"/>
    <col min="2" max="2" width="4.140625" style="1" customWidth="1"/>
    <col min="3" max="3" width="5.57421875" style="1" customWidth="1"/>
    <col min="4" max="5" width="13.57421875" style="1" customWidth="1"/>
    <col min="6" max="6" width="45.7109375" style="1" customWidth="1"/>
    <col min="7" max="7" width="8.7109375" style="1" customWidth="1"/>
    <col min="8" max="8" width="9.7109375" style="1" customWidth="1"/>
    <col min="9" max="9" width="14.28125" style="1" hidden="1" customWidth="1"/>
    <col min="10" max="11" width="15.7109375" style="1" customWidth="1"/>
    <col min="12" max="14" width="9.7109375" style="1" customWidth="1"/>
    <col min="15" max="15" width="8.7109375" style="1" customWidth="1"/>
    <col min="16" max="17" width="14.7109375" style="1" hidden="1" customWidth="1"/>
    <col min="18" max="18" width="15.421875" style="1" hidden="1" customWidth="1"/>
    <col min="19" max="19" width="13.8515625" style="1" hidden="1" customWidth="1"/>
    <col min="20" max="25" width="14.00390625" style="1" hidden="1" customWidth="1"/>
    <col min="26" max="26" width="9.7109375" style="1" customWidth="1"/>
    <col min="27" max="27" width="15.7109375" style="1" customWidth="1"/>
    <col min="28" max="28" width="4.140625" style="1" customWidth="1"/>
    <col min="29" max="16384" width="11.421875" style="1" customWidth="1"/>
  </cols>
  <sheetData>
    <row r="1" s="6" customFormat="1" ht="29.25" customHeight="1">
      <c r="AB1" s="389"/>
    </row>
    <row r="2" spans="2:28" s="6" customFormat="1" ht="26.25">
      <c r="B2" s="66" t="str">
        <f>'TOT-1013'!B2</f>
        <v>ANEXO V al Memorándum  D.T.E.E.  N°             / 2014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</row>
    <row r="3" spans="2:28" s="9" customFormat="1" ht="12.75">
      <c r="B3" s="67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</row>
    <row r="4" spans="1:2" s="12" customFormat="1" ht="11.25">
      <c r="A4" s="68" t="s">
        <v>3</v>
      </c>
      <c r="B4" s="68"/>
    </row>
    <row r="5" spans="1:2" s="12" customFormat="1" ht="11.25">
      <c r="A5" s="68" t="s">
        <v>4</v>
      </c>
      <c r="B5" s="68"/>
    </row>
    <row r="6" s="9" customFormat="1" ht="16.5" customHeight="1" thickBot="1"/>
    <row r="7" spans="2:28" s="9" customFormat="1" ht="16.5" customHeight="1" thickTop="1">
      <c r="B7" s="69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1"/>
    </row>
    <row r="8" spans="2:28" s="72" customFormat="1" ht="20.25">
      <c r="B8" s="73"/>
      <c r="F8" s="74" t="s">
        <v>14</v>
      </c>
      <c r="G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6"/>
    </row>
    <row r="9" spans="2:28" s="9" customFormat="1" ht="16.5" customHeight="1">
      <c r="B9" s="42"/>
      <c r="F9" s="77"/>
      <c r="G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47"/>
    </row>
    <row r="10" spans="2:28" s="72" customFormat="1" ht="20.25">
      <c r="B10" s="73"/>
      <c r="F10" s="74" t="s">
        <v>15</v>
      </c>
      <c r="G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6"/>
    </row>
    <row r="11" spans="2:28" s="9" customFormat="1" ht="16.5" customHeight="1">
      <c r="B11" s="42"/>
      <c r="C11" s="77"/>
      <c r="D11" s="77"/>
      <c r="E11" s="77"/>
      <c r="G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47"/>
    </row>
    <row r="12" spans="2:28" s="16" customFormat="1" ht="19.5">
      <c r="B12" s="29" t="str">
        <f>+'TOT-1013'!B14</f>
        <v>Desde el 01 al 31 de octubre de 2013</v>
      </c>
      <c r="C12" s="78"/>
      <c r="D12" s="78"/>
      <c r="E12" s="78"/>
      <c r="F12" s="32"/>
      <c r="G12" s="32"/>
      <c r="H12" s="79"/>
      <c r="I12" s="80"/>
      <c r="J12" s="79"/>
      <c r="K12" s="80"/>
      <c r="L12" s="80"/>
      <c r="M12" s="80"/>
      <c r="N12" s="80"/>
      <c r="O12" s="80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81"/>
    </row>
    <row r="13" spans="2:28" s="9" customFormat="1" ht="16.5" customHeight="1" thickBot="1">
      <c r="B13" s="42"/>
      <c r="C13" s="11"/>
      <c r="D13" s="11"/>
      <c r="E13" s="11"/>
      <c r="F13" s="11"/>
      <c r="G13" s="82"/>
      <c r="H13" s="83"/>
      <c r="I13" s="84"/>
      <c r="J13" s="84"/>
      <c r="K13" s="84"/>
      <c r="L13" s="84"/>
      <c r="M13" s="84"/>
      <c r="N13" s="84"/>
      <c r="O13" s="84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47"/>
    </row>
    <row r="14" spans="2:28" s="9" customFormat="1" ht="16.5" customHeight="1" thickBot="1" thickTop="1">
      <c r="B14" s="42"/>
      <c r="C14" s="11"/>
      <c r="D14" s="11"/>
      <c r="E14" s="11"/>
      <c r="F14" s="85" t="s">
        <v>16</v>
      </c>
      <c r="G14" s="403">
        <v>381.2170796</v>
      </c>
      <c r="H14" s="404"/>
      <c r="I14" s="84"/>
      <c r="J14" s="84"/>
      <c r="K14" s="84"/>
      <c r="L14" s="84"/>
      <c r="M14" s="84"/>
      <c r="N14" s="84"/>
      <c r="O14" s="84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47"/>
    </row>
    <row r="15" spans="2:28" s="9" customFormat="1" ht="16.5" customHeight="1" thickBot="1" thickTop="1">
      <c r="B15" s="42"/>
      <c r="C15" s="11"/>
      <c r="D15" s="11"/>
      <c r="E15" s="11"/>
      <c r="F15" s="85" t="s">
        <v>17</v>
      </c>
      <c r="G15" s="403">
        <v>364.27599999999995</v>
      </c>
      <c r="H15" s="86"/>
      <c r="I15" s="11"/>
      <c r="J15" s="87"/>
      <c r="K15" s="88" t="s">
        <v>18</v>
      </c>
      <c r="L15" s="89">
        <f>30*'TOT-1013'!B13</f>
        <v>30</v>
      </c>
      <c r="M15" s="90" t="str">
        <f>IF(L15=30," ",IF(L15=60,"Coeficiente duplicado por tasa de falla &gt;4 Sal. x año/100 km.","REVISAR COEFICIENTE"))</f>
        <v> </v>
      </c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47"/>
    </row>
    <row r="16" spans="2:28" s="9" customFormat="1" ht="16.5" customHeight="1" thickBot="1" thickTop="1">
      <c r="B16" s="42"/>
      <c r="C16" s="11"/>
      <c r="D16" s="11"/>
      <c r="E16" s="11"/>
      <c r="F16" s="85" t="s">
        <v>19</v>
      </c>
      <c r="G16" s="403">
        <v>364.276</v>
      </c>
      <c r="H16" s="86"/>
      <c r="I16" s="11"/>
      <c r="J16" s="11"/>
      <c r="K16" s="11"/>
      <c r="L16" s="48"/>
      <c r="M16" s="9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47"/>
    </row>
    <row r="17" spans="2:28" s="9" customFormat="1" ht="16.5" customHeight="1" thickBot="1" thickTop="1">
      <c r="B17" s="42"/>
      <c r="C17" s="11"/>
      <c r="D17" s="395">
        <v>4</v>
      </c>
      <c r="E17" s="395">
        <v>5</v>
      </c>
      <c r="F17" s="395">
        <v>6</v>
      </c>
      <c r="G17" s="395">
        <v>7</v>
      </c>
      <c r="H17" s="395">
        <v>8</v>
      </c>
      <c r="I17" s="395">
        <v>9</v>
      </c>
      <c r="J17" s="395">
        <v>10</v>
      </c>
      <c r="K17" s="395">
        <v>11</v>
      </c>
      <c r="L17" s="395">
        <v>12</v>
      </c>
      <c r="M17" s="395">
        <v>13</v>
      </c>
      <c r="N17" s="395">
        <v>14</v>
      </c>
      <c r="O17" s="395">
        <v>15</v>
      </c>
      <c r="P17" s="395">
        <v>16</v>
      </c>
      <c r="Q17" s="395">
        <v>17</v>
      </c>
      <c r="R17" s="395">
        <v>18</v>
      </c>
      <c r="S17" s="395">
        <v>19</v>
      </c>
      <c r="T17" s="395">
        <v>20</v>
      </c>
      <c r="U17" s="395">
        <v>21</v>
      </c>
      <c r="V17" s="395">
        <v>22</v>
      </c>
      <c r="W17" s="395">
        <v>23</v>
      </c>
      <c r="X17" s="395">
        <v>24</v>
      </c>
      <c r="Y17" s="395">
        <v>25</v>
      </c>
      <c r="Z17" s="395">
        <v>26</v>
      </c>
      <c r="AA17" s="395">
        <v>27</v>
      </c>
      <c r="AB17" s="47"/>
    </row>
    <row r="18" spans="2:28" s="92" customFormat="1" ht="34.5" customHeight="1" thickBot="1" thickTop="1">
      <c r="B18" s="93"/>
      <c r="C18" s="394" t="s">
        <v>20</v>
      </c>
      <c r="D18" s="394" t="s">
        <v>62</v>
      </c>
      <c r="E18" s="394" t="s">
        <v>63</v>
      </c>
      <c r="F18" s="94" t="s">
        <v>2</v>
      </c>
      <c r="G18" s="95" t="s">
        <v>21</v>
      </c>
      <c r="H18" s="95" t="s">
        <v>22</v>
      </c>
      <c r="I18" s="96" t="s">
        <v>23</v>
      </c>
      <c r="J18" s="94" t="s">
        <v>24</v>
      </c>
      <c r="K18" s="94" t="s">
        <v>25</v>
      </c>
      <c r="L18" s="95" t="s">
        <v>26</v>
      </c>
      <c r="M18" s="95" t="s">
        <v>27</v>
      </c>
      <c r="N18" s="95" t="s">
        <v>60</v>
      </c>
      <c r="O18" s="95" t="s">
        <v>28</v>
      </c>
      <c r="P18" s="97" t="s">
        <v>29</v>
      </c>
      <c r="Q18" s="98" t="s">
        <v>30</v>
      </c>
      <c r="R18" s="99" t="s">
        <v>31</v>
      </c>
      <c r="S18" s="100"/>
      <c r="T18" s="101"/>
      <c r="U18" s="102" t="s">
        <v>32</v>
      </c>
      <c r="V18" s="103"/>
      <c r="W18" s="104"/>
      <c r="X18" s="105" t="s">
        <v>33</v>
      </c>
      <c r="Y18" s="106" t="s">
        <v>34</v>
      </c>
      <c r="Z18" s="107" t="s">
        <v>35</v>
      </c>
      <c r="AA18" s="107" t="s">
        <v>36</v>
      </c>
      <c r="AB18" s="108"/>
    </row>
    <row r="19" spans="2:28" s="9" customFormat="1" ht="16.5" customHeight="1" thickTop="1">
      <c r="B19" s="42"/>
      <c r="C19" s="109"/>
      <c r="D19" s="109"/>
      <c r="E19" s="109"/>
      <c r="F19" s="110"/>
      <c r="G19" s="109"/>
      <c r="H19" s="109"/>
      <c r="I19" s="111"/>
      <c r="J19" s="109"/>
      <c r="K19" s="110"/>
      <c r="L19" s="112"/>
      <c r="M19" s="112"/>
      <c r="N19" s="109"/>
      <c r="O19" s="109"/>
      <c r="P19" s="113"/>
      <c r="Q19" s="114"/>
      <c r="R19" s="115"/>
      <c r="S19" s="116"/>
      <c r="T19" s="116"/>
      <c r="U19" s="117"/>
      <c r="V19" s="117"/>
      <c r="W19" s="117"/>
      <c r="X19" s="118"/>
      <c r="Y19" s="119"/>
      <c r="Z19" s="109"/>
      <c r="AA19" s="120"/>
      <c r="AB19" s="47"/>
    </row>
    <row r="20" spans="2:28" s="9" customFormat="1" ht="16.5" customHeight="1">
      <c r="B20" s="42"/>
      <c r="C20" s="121"/>
      <c r="D20" s="121"/>
      <c r="E20" s="121"/>
      <c r="F20" s="122"/>
      <c r="G20" s="122"/>
      <c r="H20" s="121"/>
      <c r="I20" s="123"/>
      <c r="J20" s="121"/>
      <c r="K20" s="124"/>
      <c r="L20" s="125"/>
      <c r="M20" s="125"/>
      <c r="N20" s="121"/>
      <c r="O20" s="121"/>
      <c r="P20" s="126"/>
      <c r="Q20" s="127"/>
      <c r="R20" s="128"/>
      <c r="S20" s="129"/>
      <c r="T20" s="129"/>
      <c r="U20" s="130"/>
      <c r="V20" s="130"/>
      <c r="W20" s="130"/>
      <c r="X20" s="131"/>
      <c r="Y20" s="132"/>
      <c r="Z20" s="121"/>
      <c r="AA20" s="133"/>
      <c r="AB20" s="47"/>
    </row>
    <row r="21" spans="2:28" s="9" customFormat="1" ht="16.5" customHeight="1">
      <c r="B21" s="42"/>
      <c r="C21" s="124">
        <v>1</v>
      </c>
      <c r="D21" s="124">
        <v>265975</v>
      </c>
      <c r="E21" s="124">
        <v>698</v>
      </c>
      <c r="F21" s="122" t="s">
        <v>65</v>
      </c>
      <c r="G21" s="122">
        <v>220</v>
      </c>
      <c r="H21" s="134">
        <v>53.4900016784668</v>
      </c>
      <c r="I21" s="135">
        <f aca="true" t="shared" si="0" ref="I21:I40">IF(G21=220,$G$14*IF(H21&gt;25,H21,25),IF(G21=132,$G$15*IF(H21&gt;25,+H21,25),$G$16*IF(H21&gt;25,H21,25)))/100</f>
        <v>203.91302227664207</v>
      </c>
      <c r="J21" s="136">
        <v>41552.365277777775</v>
      </c>
      <c r="K21" s="136">
        <v>41552.66180555556</v>
      </c>
      <c r="L21" s="137">
        <f aca="true" t="shared" si="1" ref="L21:L40">IF(F21="","",(K21-J21)*24)</f>
        <v>7.116666666814126</v>
      </c>
      <c r="M21" s="138">
        <f aca="true" t="shared" si="2" ref="M21:M40">IF(F21="","",ROUND((K21-J21)*24*60,0))</f>
        <v>427</v>
      </c>
      <c r="N21" s="139" t="s">
        <v>66</v>
      </c>
      <c r="O21" s="139" t="s">
        <v>67</v>
      </c>
      <c r="P21" s="141">
        <f aca="true" t="shared" si="3" ref="P21:P40">IF(N21="P",ROUND(M21/60,2)*I21*$L$15*0.01,"--")</f>
        <v>435.55821558290745</v>
      </c>
      <c r="Q21" s="142" t="str">
        <f aca="true" t="shared" si="4" ref="Q21:Q40">IF(N21="RP",ROUND(M21/60,2)*I21*$L$15*0.01*O21/100,"--")</f>
        <v>--</v>
      </c>
      <c r="R21" s="143" t="str">
        <f aca="true" t="shared" si="5" ref="R21:R40">IF(N21="F",I21*$L$15,"--")</f>
        <v>--</v>
      </c>
      <c r="S21" s="143" t="str">
        <f aca="true" t="shared" si="6" ref="S21:S40">IF(AND(M21&gt;10,N21="F"),$L$15*I21*IF(M21&gt;180,3,ROUND((M21)/60,2)),"--")</f>
        <v>--</v>
      </c>
      <c r="T21" s="144" t="str">
        <f aca="true" t="shared" si="7" ref="T21:T40">IF(AND(N21="F",M21&gt;180),(ROUND(M21/60,2)-3)*I21*$L$15*0.1,"--")</f>
        <v>--</v>
      </c>
      <c r="U21" s="145" t="str">
        <f aca="true" t="shared" si="8" ref="U21:U40">IF(N21="R",I21*$L$15*O21/100,"--")</f>
        <v>--</v>
      </c>
      <c r="V21" s="145" t="str">
        <f aca="true" t="shared" si="9" ref="V21:V40">IF(AND(M21&gt;10,N21="R"),$L$15*I21*O21/100*IF(M21&gt;180,3,ROUND((M21)/60,2)),"--")</f>
        <v>--</v>
      </c>
      <c r="W21" s="146" t="str">
        <f aca="true" t="shared" si="10" ref="W21:W40">IF(AND(N21="R",M21&gt;180),(ROUND(M21/60,2)-3)*I21*$L$15*0.1*O21/100,"--")</f>
        <v>--</v>
      </c>
      <c r="X21" s="147" t="str">
        <f aca="true" t="shared" si="11" ref="X21:X40">IF(N21="RF",ROUND(M21/60,2)*I21*$L$15*0.1,"--")</f>
        <v>--</v>
      </c>
      <c r="Y21" s="148" t="str">
        <f aca="true" t="shared" si="12" ref="Y21:Y40">IF(N21="RR",ROUND(M21/60,2)*I21*$L$15*0.1*O21/100,"--")</f>
        <v>--</v>
      </c>
      <c r="Z21" s="149" t="str">
        <f aca="true" t="shared" si="13" ref="Z21:Z40">IF(F21="","","SI")</f>
        <v>SI</v>
      </c>
      <c r="AA21" s="150">
        <f aca="true" t="shared" si="14" ref="AA21:AA40">IF(F21="","",SUM(P21:Y21)*IF(Z21="SI",1,2))</f>
        <v>435.55821558290745</v>
      </c>
      <c r="AB21" s="151"/>
    </row>
    <row r="22" spans="2:28" s="9" customFormat="1" ht="16.5" customHeight="1">
      <c r="B22" s="42"/>
      <c r="C22" s="124">
        <v>2</v>
      </c>
      <c r="D22" s="124">
        <v>266123</v>
      </c>
      <c r="E22" s="124">
        <v>715</v>
      </c>
      <c r="F22" s="122" t="s">
        <v>68</v>
      </c>
      <c r="G22" s="122">
        <v>132</v>
      </c>
      <c r="H22" s="134">
        <v>15.59000015258789</v>
      </c>
      <c r="I22" s="135">
        <f t="shared" si="0"/>
        <v>91.069</v>
      </c>
      <c r="J22" s="136">
        <v>41560.22986111111</v>
      </c>
      <c r="K22" s="136">
        <v>41560.46041666667</v>
      </c>
      <c r="L22" s="137">
        <f t="shared" si="1"/>
        <v>5.53333333338378</v>
      </c>
      <c r="M22" s="138">
        <f t="shared" si="2"/>
        <v>332</v>
      </c>
      <c r="N22" s="139" t="s">
        <v>66</v>
      </c>
      <c r="O22" s="139" t="s">
        <v>67</v>
      </c>
      <c r="P22" s="141">
        <f t="shared" si="3"/>
        <v>151.083471</v>
      </c>
      <c r="Q22" s="142" t="str">
        <f t="shared" si="4"/>
        <v>--</v>
      </c>
      <c r="R22" s="143" t="str">
        <f t="shared" si="5"/>
        <v>--</v>
      </c>
      <c r="S22" s="143" t="str">
        <f t="shared" si="6"/>
        <v>--</v>
      </c>
      <c r="T22" s="144" t="str">
        <f t="shared" si="7"/>
        <v>--</v>
      </c>
      <c r="U22" s="145" t="str">
        <f t="shared" si="8"/>
        <v>--</v>
      </c>
      <c r="V22" s="145" t="str">
        <f t="shared" si="9"/>
        <v>--</v>
      </c>
      <c r="W22" s="146" t="str">
        <f t="shared" si="10"/>
        <v>--</v>
      </c>
      <c r="X22" s="147" t="str">
        <f t="shared" si="11"/>
        <v>--</v>
      </c>
      <c r="Y22" s="148" t="str">
        <f t="shared" si="12"/>
        <v>--</v>
      </c>
      <c r="Z22" s="149" t="str">
        <f t="shared" si="13"/>
        <v>SI</v>
      </c>
      <c r="AA22" s="150">
        <f t="shared" si="14"/>
        <v>151.083471</v>
      </c>
      <c r="AB22" s="151"/>
    </row>
    <row r="23" spans="2:28" s="9" customFormat="1" ht="16.5" customHeight="1">
      <c r="B23" s="42"/>
      <c r="C23" s="124">
        <v>3</v>
      </c>
      <c r="D23" s="124">
        <v>266446</v>
      </c>
      <c r="E23" s="124">
        <v>715</v>
      </c>
      <c r="F23" s="122" t="s">
        <v>68</v>
      </c>
      <c r="G23" s="122">
        <v>132</v>
      </c>
      <c r="H23" s="134">
        <v>15.59000015258789</v>
      </c>
      <c r="I23" s="135">
        <f t="shared" si="0"/>
        <v>91.069</v>
      </c>
      <c r="J23" s="136">
        <v>41561.24236111111</v>
      </c>
      <c r="K23" s="136">
        <v>41561.47361111111</v>
      </c>
      <c r="L23" s="137">
        <f t="shared" si="1"/>
        <v>5.550000000104774</v>
      </c>
      <c r="M23" s="138">
        <f t="shared" si="2"/>
        <v>333</v>
      </c>
      <c r="N23" s="139" t="s">
        <v>66</v>
      </c>
      <c r="O23" s="139" t="s">
        <v>67</v>
      </c>
      <c r="P23" s="141">
        <f t="shared" si="3"/>
        <v>151.629885</v>
      </c>
      <c r="Q23" s="142" t="str">
        <f t="shared" si="4"/>
        <v>--</v>
      </c>
      <c r="R23" s="143" t="str">
        <f t="shared" si="5"/>
        <v>--</v>
      </c>
      <c r="S23" s="143" t="str">
        <f t="shared" si="6"/>
        <v>--</v>
      </c>
      <c r="T23" s="144" t="str">
        <f t="shared" si="7"/>
        <v>--</v>
      </c>
      <c r="U23" s="145" t="str">
        <f t="shared" si="8"/>
        <v>--</v>
      </c>
      <c r="V23" s="145" t="str">
        <f t="shared" si="9"/>
        <v>--</v>
      </c>
      <c r="W23" s="146" t="str">
        <f t="shared" si="10"/>
        <v>--</v>
      </c>
      <c r="X23" s="147" t="str">
        <f t="shared" si="11"/>
        <v>--</v>
      </c>
      <c r="Y23" s="148" t="str">
        <f t="shared" si="12"/>
        <v>--</v>
      </c>
      <c r="Z23" s="149" t="str">
        <f t="shared" si="13"/>
        <v>SI</v>
      </c>
      <c r="AA23" s="150">
        <f t="shared" si="14"/>
        <v>151.629885</v>
      </c>
      <c r="AB23" s="151"/>
    </row>
    <row r="24" spans="2:28" s="9" customFormat="1" ht="16.5" customHeight="1">
      <c r="B24" s="42"/>
      <c r="C24" s="124">
        <v>4</v>
      </c>
      <c r="D24" s="124">
        <v>266447</v>
      </c>
      <c r="E24" s="124">
        <v>714</v>
      </c>
      <c r="F24" s="122" t="s">
        <v>69</v>
      </c>
      <c r="G24" s="122">
        <v>132</v>
      </c>
      <c r="H24" s="134">
        <v>122.12999725341797</v>
      </c>
      <c r="I24" s="135">
        <f t="shared" si="0"/>
        <v>444.89026879486073</v>
      </c>
      <c r="J24" s="136">
        <v>41562.38888888889</v>
      </c>
      <c r="K24" s="136">
        <v>41562.725</v>
      </c>
      <c r="L24" s="137">
        <f t="shared" si="1"/>
        <v>8.066666666592937</v>
      </c>
      <c r="M24" s="138">
        <f t="shared" si="2"/>
        <v>484</v>
      </c>
      <c r="N24" s="139" t="s">
        <v>66</v>
      </c>
      <c r="O24" s="139" t="s">
        <v>67</v>
      </c>
      <c r="P24" s="141">
        <f t="shared" si="3"/>
        <v>1077.079340752358</v>
      </c>
      <c r="Q24" s="142" t="str">
        <f t="shared" si="4"/>
        <v>--</v>
      </c>
      <c r="R24" s="143" t="str">
        <f t="shared" si="5"/>
        <v>--</v>
      </c>
      <c r="S24" s="143" t="str">
        <f t="shared" si="6"/>
        <v>--</v>
      </c>
      <c r="T24" s="144" t="str">
        <f t="shared" si="7"/>
        <v>--</v>
      </c>
      <c r="U24" s="145" t="str">
        <f t="shared" si="8"/>
        <v>--</v>
      </c>
      <c r="V24" s="145" t="str">
        <f t="shared" si="9"/>
        <v>--</v>
      </c>
      <c r="W24" s="146" t="str">
        <f t="shared" si="10"/>
        <v>--</v>
      </c>
      <c r="X24" s="147" t="str">
        <f t="shared" si="11"/>
        <v>--</v>
      </c>
      <c r="Y24" s="148" t="str">
        <f t="shared" si="12"/>
        <v>--</v>
      </c>
      <c r="Z24" s="149" t="str">
        <f t="shared" si="13"/>
        <v>SI</v>
      </c>
      <c r="AA24" s="150">
        <f t="shared" si="14"/>
        <v>1077.079340752358</v>
      </c>
      <c r="AB24" s="151"/>
    </row>
    <row r="25" spans="2:28" s="9" customFormat="1" ht="16.5" customHeight="1">
      <c r="B25" s="42"/>
      <c r="C25" s="124">
        <v>5</v>
      </c>
      <c r="D25" s="124">
        <v>266448</v>
      </c>
      <c r="E25" s="124">
        <v>715</v>
      </c>
      <c r="F25" s="122" t="s">
        <v>68</v>
      </c>
      <c r="G25" s="122">
        <v>132</v>
      </c>
      <c r="H25" s="134">
        <v>15.59000015258789</v>
      </c>
      <c r="I25" s="135">
        <f t="shared" si="0"/>
        <v>91.069</v>
      </c>
      <c r="J25" s="136">
        <v>41567.29513888889</v>
      </c>
      <c r="K25" s="136">
        <v>41567.38055555556</v>
      </c>
      <c r="L25" s="137">
        <f t="shared" si="1"/>
        <v>2.050000000046566</v>
      </c>
      <c r="M25" s="138">
        <f t="shared" si="2"/>
        <v>123</v>
      </c>
      <c r="N25" s="139" t="s">
        <v>66</v>
      </c>
      <c r="O25" s="139" t="s">
        <v>67</v>
      </c>
      <c r="P25" s="141">
        <f t="shared" si="3"/>
        <v>56.00743500000001</v>
      </c>
      <c r="Q25" s="142" t="str">
        <f t="shared" si="4"/>
        <v>--</v>
      </c>
      <c r="R25" s="143" t="str">
        <f t="shared" si="5"/>
        <v>--</v>
      </c>
      <c r="S25" s="143" t="str">
        <f t="shared" si="6"/>
        <v>--</v>
      </c>
      <c r="T25" s="144" t="str">
        <f t="shared" si="7"/>
        <v>--</v>
      </c>
      <c r="U25" s="145" t="str">
        <f t="shared" si="8"/>
        <v>--</v>
      </c>
      <c r="V25" s="145" t="str">
        <f t="shared" si="9"/>
        <v>--</v>
      </c>
      <c r="W25" s="146" t="str">
        <f t="shared" si="10"/>
        <v>--</v>
      </c>
      <c r="X25" s="147" t="str">
        <f t="shared" si="11"/>
        <v>--</v>
      </c>
      <c r="Y25" s="148" t="str">
        <f t="shared" si="12"/>
        <v>--</v>
      </c>
      <c r="Z25" s="149" t="str">
        <f t="shared" si="13"/>
        <v>SI</v>
      </c>
      <c r="AA25" s="150">
        <f t="shared" si="14"/>
        <v>56.00743500000001</v>
      </c>
      <c r="AB25" s="151"/>
    </row>
    <row r="26" spans="2:28" s="9" customFormat="1" ht="16.5" customHeight="1">
      <c r="B26" s="42"/>
      <c r="C26" s="124">
        <v>6</v>
      </c>
      <c r="D26" s="124">
        <v>266703</v>
      </c>
      <c r="E26" s="124">
        <v>706</v>
      </c>
      <c r="F26" s="122" t="s">
        <v>70</v>
      </c>
      <c r="G26" s="122">
        <v>220</v>
      </c>
      <c r="H26" s="134">
        <v>171.60000610351562</v>
      </c>
      <c r="I26" s="135">
        <f t="shared" si="0"/>
        <v>654.168531861244</v>
      </c>
      <c r="J26" s="136">
        <v>41569.49166666667</v>
      </c>
      <c r="K26" s="136">
        <v>41569.57708333333</v>
      </c>
      <c r="L26" s="137">
        <f t="shared" si="1"/>
        <v>2.049999999871943</v>
      </c>
      <c r="M26" s="138">
        <f t="shared" si="2"/>
        <v>123</v>
      </c>
      <c r="N26" s="136" t="s">
        <v>71</v>
      </c>
      <c r="O26" s="139" t="s">
        <v>67</v>
      </c>
      <c r="P26" s="141" t="str">
        <f t="shared" si="3"/>
        <v>--</v>
      </c>
      <c r="Q26" s="142" t="str">
        <f t="shared" si="4"/>
        <v>--</v>
      </c>
      <c r="R26" s="143">
        <f t="shared" si="5"/>
        <v>19625.05595583732</v>
      </c>
      <c r="S26" s="143">
        <f t="shared" si="6"/>
        <v>40231.36470946651</v>
      </c>
      <c r="T26" s="144" t="str">
        <f t="shared" si="7"/>
        <v>--</v>
      </c>
      <c r="U26" s="145" t="str">
        <f t="shared" si="8"/>
        <v>--</v>
      </c>
      <c r="V26" s="145" t="str">
        <f t="shared" si="9"/>
        <v>--</v>
      </c>
      <c r="W26" s="146" t="str">
        <f t="shared" si="10"/>
        <v>--</v>
      </c>
      <c r="X26" s="147" t="str">
        <f t="shared" si="11"/>
        <v>--</v>
      </c>
      <c r="Y26" s="148" t="str">
        <f t="shared" si="12"/>
        <v>--</v>
      </c>
      <c r="Z26" s="149" t="str">
        <f t="shared" si="13"/>
        <v>SI</v>
      </c>
      <c r="AA26" s="150">
        <f t="shared" si="14"/>
        <v>59856.42066530383</v>
      </c>
      <c r="AB26" s="151"/>
    </row>
    <row r="27" spans="2:28" s="9" customFormat="1" ht="16.5" customHeight="1">
      <c r="B27" s="42"/>
      <c r="C27" s="124">
        <v>7</v>
      </c>
      <c r="D27" s="124">
        <v>266704</v>
      </c>
      <c r="E27" s="124">
        <v>4661</v>
      </c>
      <c r="F27" s="122" t="s">
        <v>72</v>
      </c>
      <c r="G27" s="122">
        <v>132</v>
      </c>
      <c r="H27" s="134">
        <v>130.1999969482422</v>
      </c>
      <c r="I27" s="135">
        <f t="shared" si="0"/>
        <v>474.2873408831786</v>
      </c>
      <c r="J27" s="136">
        <v>41569.49166666667</v>
      </c>
      <c r="K27" s="136">
        <v>41569.49722222222</v>
      </c>
      <c r="L27" s="137">
        <f t="shared" si="1"/>
        <v>0.1333333332440816</v>
      </c>
      <c r="M27" s="138">
        <f t="shared" si="2"/>
        <v>8</v>
      </c>
      <c r="N27" s="136" t="s">
        <v>71</v>
      </c>
      <c r="O27" s="139" t="s">
        <v>67</v>
      </c>
      <c r="P27" s="141" t="str">
        <f t="shared" si="3"/>
        <v>--</v>
      </c>
      <c r="Q27" s="142" t="str">
        <f t="shared" si="4"/>
        <v>--</v>
      </c>
      <c r="R27" s="143">
        <f t="shared" si="5"/>
        <v>14228.620226495359</v>
      </c>
      <c r="S27" s="143" t="str">
        <f t="shared" si="6"/>
        <v>--</v>
      </c>
      <c r="T27" s="144" t="str">
        <f t="shared" si="7"/>
        <v>--</v>
      </c>
      <c r="U27" s="145" t="str">
        <f t="shared" si="8"/>
        <v>--</v>
      </c>
      <c r="V27" s="145" t="str">
        <f t="shared" si="9"/>
        <v>--</v>
      </c>
      <c r="W27" s="146" t="str">
        <f t="shared" si="10"/>
        <v>--</v>
      </c>
      <c r="X27" s="147" t="str">
        <f t="shared" si="11"/>
        <v>--</v>
      </c>
      <c r="Y27" s="148" t="str">
        <f t="shared" si="12"/>
        <v>--</v>
      </c>
      <c r="Z27" s="149" t="str">
        <f t="shared" si="13"/>
        <v>SI</v>
      </c>
      <c r="AA27" s="150">
        <f t="shared" si="14"/>
        <v>14228.620226495359</v>
      </c>
      <c r="AB27" s="151"/>
    </row>
    <row r="28" spans="2:28" s="9" customFormat="1" ht="16.5" customHeight="1">
      <c r="B28" s="42"/>
      <c r="C28" s="124">
        <v>8</v>
      </c>
      <c r="D28" s="124">
        <v>266705</v>
      </c>
      <c r="E28" s="124">
        <v>706</v>
      </c>
      <c r="F28" s="122" t="s">
        <v>70</v>
      </c>
      <c r="G28" s="122">
        <v>220</v>
      </c>
      <c r="H28" s="134">
        <v>171.60000610351562</v>
      </c>
      <c r="I28" s="135">
        <f t="shared" si="0"/>
        <v>654.168531861244</v>
      </c>
      <c r="J28" s="136">
        <v>41572.42916666667</v>
      </c>
      <c r="K28" s="136">
        <v>41572.59722222222</v>
      </c>
      <c r="L28" s="137">
        <f t="shared" si="1"/>
        <v>4.033333333209157</v>
      </c>
      <c r="M28" s="138">
        <f t="shared" si="2"/>
        <v>242</v>
      </c>
      <c r="N28" s="136" t="s">
        <v>66</v>
      </c>
      <c r="O28" s="139" t="s">
        <v>67</v>
      </c>
      <c r="P28" s="141">
        <f t="shared" si="3"/>
        <v>790.889755020244</v>
      </c>
      <c r="Q28" s="142" t="str">
        <f t="shared" si="4"/>
        <v>--</v>
      </c>
      <c r="R28" s="143" t="str">
        <f t="shared" si="5"/>
        <v>--</v>
      </c>
      <c r="S28" s="143" t="str">
        <f t="shared" si="6"/>
        <v>--</v>
      </c>
      <c r="T28" s="144" t="str">
        <f t="shared" si="7"/>
        <v>--</v>
      </c>
      <c r="U28" s="145" t="str">
        <f t="shared" si="8"/>
        <v>--</v>
      </c>
      <c r="V28" s="145" t="str">
        <f t="shared" si="9"/>
        <v>--</v>
      </c>
      <c r="W28" s="146" t="str">
        <f t="shared" si="10"/>
        <v>--</v>
      </c>
      <c r="X28" s="147" t="str">
        <f t="shared" si="11"/>
        <v>--</v>
      </c>
      <c r="Y28" s="148" t="str">
        <f t="shared" si="12"/>
        <v>--</v>
      </c>
      <c r="Z28" s="149" t="str">
        <f t="shared" si="13"/>
        <v>SI</v>
      </c>
      <c r="AA28" s="150">
        <f t="shared" si="14"/>
        <v>790.889755020244</v>
      </c>
      <c r="AB28" s="151"/>
    </row>
    <row r="29" spans="2:28" s="9" customFormat="1" ht="16.5" customHeight="1">
      <c r="B29" s="42"/>
      <c r="C29" s="124">
        <v>9</v>
      </c>
      <c r="D29" s="124">
        <v>266878</v>
      </c>
      <c r="E29" s="124">
        <v>699</v>
      </c>
      <c r="F29" s="122" t="s">
        <v>73</v>
      </c>
      <c r="G29" s="122">
        <v>132</v>
      </c>
      <c r="H29" s="134">
        <v>41.95000076293945</v>
      </c>
      <c r="I29" s="135">
        <f t="shared" si="0"/>
        <v>152.81378477920532</v>
      </c>
      <c r="J29" s="136">
        <v>41576.4</v>
      </c>
      <c r="K29" s="136">
        <v>41576.69930555556</v>
      </c>
      <c r="L29" s="137">
        <f t="shared" si="1"/>
        <v>7.183333333348855</v>
      </c>
      <c r="M29" s="138">
        <f t="shared" si="2"/>
        <v>431</v>
      </c>
      <c r="N29" s="136" t="s">
        <v>66</v>
      </c>
      <c r="O29" s="139" t="s">
        <v>67</v>
      </c>
      <c r="P29" s="141">
        <f t="shared" si="3"/>
        <v>329.16089241440824</v>
      </c>
      <c r="Q29" s="142" t="str">
        <f t="shared" si="4"/>
        <v>--</v>
      </c>
      <c r="R29" s="143" t="str">
        <f t="shared" si="5"/>
        <v>--</v>
      </c>
      <c r="S29" s="143" t="str">
        <f t="shared" si="6"/>
        <v>--</v>
      </c>
      <c r="T29" s="144" t="str">
        <f t="shared" si="7"/>
        <v>--</v>
      </c>
      <c r="U29" s="145" t="str">
        <f t="shared" si="8"/>
        <v>--</v>
      </c>
      <c r="V29" s="145" t="str">
        <f t="shared" si="9"/>
        <v>--</v>
      </c>
      <c r="W29" s="146" t="str">
        <f t="shared" si="10"/>
        <v>--</v>
      </c>
      <c r="X29" s="147" t="str">
        <f t="shared" si="11"/>
        <v>--</v>
      </c>
      <c r="Y29" s="148" t="str">
        <f t="shared" si="12"/>
        <v>--</v>
      </c>
      <c r="Z29" s="149" t="str">
        <f t="shared" si="13"/>
        <v>SI</v>
      </c>
      <c r="AA29" s="150">
        <f t="shared" si="14"/>
        <v>329.16089241440824</v>
      </c>
      <c r="AB29" s="151"/>
    </row>
    <row r="30" spans="2:28" s="9" customFormat="1" ht="16.5" customHeight="1">
      <c r="B30" s="42"/>
      <c r="C30" s="124"/>
      <c r="D30" s="124"/>
      <c r="E30" s="124"/>
      <c r="F30" s="122"/>
      <c r="G30" s="122"/>
      <c r="H30" s="134"/>
      <c r="I30" s="135">
        <f t="shared" si="0"/>
        <v>91.069</v>
      </c>
      <c r="J30" s="136"/>
      <c r="K30" s="136"/>
      <c r="L30" s="137">
        <f t="shared" si="1"/>
      </c>
      <c r="M30" s="138">
        <f t="shared" si="2"/>
      </c>
      <c r="N30" s="136"/>
      <c r="O30" s="140">
        <f aca="true" t="shared" si="15" ref="O30:O40">IF(F30="","","--")</f>
      </c>
      <c r="P30" s="141" t="str">
        <f t="shared" si="3"/>
        <v>--</v>
      </c>
      <c r="Q30" s="142" t="str">
        <f t="shared" si="4"/>
        <v>--</v>
      </c>
      <c r="R30" s="143" t="str">
        <f t="shared" si="5"/>
        <v>--</v>
      </c>
      <c r="S30" s="143" t="str">
        <f t="shared" si="6"/>
        <v>--</v>
      </c>
      <c r="T30" s="144" t="str">
        <f t="shared" si="7"/>
        <v>--</v>
      </c>
      <c r="U30" s="145" t="str">
        <f t="shared" si="8"/>
        <v>--</v>
      </c>
      <c r="V30" s="145" t="str">
        <f t="shared" si="9"/>
        <v>--</v>
      </c>
      <c r="W30" s="146" t="str">
        <f t="shared" si="10"/>
        <v>--</v>
      </c>
      <c r="X30" s="147" t="str">
        <f t="shared" si="11"/>
        <v>--</v>
      </c>
      <c r="Y30" s="148" t="str">
        <f t="shared" si="12"/>
        <v>--</v>
      </c>
      <c r="Z30" s="149">
        <f t="shared" si="13"/>
      </c>
      <c r="AA30" s="150">
        <f t="shared" si="14"/>
      </c>
      <c r="AB30" s="151"/>
    </row>
    <row r="31" spans="2:28" s="9" customFormat="1" ht="16.5" customHeight="1">
      <c r="B31" s="42"/>
      <c r="C31" s="124"/>
      <c r="D31" s="124"/>
      <c r="E31" s="124"/>
      <c r="F31" s="122"/>
      <c r="G31" s="122"/>
      <c r="H31" s="134"/>
      <c r="I31" s="135">
        <f t="shared" si="0"/>
        <v>91.069</v>
      </c>
      <c r="J31" s="136"/>
      <c r="K31" s="136"/>
      <c r="L31" s="137">
        <f t="shared" si="1"/>
      </c>
      <c r="M31" s="138">
        <f t="shared" si="2"/>
      </c>
      <c r="N31" s="136"/>
      <c r="O31" s="140">
        <f t="shared" si="15"/>
      </c>
      <c r="P31" s="141" t="str">
        <f t="shared" si="3"/>
        <v>--</v>
      </c>
      <c r="Q31" s="142" t="str">
        <f t="shared" si="4"/>
        <v>--</v>
      </c>
      <c r="R31" s="143" t="str">
        <f t="shared" si="5"/>
        <v>--</v>
      </c>
      <c r="S31" s="143" t="str">
        <f t="shared" si="6"/>
        <v>--</v>
      </c>
      <c r="T31" s="144" t="str">
        <f t="shared" si="7"/>
        <v>--</v>
      </c>
      <c r="U31" s="145" t="str">
        <f t="shared" si="8"/>
        <v>--</v>
      </c>
      <c r="V31" s="145" t="str">
        <f t="shared" si="9"/>
        <v>--</v>
      </c>
      <c r="W31" s="146" t="str">
        <f t="shared" si="10"/>
        <v>--</v>
      </c>
      <c r="X31" s="147" t="str">
        <f t="shared" si="11"/>
        <v>--</v>
      </c>
      <c r="Y31" s="148" t="str">
        <f t="shared" si="12"/>
        <v>--</v>
      </c>
      <c r="Z31" s="149">
        <f t="shared" si="13"/>
      </c>
      <c r="AA31" s="150">
        <f t="shared" si="14"/>
      </c>
      <c r="AB31" s="151"/>
    </row>
    <row r="32" spans="2:28" s="9" customFormat="1" ht="16.5" customHeight="1">
      <c r="B32" s="42"/>
      <c r="C32" s="124"/>
      <c r="D32" s="124"/>
      <c r="E32" s="124"/>
      <c r="F32" s="122"/>
      <c r="G32" s="122"/>
      <c r="H32" s="134"/>
      <c r="I32" s="135">
        <f t="shared" si="0"/>
        <v>91.069</v>
      </c>
      <c r="J32" s="136"/>
      <c r="K32" s="136"/>
      <c r="L32" s="137">
        <f t="shared" si="1"/>
      </c>
      <c r="M32" s="138">
        <f t="shared" si="2"/>
      </c>
      <c r="N32" s="136"/>
      <c r="O32" s="140">
        <f t="shared" si="15"/>
      </c>
      <c r="P32" s="141" t="str">
        <f t="shared" si="3"/>
        <v>--</v>
      </c>
      <c r="Q32" s="142" t="str">
        <f t="shared" si="4"/>
        <v>--</v>
      </c>
      <c r="R32" s="143" t="str">
        <f t="shared" si="5"/>
        <v>--</v>
      </c>
      <c r="S32" s="143" t="str">
        <f t="shared" si="6"/>
        <v>--</v>
      </c>
      <c r="T32" s="144" t="str">
        <f t="shared" si="7"/>
        <v>--</v>
      </c>
      <c r="U32" s="145" t="str">
        <f t="shared" si="8"/>
        <v>--</v>
      </c>
      <c r="V32" s="145" t="str">
        <f t="shared" si="9"/>
        <v>--</v>
      </c>
      <c r="W32" s="146" t="str">
        <f t="shared" si="10"/>
        <v>--</v>
      </c>
      <c r="X32" s="147" t="str">
        <f t="shared" si="11"/>
        <v>--</v>
      </c>
      <c r="Y32" s="148" t="str">
        <f t="shared" si="12"/>
        <v>--</v>
      </c>
      <c r="Z32" s="149">
        <f t="shared" si="13"/>
      </c>
      <c r="AA32" s="150">
        <f t="shared" si="14"/>
      </c>
      <c r="AB32" s="151"/>
    </row>
    <row r="33" spans="2:28" s="9" customFormat="1" ht="16.5" customHeight="1">
      <c r="B33" s="42"/>
      <c r="C33" s="124"/>
      <c r="D33" s="124"/>
      <c r="E33" s="124"/>
      <c r="F33" s="122"/>
      <c r="G33" s="122"/>
      <c r="H33" s="134"/>
      <c r="I33" s="135">
        <f t="shared" si="0"/>
        <v>91.069</v>
      </c>
      <c r="J33" s="136"/>
      <c r="K33" s="136"/>
      <c r="L33" s="137">
        <f t="shared" si="1"/>
      </c>
      <c r="M33" s="138">
        <f t="shared" si="2"/>
      </c>
      <c r="N33" s="136"/>
      <c r="O33" s="140">
        <f t="shared" si="15"/>
      </c>
      <c r="P33" s="141" t="str">
        <f t="shared" si="3"/>
        <v>--</v>
      </c>
      <c r="Q33" s="142" t="str">
        <f t="shared" si="4"/>
        <v>--</v>
      </c>
      <c r="R33" s="143" t="str">
        <f t="shared" si="5"/>
        <v>--</v>
      </c>
      <c r="S33" s="143" t="str">
        <f t="shared" si="6"/>
        <v>--</v>
      </c>
      <c r="T33" s="144" t="str">
        <f t="shared" si="7"/>
        <v>--</v>
      </c>
      <c r="U33" s="145" t="str">
        <f t="shared" si="8"/>
        <v>--</v>
      </c>
      <c r="V33" s="145" t="str">
        <f t="shared" si="9"/>
        <v>--</v>
      </c>
      <c r="W33" s="146" t="str">
        <f t="shared" si="10"/>
        <v>--</v>
      </c>
      <c r="X33" s="147" t="str">
        <f t="shared" si="11"/>
        <v>--</v>
      </c>
      <c r="Y33" s="148" t="str">
        <f t="shared" si="12"/>
        <v>--</v>
      </c>
      <c r="Z33" s="149">
        <f t="shared" si="13"/>
      </c>
      <c r="AA33" s="150">
        <f t="shared" si="14"/>
      </c>
      <c r="AB33" s="151"/>
    </row>
    <row r="34" spans="2:28" s="9" customFormat="1" ht="16.5" customHeight="1">
      <c r="B34" s="152"/>
      <c r="C34" s="124"/>
      <c r="D34" s="124"/>
      <c r="E34" s="124"/>
      <c r="F34" s="122"/>
      <c r="G34" s="122"/>
      <c r="H34" s="134"/>
      <c r="I34" s="135">
        <f t="shared" si="0"/>
        <v>91.069</v>
      </c>
      <c r="J34" s="136"/>
      <c r="K34" s="136"/>
      <c r="L34" s="137">
        <f t="shared" si="1"/>
      </c>
      <c r="M34" s="138">
        <f t="shared" si="2"/>
      </c>
      <c r="N34" s="136"/>
      <c r="O34" s="140">
        <f t="shared" si="15"/>
      </c>
      <c r="P34" s="141" t="str">
        <f t="shared" si="3"/>
        <v>--</v>
      </c>
      <c r="Q34" s="142" t="str">
        <f t="shared" si="4"/>
        <v>--</v>
      </c>
      <c r="R34" s="143" t="str">
        <f t="shared" si="5"/>
        <v>--</v>
      </c>
      <c r="S34" s="143" t="str">
        <f t="shared" si="6"/>
        <v>--</v>
      </c>
      <c r="T34" s="144" t="str">
        <f t="shared" si="7"/>
        <v>--</v>
      </c>
      <c r="U34" s="145" t="str">
        <f t="shared" si="8"/>
        <v>--</v>
      </c>
      <c r="V34" s="145" t="str">
        <f t="shared" si="9"/>
        <v>--</v>
      </c>
      <c r="W34" s="146" t="str">
        <f t="shared" si="10"/>
        <v>--</v>
      </c>
      <c r="X34" s="147" t="str">
        <f t="shared" si="11"/>
        <v>--</v>
      </c>
      <c r="Y34" s="148" t="str">
        <f t="shared" si="12"/>
        <v>--</v>
      </c>
      <c r="Z34" s="149">
        <f t="shared" si="13"/>
      </c>
      <c r="AA34" s="150">
        <f t="shared" si="14"/>
      </c>
      <c r="AB34" s="151"/>
    </row>
    <row r="35" spans="2:28" s="9" customFormat="1" ht="16.5" customHeight="1">
      <c r="B35" s="152"/>
      <c r="C35" s="124"/>
      <c r="D35" s="124"/>
      <c r="E35" s="124"/>
      <c r="F35" s="122"/>
      <c r="G35" s="122"/>
      <c r="H35" s="134"/>
      <c r="I35" s="135">
        <f t="shared" si="0"/>
        <v>91.069</v>
      </c>
      <c r="J35" s="136"/>
      <c r="K35" s="136"/>
      <c r="L35" s="137">
        <f t="shared" si="1"/>
      </c>
      <c r="M35" s="138">
        <f t="shared" si="2"/>
      </c>
      <c r="N35" s="136"/>
      <c r="O35" s="140">
        <f t="shared" si="15"/>
      </c>
      <c r="P35" s="141" t="str">
        <f t="shared" si="3"/>
        <v>--</v>
      </c>
      <c r="Q35" s="142" t="str">
        <f t="shared" si="4"/>
        <v>--</v>
      </c>
      <c r="R35" s="143" t="str">
        <f t="shared" si="5"/>
        <v>--</v>
      </c>
      <c r="S35" s="143" t="str">
        <f t="shared" si="6"/>
        <v>--</v>
      </c>
      <c r="T35" s="144" t="str">
        <f t="shared" si="7"/>
        <v>--</v>
      </c>
      <c r="U35" s="145" t="str">
        <f t="shared" si="8"/>
        <v>--</v>
      </c>
      <c r="V35" s="145" t="str">
        <f t="shared" si="9"/>
        <v>--</v>
      </c>
      <c r="W35" s="146" t="str">
        <f t="shared" si="10"/>
        <v>--</v>
      </c>
      <c r="X35" s="147" t="str">
        <f t="shared" si="11"/>
        <v>--</v>
      </c>
      <c r="Y35" s="148" t="str">
        <f t="shared" si="12"/>
        <v>--</v>
      </c>
      <c r="Z35" s="149">
        <f t="shared" si="13"/>
      </c>
      <c r="AA35" s="150">
        <f t="shared" si="14"/>
      </c>
      <c r="AB35" s="151"/>
    </row>
    <row r="36" spans="2:28" s="9" customFormat="1" ht="16.5" customHeight="1">
      <c r="B36" s="152"/>
      <c r="C36" s="124"/>
      <c r="D36" s="124"/>
      <c r="E36" s="124"/>
      <c r="F36" s="122"/>
      <c r="G36" s="122"/>
      <c r="H36" s="134"/>
      <c r="I36" s="135">
        <f t="shared" si="0"/>
        <v>91.069</v>
      </c>
      <c r="J36" s="136"/>
      <c r="K36" s="136"/>
      <c r="L36" s="137">
        <f t="shared" si="1"/>
      </c>
      <c r="M36" s="138">
        <f t="shared" si="2"/>
      </c>
      <c r="N36" s="136"/>
      <c r="O36" s="140">
        <f t="shared" si="15"/>
      </c>
      <c r="P36" s="141" t="str">
        <f t="shared" si="3"/>
        <v>--</v>
      </c>
      <c r="Q36" s="142" t="str">
        <f t="shared" si="4"/>
        <v>--</v>
      </c>
      <c r="R36" s="143" t="str">
        <f t="shared" si="5"/>
        <v>--</v>
      </c>
      <c r="S36" s="143" t="str">
        <f t="shared" si="6"/>
        <v>--</v>
      </c>
      <c r="T36" s="144" t="str">
        <f t="shared" si="7"/>
        <v>--</v>
      </c>
      <c r="U36" s="145" t="str">
        <f t="shared" si="8"/>
        <v>--</v>
      </c>
      <c r="V36" s="145" t="str">
        <f t="shared" si="9"/>
        <v>--</v>
      </c>
      <c r="W36" s="146" t="str">
        <f t="shared" si="10"/>
        <v>--</v>
      </c>
      <c r="X36" s="147" t="str">
        <f t="shared" si="11"/>
        <v>--</v>
      </c>
      <c r="Y36" s="148" t="str">
        <f t="shared" si="12"/>
        <v>--</v>
      </c>
      <c r="Z36" s="149">
        <f t="shared" si="13"/>
      </c>
      <c r="AA36" s="150">
        <f t="shared" si="14"/>
      </c>
      <c r="AB36" s="151"/>
    </row>
    <row r="37" spans="2:28" s="9" customFormat="1" ht="16.5" customHeight="1">
      <c r="B37" s="152"/>
      <c r="C37" s="124"/>
      <c r="D37" s="124"/>
      <c r="E37" s="124"/>
      <c r="F37" s="122"/>
      <c r="G37" s="122"/>
      <c r="H37" s="134"/>
      <c r="I37" s="135">
        <f t="shared" si="0"/>
        <v>91.069</v>
      </c>
      <c r="J37" s="136"/>
      <c r="K37" s="136"/>
      <c r="L37" s="137">
        <f t="shared" si="1"/>
      </c>
      <c r="M37" s="138">
        <f t="shared" si="2"/>
      </c>
      <c r="N37" s="136"/>
      <c r="O37" s="140">
        <f t="shared" si="15"/>
      </c>
      <c r="P37" s="141" t="str">
        <f t="shared" si="3"/>
        <v>--</v>
      </c>
      <c r="Q37" s="142" t="str">
        <f t="shared" si="4"/>
        <v>--</v>
      </c>
      <c r="R37" s="143" t="str">
        <f t="shared" si="5"/>
        <v>--</v>
      </c>
      <c r="S37" s="143" t="str">
        <f t="shared" si="6"/>
        <v>--</v>
      </c>
      <c r="T37" s="144" t="str">
        <f t="shared" si="7"/>
        <v>--</v>
      </c>
      <c r="U37" s="145" t="str">
        <f t="shared" si="8"/>
        <v>--</v>
      </c>
      <c r="V37" s="145" t="str">
        <f t="shared" si="9"/>
        <v>--</v>
      </c>
      <c r="W37" s="146" t="str">
        <f t="shared" si="10"/>
        <v>--</v>
      </c>
      <c r="X37" s="147" t="str">
        <f t="shared" si="11"/>
        <v>--</v>
      </c>
      <c r="Y37" s="148" t="str">
        <f t="shared" si="12"/>
        <v>--</v>
      </c>
      <c r="Z37" s="149">
        <f t="shared" si="13"/>
      </c>
      <c r="AA37" s="150">
        <f t="shared" si="14"/>
      </c>
      <c r="AB37" s="151"/>
    </row>
    <row r="38" spans="2:28" s="9" customFormat="1" ht="16.5" customHeight="1">
      <c r="B38" s="152"/>
      <c r="C38" s="124"/>
      <c r="D38" s="124"/>
      <c r="E38" s="124"/>
      <c r="F38" s="122"/>
      <c r="G38" s="122"/>
      <c r="H38" s="134"/>
      <c r="I38" s="135">
        <f t="shared" si="0"/>
        <v>91.069</v>
      </c>
      <c r="J38" s="136"/>
      <c r="K38" s="136"/>
      <c r="L38" s="137">
        <f t="shared" si="1"/>
      </c>
      <c r="M38" s="138">
        <f t="shared" si="2"/>
      </c>
      <c r="N38" s="136"/>
      <c r="O38" s="140">
        <f t="shared" si="15"/>
      </c>
      <c r="P38" s="141" t="str">
        <f t="shared" si="3"/>
        <v>--</v>
      </c>
      <c r="Q38" s="142" t="str">
        <f t="shared" si="4"/>
        <v>--</v>
      </c>
      <c r="R38" s="143" t="str">
        <f t="shared" si="5"/>
        <v>--</v>
      </c>
      <c r="S38" s="143" t="str">
        <f t="shared" si="6"/>
        <v>--</v>
      </c>
      <c r="T38" s="144" t="str">
        <f t="shared" si="7"/>
        <v>--</v>
      </c>
      <c r="U38" s="145" t="str">
        <f t="shared" si="8"/>
        <v>--</v>
      </c>
      <c r="V38" s="145" t="str">
        <f t="shared" si="9"/>
        <v>--</v>
      </c>
      <c r="W38" s="146" t="str">
        <f t="shared" si="10"/>
        <v>--</v>
      </c>
      <c r="X38" s="147" t="str">
        <f t="shared" si="11"/>
        <v>--</v>
      </c>
      <c r="Y38" s="148" t="str">
        <f t="shared" si="12"/>
        <v>--</v>
      </c>
      <c r="Z38" s="149">
        <f t="shared" si="13"/>
      </c>
      <c r="AA38" s="150">
        <f t="shared" si="14"/>
      </c>
      <c r="AB38" s="151"/>
    </row>
    <row r="39" spans="2:28" s="9" customFormat="1" ht="16.5" customHeight="1">
      <c r="B39" s="152"/>
      <c r="C39" s="124"/>
      <c r="D39" s="124"/>
      <c r="E39" s="124"/>
      <c r="F39" s="122"/>
      <c r="G39" s="122"/>
      <c r="H39" s="134"/>
      <c r="I39" s="135">
        <f t="shared" si="0"/>
        <v>91.069</v>
      </c>
      <c r="J39" s="136"/>
      <c r="K39" s="136"/>
      <c r="L39" s="137">
        <f t="shared" si="1"/>
      </c>
      <c r="M39" s="138">
        <f t="shared" si="2"/>
      </c>
      <c r="N39" s="136"/>
      <c r="O39" s="140">
        <f t="shared" si="15"/>
      </c>
      <c r="P39" s="141" t="str">
        <f t="shared" si="3"/>
        <v>--</v>
      </c>
      <c r="Q39" s="142" t="str">
        <f t="shared" si="4"/>
        <v>--</v>
      </c>
      <c r="R39" s="143" t="str">
        <f t="shared" si="5"/>
        <v>--</v>
      </c>
      <c r="S39" s="143" t="str">
        <f t="shared" si="6"/>
        <v>--</v>
      </c>
      <c r="T39" s="144" t="str">
        <f t="shared" si="7"/>
        <v>--</v>
      </c>
      <c r="U39" s="145" t="str">
        <f t="shared" si="8"/>
        <v>--</v>
      </c>
      <c r="V39" s="145" t="str">
        <f t="shared" si="9"/>
        <v>--</v>
      </c>
      <c r="W39" s="146" t="str">
        <f t="shared" si="10"/>
        <v>--</v>
      </c>
      <c r="X39" s="147" t="str">
        <f t="shared" si="11"/>
        <v>--</v>
      </c>
      <c r="Y39" s="148" t="str">
        <f t="shared" si="12"/>
        <v>--</v>
      </c>
      <c r="Z39" s="149">
        <f t="shared" si="13"/>
      </c>
      <c r="AA39" s="150">
        <f t="shared" si="14"/>
      </c>
      <c r="AB39" s="151"/>
    </row>
    <row r="40" spans="2:28" s="9" customFormat="1" ht="16.5" customHeight="1">
      <c r="B40" s="152"/>
      <c r="C40" s="124"/>
      <c r="D40" s="124"/>
      <c r="E40" s="124"/>
      <c r="F40" s="122"/>
      <c r="G40" s="122"/>
      <c r="H40" s="134"/>
      <c r="I40" s="135">
        <f t="shared" si="0"/>
        <v>91.069</v>
      </c>
      <c r="J40" s="136"/>
      <c r="K40" s="136"/>
      <c r="L40" s="137">
        <f t="shared" si="1"/>
      </c>
      <c r="M40" s="138">
        <f t="shared" si="2"/>
      </c>
      <c r="N40" s="136"/>
      <c r="O40" s="140">
        <f t="shared" si="15"/>
      </c>
      <c r="P40" s="141" t="str">
        <f t="shared" si="3"/>
        <v>--</v>
      </c>
      <c r="Q40" s="142" t="str">
        <f t="shared" si="4"/>
        <v>--</v>
      </c>
      <c r="R40" s="143" t="str">
        <f t="shared" si="5"/>
        <v>--</v>
      </c>
      <c r="S40" s="143" t="str">
        <f t="shared" si="6"/>
        <v>--</v>
      </c>
      <c r="T40" s="144" t="str">
        <f t="shared" si="7"/>
        <v>--</v>
      </c>
      <c r="U40" s="145" t="str">
        <f t="shared" si="8"/>
        <v>--</v>
      </c>
      <c r="V40" s="145" t="str">
        <f t="shared" si="9"/>
        <v>--</v>
      </c>
      <c r="W40" s="146" t="str">
        <f t="shared" si="10"/>
        <v>--</v>
      </c>
      <c r="X40" s="147" t="str">
        <f t="shared" si="11"/>
        <v>--</v>
      </c>
      <c r="Y40" s="148" t="str">
        <f t="shared" si="12"/>
        <v>--</v>
      </c>
      <c r="Z40" s="149">
        <f t="shared" si="13"/>
      </c>
      <c r="AA40" s="150">
        <f t="shared" si="14"/>
      </c>
      <c r="AB40" s="151"/>
    </row>
    <row r="41" spans="2:28" s="9" customFormat="1" ht="16.5" customHeight="1" thickBot="1">
      <c r="B41" s="42"/>
      <c r="C41" s="153"/>
      <c r="D41" s="153"/>
      <c r="E41" s="153"/>
      <c r="F41" s="154"/>
      <c r="G41" s="155"/>
      <c r="H41" s="156"/>
      <c r="I41" s="157"/>
      <c r="J41" s="156"/>
      <c r="K41" s="156"/>
      <c r="L41" s="156"/>
      <c r="M41" s="156"/>
      <c r="N41" s="156"/>
      <c r="O41" s="158"/>
      <c r="P41" s="159"/>
      <c r="Q41" s="160"/>
      <c r="R41" s="161"/>
      <c r="S41" s="162"/>
      <c r="T41" s="162"/>
      <c r="U41" s="163"/>
      <c r="V41" s="163"/>
      <c r="W41" s="163"/>
      <c r="X41" s="164"/>
      <c r="Y41" s="165"/>
      <c r="Z41" s="166"/>
      <c r="AA41" s="167"/>
      <c r="AB41" s="151"/>
    </row>
    <row r="42" spans="2:28" s="9" customFormat="1" ht="16.5" customHeight="1" thickBot="1" thickTop="1">
      <c r="B42" s="42"/>
      <c r="C42" s="168" t="s">
        <v>61</v>
      </c>
      <c r="D42" s="398" t="s">
        <v>83</v>
      </c>
      <c r="E42" s="183"/>
      <c r="F42" s="169"/>
      <c r="G42" s="3"/>
      <c r="H42" s="5"/>
      <c r="I42" s="170"/>
      <c r="J42" s="170"/>
      <c r="K42" s="170"/>
      <c r="L42" s="170"/>
      <c r="M42" s="170"/>
      <c r="N42" s="170"/>
      <c r="O42" s="171"/>
      <c r="P42" s="172">
        <f aca="true" t="shared" si="16" ref="P42:Y42">SUM(P19:P41)</f>
        <v>2991.4089947699176</v>
      </c>
      <c r="Q42" s="173">
        <f t="shared" si="16"/>
        <v>0</v>
      </c>
      <c r="R42" s="174">
        <f t="shared" si="16"/>
        <v>33853.67618233268</v>
      </c>
      <c r="S42" s="174">
        <f t="shared" si="16"/>
        <v>40231.36470946651</v>
      </c>
      <c r="T42" s="174">
        <f t="shared" si="16"/>
        <v>0</v>
      </c>
      <c r="U42" s="175">
        <f t="shared" si="16"/>
        <v>0</v>
      </c>
      <c r="V42" s="175">
        <f t="shared" si="16"/>
        <v>0</v>
      </c>
      <c r="W42" s="175">
        <f t="shared" si="16"/>
        <v>0</v>
      </c>
      <c r="X42" s="176">
        <f t="shared" si="16"/>
        <v>0</v>
      </c>
      <c r="Y42" s="177">
        <f t="shared" si="16"/>
        <v>0</v>
      </c>
      <c r="Z42" s="178"/>
      <c r="AA42" s="179">
        <f>ROUND(SUM(AA19:AA41),2)</f>
        <v>77076.45</v>
      </c>
      <c r="AB42" s="180"/>
    </row>
    <row r="43" spans="2:28" s="181" customFormat="1" ht="9.75" thickTop="1">
      <c r="B43" s="182"/>
      <c r="C43" s="183"/>
      <c r="D43" s="183"/>
      <c r="E43" s="183"/>
      <c r="F43" s="184"/>
      <c r="G43" s="185"/>
      <c r="H43" s="186"/>
      <c r="I43" s="187"/>
      <c r="J43" s="187"/>
      <c r="K43" s="187"/>
      <c r="L43" s="187"/>
      <c r="M43" s="187"/>
      <c r="N43" s="187"/>
      <c r="O43" s="188"/>
      <c r="P43" s="189"/>
      <c r="Q43" s="189"/>
      <c r="R43" s="190"/>
      <c r="S43" s="190"/>
      <c r="T43" s="191"/>
      <c r="U43" s="191"/>
      <c r="V43" s="191"/>
      <c r="W43" s="191"/>
      <c r="X43" s="191"/>
      <c r="Y43" s="191"/>
      <c r="Z43" s="191"/>
      <c r="AA43" s="192"/>
      <c r="AB43" s="193"/>
    </row>
    <row r="44" spans="2:28" s="9" customFormat="1" ht="16.5" customHeight="1" thickBot="1">
      <c r="B44" s="194"/>
      <c r="C44" s="195"/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  <c r="AB44" s="196"/>
    </row>
    <row r="45" spans="2:28" ht="13.5" thickTop="1">
      <c r="B45" s="197"/>
      <c r="AB45" s="197"/>
    </row>
    <row r="90" ht="12.75">
      <c r="B90" s="197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4" r:id="rId3"/>
  <headerFooter alignWithMargins="0">
    <oddFooter>&amp;L&amp;"Times New Roman,Normal"&amp;8&amp;Z&amp;F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AD45"/>
  <sheetViews>
    <sheetView zoomScale="70" zoomScaleNormal="70" zoomScalePageLayoutView="0" workbookViewId="0" topLeftCell="A1">
      <selection activeCell="C22" sqref="C22:AC31"/>
    </sheetView>
  </sheetViews>
  <sheetFormatPr defaultColWidth="11.421875" defaultRowHeight="12.75"/>
  <cols>
    <col min="1" max="1" width="17.57421875" style="1" customWidth="1"/>
    <col min="2" max="2" width="4.140625" style="1" customWidth="1"/>
    <col min="3" max="3" width="5.57421875" style="1" customWidth="1"/>
    <col min="4" max="5" width="13.57421875" style="1" customWidth="1"/>
    <col min="6" max="6" width="30.7109375" style="1" customWidth="1"/>
    <col min="7" max="7" width="25.7109375" style="1" customWidth="1"/>
    <col min="8" max="8" width="7.28125" style="1" customWidth="1"/>
    <col min="9" max="9" width="11.421875" style="1" bestFit="1" customWidth="1"/>
    <col min="10" max="10" width="8.8515625" style="1" hidden="1" customWidth="1"/>
    <col min="11" max="12" width="15.7109375" style="1" customWidth="1"/>
    <col min="13" max="15" width="9.7109375" style="1" customWidth="1"/>
    <col min="16" max="18" width="7.7109375" style="1" customWidth="1"/>
    <col min="19" max="19" width="13.28125" style="1" hidden="1" customWidth="1"/>
    <col min="20" max="21" width="14.57421875" style="1" hidden="1" customWidth="1"/>
    <col min="22" max="22" width="16.28125" style="1" hidden="1" customWidth="1"/>
    <col min="23" max="23" width="16.8515625" style="1" hidden="1" customWidth="1"/>
    <col min="24" max="24" width="16.28125" style="1" hidden="1" customWidth="1"/>
    <col min="25" max="27" width="16.8515625" style="1" hidden="1" customWidth="1"/>
    <col min="28" max="28" width="9.7109375" style="1" customWidth="1"/>
    <col min="29" max="29" width="15.7109375" style="1" customWidth="1"/>
    <col min="30" max="30" width="4.140625" style="1" customWidth="1"/>
    <col min="31" max="16384" width="11.421875" style="1" customWidth="1"/>
  </cols>
  <sheetData>
    <row r="1" spans="2:30" s="6" customFormat="1" ht="32.25" customHeight="1"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390"/>
    </row>
    <row r="2" spans="2:30" s="6" customFormat="1" ht="26.25">
      <c r="B2" s="66" t="str">
        <f>'TOT-1013'!B2</f>
        <v>ANEXO V al Memorándum  D.T.E.E.  N°             / 2014</v>
      </c>
      <c r="C2" s="199"/>
      <c r="D2" s="199"/>
      <c r="E2" s="199"/>
      <c r="F2" s="199"/>
      <c r="G2" s="8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</row>
    <row r="3" spans="2:30" s="9" customFormat="1" ht="12" customHeight="1">
      <c r="B3" s="67"/>
      <c r="C3" s="200"/>
      <c r="D3" s="200"/>
      <c r="E3" s="200"/>
      <c r="F3" s="200"/>
      <c r="G3" s="1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</row>
    <row r="4" spans="1:30" s="12" customFormat="1" ht="11.25">
      <c r="A4" s="201" t="s">
        <v>3</v>
      </c>
      <c r="B4" s="202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</row>
    <row r="5" spans="1:30" s="12" customFormat="1" ht="11.25">
      <c r="A5" s="201" t="s">
        <v>4</v>
      </c>
      <c r="B5" s="202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</row>
    <row r="6" spans="2:30" s="9" customFormat="1" ht="16.5" customHeight="1" thickBot="1"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</row>
    <row r="7" spans="2:30" s="9" customFormat="1" ht="16.5" customHeight="1" thickTop="1">
      <c r="B7" s="205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7"/>
    </row>
    <row r="8" spans="2:30" s="72" customFormat="1" ht="20.25">
      <c r="B8" s="208"/>
      <c r="C8" s="209"/>
      <c r="D8" s="209"/>
      <c r="E8" s="209"/>
      <c r="F8" s="210" t="s">
        <v>14</v>
      </c>
      <c r="H8" s="209"/>
      <c r="I8" s="211"/>
      <c r="J8" s="211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  <c r="AA8" s="209"/>
      <c r="AB8" s="209"/>
      <c r="AC8" s="209"/>
      <c r="AD8" s="212"/>
    </row>
    <row r="9" spans="2:30" s="9" customFormat="1" ht="16.5" customHeight="1">
      <c r="B9" s="213"/>
      <c r="C9" s="62"/>
      <c r="D9" s="62"/>
      <c r="E9" s="62"/>
      <c r="F9" s="62"/>
      <c r="G9" s="62"/>
      <c r="H9" s="62"/>
      <c r="I9" s="204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214"/>
    </row>
    <row r="10" spans="2:30" s="72" customFormat="1" ht="20.25">
      <c r="B10" s="208"/>
      <c r="C10" s="209"/>
      <c r="D10" s="209"/>
      <c r="E10" s="209"/>
      <c r="F10" s="210" t="s">
        <v>37</v>
      </c>
      <c r="G10" s="209"/>
      <c r="H10" s="209"/>
      <c r="I10" s="211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12"/>
    </row>
    <row r="11" spans="2:30" s="9" customFormat="1" ht="16.5" customHeight="1">
      <c r="B11" s="213"/>
      <c r="C11" s="62"/>
      <c r="D11" s="62"/>
      <c r="E11" s="62"/>
      <c r="F11" s="215"/>
      <c r="G11" s="62"/>
      <c r="H11" s="62"/>
      <c r="I11" s="204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214"/>
    </row>
    <row r="12" spans="2:30" s="72" customFormat="1" ht="20.25">
      <c r="B12" s="208"/>
      <c r="C12" s="209"/>
      <c r="D12" s="209"/>
      <c r="E12" s="209"/>
      <c r="F12" s="216" t="s">
        <v>38</v>
      </c>
      <c r="G12" s="210"/>
      <c r="H12" s="211"/>
      <c r="I12" s="211"/>
      <c r="J12" s="217"/>
      <c r="K12" s="209"/>
      <c r="L12" s="211"/>
      <c r="M12" s="211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209"/>
      <c r="AB12" s="209"/>
      <c r="AC12" s="209"/>
      <c r="AD12" s="212"/>
    </row>
    <row r="13" spans="2:30" s="9" customFormat="1" ht="16.5" customHeight="1">
      <c r="B13" s="213"/>
      <c r="C13" s="62"/>
      <c r="D13" s="62"/>
      <c r="E13" s="62"/>
      <c r="F13" s="218"/>
      <c r="G13" s="218"/>
      <c r="H13" s="218"/>
      <c r="I13" s="219"/>
      <c r="J13" s="220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214"/>
    </row>
    <row r="14" spans="2:30" s="16" customFormat="1" ht="19.5">
      <c r="B14" s="221" t="str">
        <f>+'TOT-1013'!B14</f>
        <v>Desde el 01 al 31 de octubre de 2013</v>
      </c>
      <c r="C14" s="78"/>
      <c r="D14" s="78"/>
      <c r="E14" s="78"/>
      <c r="F14" s="222"/>
      <c r="G14" s="222"/>
      <c r="H14" s="222"/>
      <c r="I14" s="222"/>
      <c r="J14" s="222"/>
      <c r="K14" s="79"/>
      <c r="L14" s="79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3"/>
    </row>
    <row r="15" spans="2:30" s="9" customFormat="1" ht="16.5" customHeight="1" thickBot="1">
      <c r="B15" s="213"/>
      <c r="C15" s="62"/>
      <c r="D15" s="62"/>
      <c r="E15" s="62"/>
      <c r="F15" s="62"/>
      <c r="G15" s="62"/>
      <c r="H15" s="62"/>
      <c r="I15" s="224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214"/>
    </row>
    <row r="16" spans="2:30" s="9" customFormat="1" ht="16.5" customHeight="1" thickBot="1" thickTop="1">
      <c r="B16" s="213"/>
      <c r="C16" s="62"/>
      <c r="D16" s="62"/>
      <c r="E16" s="62"/>
      <c r="F16" s="225" t="s">
        <v>39</v>
      </c>
      <c r="G16" s="226"/>
      <c r="H16" s="227"/>
      <c r="I16" s="228">
        <v>1.273</v>
      </c>
      <c r="J16" s="204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214"/>
    </row>
    <row r="17" spans="2:30" s="9" customFormat="1" ht="16.5" customHeight="1" thickBot="1" thickTop="1">
      <c r="B17" s="213"/>
      <c r="C17" s="62"/>
      <c r="D17" s="62"/>
      <c r="E17" s="62"/>
      <c r="F17" s="229" t="s">
        <v>40</v>
      </c>
      <c r="G17" s="230"/>
      <c r="H17" s="230"/>
      <c r="I17" s="231">
        <f>30*'TOT-1013'!B13</f>
        <v>30</v>
      </c>
      <c r="J17" s="232" t="str">
        <f>IF(I17=30," ",IF(I17=60,"     Coeficiente duplicado por tasa de falla &gt;4 Sal. x año/100 km.","    REVISAR COEFICIENTE"))</f>
        <v> </v>
      </c>
      <c r="K17" s="232" t="str">
        <f>IF(I17=30," ",IF(I17=60,"    Coeficiente duplicado por tasa de falla &gt;4 Sal. x año/100 km.","    REVISAR COEFICIENTE"))</f>
        <v> </v>
      </c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233"/>
      <c r="X17" s="62"/>
      <c r="Y17" s="233"/>
      <c r="Z17" s="233"/>
      <c r="AA17" s="233"/>
      <c r="AB17" s="233"/>
      <c r="AC17" s="233"/>
      <c r="AD17" s="214"/>
    </row>
    <row r="18" spans="2:30" s="9" customFormat="1" ht="16.5" customHeight="1" thickBot="1" thickTop="1">
      <c r="B18" s="213"/>
      <c r="C18" s="62"/>
      <c r="D18" s="396">
        <v>4</v>
      </c>
      <c r="E18" s="396">
        <v>5</v>
      </c>
      <c r="F18" s="396">
        <v>6</v>
      </c>
      <c r="G18" s="396">
        <v>7</v>
      </c>
      <c r="H18" s="396">
        <v>8</v>
      </c>
      <c r="I18" s="396">
        <v>9</v>
      </c>
      <c r="J18" s="396">
        <v>10</v>
      </c>
      <c r="K18" s="396">
        <v>11</v>
      </c>
      <c r="L18" s="396">
        <v>12</v>
      </c>
      <c r="M18" s="396">
        <v>13</v>
      </c>
      <c r="N18" s="396">
        <v>14</v>
      </c>
      <c r="O18" s="396">
        <v>15</v>
      </c>
      <c r="P18" s="396">
        <v>16</v>
      </c>
      <c r="Q18" s="396">
        <v>17</v>
      </c>
      <c r="R18" s="396">
        <v>18</v>
      </c>
      <c r="S18" s="396">
        <v>19</v>
      </c>
      <c r="T18" s="396">
        <v>20</v>
      </c>
      <c r="U18" s="396">
        <v>21</v>
      </c>
      <c r="V18" s="396">
        <v>22</v>
      </c>
      <c r="W18" s="396">
        <v>23</v>
      </c>
      <c r="X18" s="396">
        <v>24</v>
      </c>
      <c r="Y18" s="396">
        <v>25</v>
      </c>
      <c r="Z18" s="396">
        <v>26</v>
      </c>
      <c r="AA18" s="396">
        <v>27</v>
      </c>
      <c r="AB18" s="396">
        <v>28</v>
      </c>
      <c r="AC18" s="396">
        <v>29</v>
      </c>
      <c r="AD18" s="214"/>
    </row>
    <row r="19" spans="2:30" s="234" customFormat="1" ht="34.5" customHeight="1" thickBot="1" thickTop="1">
      <c r="B19" s="235"/>
      <c r="C19" s="394" t="s">
        <v>20</v>
      </c>
      <c r="D19" s="394" t="s">
        <v>62</v>
      </c>
      <c r="E19" s="394" t="s">
        <v>63</v>
      </c>
      <c r="F19" s="236" t="s">
        <v>41</v>
      </c>
      <c r="G19" s="237" t="s">
        <v>42</v>
      </c>
      <c r="H19" s="238" t="s">
        <v>43</v>
      </c>
      <c r="I19" s="239" t="s">
        <v>21</v>
      </c>
      <c r="J19" s="240" t="s">
        <v>23</v>
      </c>
      <c r="K19" s="237" t="s">
        <v>24</v>
      </c>
      <c r="L19" s="237" t="s">
        <v>25</v>
      </c>
      <c r="M19" s="236" t="s">
        <v>44</v>
      </c>
      <c r="N19" s="236" t="s">
        <v>45</v>
      </c>
      <c r="O19" s="95" t="s">
        <v>60</v>
      </c>
      <c r="P19" s="237" t="s">
        <v>46</v>
      </c>
      <c r="Q19" s="236" t="s">
        <v>28</v>
      </c>
      <c r="R19" s="237" t="s">
        <v>47</v>
      </c>
      <c r="S19" s="241" t="s">
        <v>48</v>
      </c>
      <c r="T19" s="242" t="s">
        <v>29</v>
      </c>
      <c r="U19" s="243" t="s">
        <v>30</v>
      </c>
      <c r="V19" s="244" t="s">
        <v>49</v>
      </c>
      <c r="W19" s="245"/>
      <c r="X19" s="246" t="s">
        <v>50</v>
      </c>
      <c r="Y19" s="247"/>
      <c r="Z19" s="248" t="s">
        <v>33</v>
      </c>
      <c r="AA19" s="249" t="s">
        <v>34</v>
      </c>
      <c r="AB19" s="239" t="s">
        <v>51</v>
      </c>
      <c r="AC19" s="239" t="s">
        <v>36</v>
      </c>
      <c r="AD19" s="250"/>
    </row>
    <row r="20" spans="2:30" s="9" customFormat="1" ht="16.5" customHeight="1" thickTop="1">
      <c r="B20" s="213"/>
      <c r="C20" s="251"/>
      <c r="D20" s="251"/>
      <c r="E20" s="251"/>
      <c r="F20" s="252"/>
      <c r="G20" s="253"/>
      <c r="H20" s="253"/>
      <c r="I20" s="253"/>
      <c r="J20" s="254"/>
      <c r="K20" s="252"/>
      <c r="L20" s="253"/>
      <c r="M20" s="255"/>
      <c r="N20" s="255"/>
      <c r="O20" s="253"/>
      <c r="P20" s="253"/>
      <c r="Q20" s="253"/>
      <c r="R20" s="253"/>
      <c r="S20" s="119"/>
      <c r="T20" s="117"/>
      <c r="U20" s="256"/>
      <c r="V20" s="257"/>
      <c r="W20" s="258"/>
      <c r="X20" s="259"/>
      <c r="Y20" s="260"/>
      <c r="Z20" s="261"/>
      <c r="AA20" s="262"/>
      <c r="AB20" s="253"/>
      <c r="AC20" s="263"/>
      <c r="AD20" s="214"/>
    </row>
    <row r="21" spans="2:30" s="9" customFormat="1" ht="16.5" customHeight="1">
      <c r="B21" s="213"/>
      <c r="C21" s="264"/>
      <c r="D21" s="264"/>
      <c r="E21" s="264"/>
      <c r="F21" s="265"/>
      <c r="G21" s="265"/>
      <c r="H21" s="265"/>
      <c r="I21" s="265"/>
      <c r="J21" s="266"/>
      <c r="K21" s="267"/>
      <c r="L21" s="265"/>
      <c r="M21" s="268"/>
      <c r="N21" s="268"/>
      <c r="O21" s="265"/>
      <c r="P21" s="265"/>
      <c r="Q21" s="265"/>
      <c r="R21" s="265"/>
      <c r="S21" s="132"/>
      <c r="T21" s="130"/>
      <c r="U21" s="269"/>
      <c r="V21" s="270"/>
      <c r="W21" s="271"/>
      <c r="X21" s="272"/>
      <c r="Y21" s="273"/>
      <c r="Z21" s="274"/>
      <c r="AA21" s="275"/>
      <c r="AB21" s="265"/>
      <c r="AC21" s="276"/>
      <c r="AD21" s="214"/>
    </row>
    <row r="22" spans="2:30" s="9" customFormat="1" ht="16.5" customHeight="1">
      <c r="B22" s="213"/>
      <c r="C22" s="264">
        <v>11</v>
      </c>
      <c r="D22" s="264">
        <v>265976</v>
      </c>
      <c r="E22" s="264">
        <v>1013</v>
      </c>
      <c r="F22" s="122" t="s">
        <v>79</v>
      </c>
      <c r="G22" s="124" t="s">
        <v>75</v>
      </c>
      <c r="H22" s="277">
        <v>150</v>
      </c>
      <c r="I22" s="134" t="s">
        <v>76</v>
      </c>
      <c r="J22" s="279">
        <f aca="true" t="shared" si="0" ref="J22:J40">H22*$I$16</f>
        <v>190.95</v>
      </c>
      <c r="K22" s="280">
        <v>41548.361805555556</v>
      </c>
      <c r="L22" s="280">
        <v>41548.680555555555</v>
      </c>
      <c r="M22" s="281">
        <f aca="true" t="shared" si="1" ref="M22:M40">IF(F22="","",(L22-K22)*24)</f>
        <v>7.649999999965075</v>
      </c>
      <c r="N22" s="282">
        <f aca="true" t="shared" si="2" ref="N22:N40">IF(F22="","",ROUND((L22-K22)*24*60,0))</f>
        <v>459</v>
      </c>
      <c r="O22" s="283" t="s">
        <v>66</v>
      </c>
      <c r="P22" s="284" t="str">
        <f aca="true" t="shared" si="3" ref="P22:P40">IF(F22="","",IF(OR(O22="P",O22="RP"),"--","NO"))</f>
        <v>--</v>
      </c>
      <c r="Q22" s="283" t="s">
        <v>67</v>
      </c>
      <c r="R22" s="283" t="str">
        <f aca="true" t="shared" si="4" ref="R22:R40">IF(F22="","","NO")</f>
        <v>NO</v>
      </c>
      <c r="S22" s="148">
        <f aca="true" t="shared" si="5" ref="S22:S40">$I$17*IF(OR(O22="P",O22="RP"),0.1,1)*IF(R22="SI",1,0.1)</f>
        <v>0.30000000000000004</v>
      </c>
      <c r="T22" s="285">
        <f aca="true" t="shared" si="6" ref="T22:T40">IF(O22="P",J22*S22*ROUND(N22/60,2),"--")</f>
        <v>438.23025000000007</v>
      </c>
      <c r="U22" s="286" t="str">
        <f aca="true" t="shared" si="7" ref="U22:U40">IF(O22="RP",J22*S22*ROUND(N22/60,2)*Q22/100,"--")</f>
        <v>--</v>
      </c>
      <c r="V22" s="287" t="str">
        <f aca="true" t="shared" si="8" ref="V22:V40">IF(AND(O22="F",P22="NO"),J22*S22,"--")</f>
        <v>--</v>
      </c>
      <c r="W22" s="288" t="str">
        <f aca="true" t="shared" si="9" ref="W22:W40">IF(O22="F",J22*S22*ROUND(N22/60,2),"--")</f>
        <v>--</v>
      </c>
      <c r="X22" s="289" t="str">
        <f aca="true" t="shared" si="10" ref="X22:X40">IF(AND(O22="R",P22="NO"),J22*S22*Q22/100,"--")</f>
        <v>--</v>
      </c>
      <c r="Y22" s="290" t="str">
        <f aca="true" t="shared" si="11" ref="Y22:Y40">IF(O22="R",J22*S22*ROUND(N22/60,2)*Q22/100,"--")</f>
        <v>--</v>
      </c>
      <c r="Z22" s="291" t="str">
        <f aca="true" t="shared" si="12" ref="Z22:Z40">IF(O22="RF",J22*S22*ROUND(N22/60,2),"--")</f>
        <v>--</v>
      </c>
      <c r="AA22" s="292" t="str">
        <f aca="true" t="shared" si="13" ref="AA22:AA40">IF(O22="RR",J22*S22*ROUND(N22/60,2)*Q22/100,"--")</f>
        <v>--</v>
      </c>
      <c r="AB22" s="283" t="s">
        <v>74</v>
      </c>
      <c r="AC22" s="293">
        <f aca="true" t="shared" si="14" ref="AC22:AC40">IF(F22="","",SUM(T22:AA22)*IF(AB22="SI",1,2))</f>
        <v>438.23025000000007</v>
      </c>
      <c r="AD22" s="294"/>
    </row>
    <row r="23" spans="2:30" s="9" customFormat="1" ht="16.5" customHeight="1">
      <c r="B23" s="213"/>
      <c r="C23" s="264">
        <v>12</v>
      </c>
      <c r="D23" s="264">
        <v>265977</v>
      </c>
      <c r="E23" s="264">
        <v>874</v>
      </c>
      <c r="F23" s="122" t="s">
        <v>77</v>
      </c>
      <c r="G23" s="124" t="s">
        <v>78</v>
      </c>
      <c r="H23" s="277">
        <v>15</v>
      </c>
      <c r="I23" s="399" t="s">
        <v>87</v>
      </c>
      <c r="J23" s="279">
        <f t="shared" si="0"/>
        <v>19.095</v>
      </c>
      <c r="K23" s="280">
        <v>41549.336805555555</v>
      </c>
      <c r="L23" s="280">
        <v>41549.77013888889</v>
      </c>
      <c r="M23" s="281">
        <f t="shared" si="1"/>
        <v>10.400000000023283</v>
      </c>
      <c r="N23" s="282">
        <f t="shared" si="2"/>
        <v>624</v>
      </c>
      <c r="O23" s="283" t="s">
        <v>66</v>
      </c>
      <c r="P23" s="284" t="str">
        <f t="shared" si="3"/>
        <v>--</v>
      </c>
      <c r="Q23" s="283" t="s">
        <v>67</v>
      </c>
      <c r="R23" s="283" t="str">
        <f t="shared" si="4"/>
        <v>NO</v>
      </c>
      <c r="S23" s="148">
        <f t="shared" si="5"/>
        <v>0.30000000000000004</v>
      </c>
      <c r="T23" s="285">
        <f t="shared" si="6"/>
        <v>59.57640000000001</v>
      </c>
      <c r="U23" s="286" t="str">
        <f t="shared" si="7"/>
        <v>--</v>
      </c>
      <c r="V23" s="287" t="str">
        <f t="shared" si="8"/>
        <v>--</v>
      </c>
      <c r="W23" s="288" t="str">
        <f t="shared" si="9"/>
        <v>--</v>
      </c>
      <c r="X23" s="289" t="str">
        <f t="shared" si="10"/>
        <v>--</v>
      </c>
      <c r="Y23" s="290" t="str">
        <f t="shared" si="11"/>
        <v>--</v>
      </c>
      <c r="Z23" s="291" t="str">
        <f t="shared" si="12"/>
        <v>--</v>
      </c>
      <c r="AA23" s="292" t="str">
        <f t="shared" si="13"/>
        <v>--</v>
      </c>
      <c r="AB23" s="283" t="s">
        <v>74</v>
      </c>
      <c r="AC23" s="293">
        <f t="shared" si="14"/>
        <v>59.57640000000001</v>
      </c>
      <c r="AD23" s="214"/>
    </row>
    <row r="24" spans="2:30" s="9" customFormat="1" ht="16.5" customHeight="1">
      <c r="B24" s="213"/>
      <c r="C24" s="264">
        <v>13</v>
      </c>
      <c r="D24" s="264">
        <v>265978</v>
      </c>
      <c r="E24" s="264">
        <v>5079</v>
      </c>
      <c r="F24" s="122" t="s">
        <v>77</v>
      </c>
      <c r="G24" s="124" t="s">
        <v>88</v>
      </c>
      <c r="H24" s="397">
        <v>30</v>
      </c>
      <c r="I24" s="134" t="s">
        <v>81</v>
      </c>
      <c r="J24" s="279">
        <f t="shared" si="0"/>
        <v>38.19</v>
      </c>
      <c r="K24" s="280">
        <v>41549.336805555555</v>
      </c>
      <c r="L24" s="280">
        <v>41549.77013888889</v>
      </c>
      <c r="M24" s="281">
        <f t="shared" si="1"/>
        <v>10.400000000023283</v>
      </c>
      <c r="N24" s="282">
        <f t="shared" si="2"/>
        <v>624</v>
      </c>
      <c r="O24" s="283" t="s">
        <v>66</v>
      </c>
      <c r="P24" s="284" t="str">
        <f t="shared" si="3"/>
        <v>--</v>
      </c>
      <c r="Q24" s="283" t="s">
        <v>67</v>
      </c>
      <c r="R24" s="283" t="str">
        <f t="shared" si="4"/>
        <v>NO</v>
      </c>
      <c r="S24" s="148">
        <f t="shared" si="5"/>
        <v>0.30000000000000004</v>
      </c>
      <c r="T24" s="285">
        <f t="shared" si="6"/>
        <v>119.15280000000001</v>
      </c>
      <c r="U24" s="286" t="str">
        <f t="shared" si="7"/>
        <v>--</v>
      </c>
      <c r="V24" s="287" t="str">
        <f t="shared" si="8"/>
        <v>--</v>
      </c>
      <c r="W24" s="288" t="str">
        <f t="shared" si="9"/>
        <v>--</v>
      </c>
      <c r="X24" s="289" t="str">
        <f t="shared" si="10"/>
        <v>--</v>
      </c>
      <c r="Y24" s="290" t="str">
        <f t="shared" si="11"/>
        <v>--</v>
      </c>
      <c r="Z24" s="291" t="str">
        <f t="shared" si="12"/>
        <v>--</v>
      </c>
      <c r="AA24" s="292" t="str">
        <f t="shared" si="13"/>
        <v>--</v>
      </c>
      <c r="AB24" s="283" t="s">
        <v>74</v>
      </c>
      <c r="AC24" s="293">
        <f t="shared" si="14"/>
        <v>119.15280000000001</v>
      </c>
      <c r="AD24" s="214"/>
    </row>
    <row r="25" spans="2:30" s="9" customFormat="1" ht="16.5" customHeight="1">
      <c r="B25" s="213"/>
      <c r="C25" s="264">
        <v>14</v>
      </c>
      <c r="D25" s="264">
        <v>265979</v>
      </c>
      <c r="E25" s="264">
        <v>4759</v>
      </c>
      <c r="F25" s="122" t="s">
        <v>89</v>
      </c>
      <c r="G25" s="124" t="s">
        <v>90</v>
      </c>
      <c r="H25" s="397">
        <v>30</v>
      </c>
      <c r="I25" s="399" t="s">
        <v>86</v>
      </c>
      <c r="J25" s="279">
        <f t="shared" si="0"/>
        <v>38.19</v>
      </c>
      <c r="K25" s="280">
        <v>41549.356944444444</v>
      </c>
      <c r="L25" s="280">
        <v>41549.67013888889</v>
      </c>
      <c r="M25" s="281">
        <f t="shared" si="1"/>
        <v>7.516666666720994</v>
      </c>
      <c r="N25" s="282">
        <f t="shared" si="2"/>
        <v>451</v>
      </c>
      <c r="O25" s="283" t="s">
        <v>66</v>
      </c>
      <c r="P25" s="284" t="str">
        <f t="shared" si="3"/>
        <v>--</v>
      </c>
      <c r="Q25" s="283" t="s">
        <v>67</v>
      </c>
      <c r="R25" s="283" t="str">
        <f t="shared" si="4"/>
        <v>NO</v>
      </c>
      <c r="S25" s="148">
        <f t="shared" si="5"/>
        <v>0.30000000000000004</v>
      </c>
      <c r="T25" s="285">
        <f t="shared" si="6"/>
        <v>86.15664</v>
      </c>
      <c r="U25" s="286" t="str">
        <f t="shared" si="7"/>
        <v>--</v>
      </c>
      <c r="V25" s="287" t="str">
        <f t="shared" si="8"/>
        <v>--</v>
      </c>
      <c r="W25" s="288" t="str">
        <f t="shared" si="9"/>
        <v>--</v>
      </c>
      <c r="X25" s="289" t="str">
        <f t="shared" si="10"/>
        <v>--</v>
      </c>
      <c r="Y25" s="290" t="str">
        <f t="shared" si="11"/>
        <v>--</v>
      </c>
      <c r="Z25" s="291" t="str">
        <f t="shared" si="12"/>
        <v>--</v>
      </c>
      <c r="AA25" s="292" t="str">
        <f t="shared" si="13"/>
        <v>--</v>
      </c>
      <c r="AB25" s="283" t="s">
        <v>74</v>
      </c>
      <c r="AC25" s="293">
        <f t="shared" si="14"/>
        <v>86.15664</v>
      </c>
      <c r="AD25" s="214"/>
    </row>
    <row r="26" spans="2:30" s="9" customFormat="1" ht="16.5" customHeight="1">
      <c r="B26" s="213"/>
      <c r="C26" s="264">
        <v>15</v>
      </c>
      <c r="D26" s="264">
        <v>266117</v>
      </c>
      <c r="E26" s="264">
        <v>1014</v>
      </c>
      <c r="F26" s="122" t="s">
        <v>79</v>
      </c>
      <c r="G26" s="124" t="s">
        <v>80</v>
      </c>
      <c r="H26" s="277">
        <v>150</v>
      </c>
      <c r="I26" s="399" t="s">
        <v>76</v>
      </c>
      <c r="J26" s="279">
        <f t="shared" si="0"/>
        <v>190.95</v>
      </c>
      <c r="K26" s="280">
        <v>41554.35</v>
      </c>
      <c r="L26" s="280">
        <v>41554.58888888889</v>
      </c>
      <c r="M26" s="281">
        <f t="shared" si="1"/>
        <v>5.733333333337214</v>
      </c>
      <c r="N26" s="282">
        <f t="shared" si="2"/>
        <v>344</v>
      </c>
      <c r="O26" s="283" t="s">
        <v>66</v>
      </c>
      <c r="P26" s="284" t="str">
        <f t="shared" si="3"/>
        <v>--</v>
      </c>
      <c r="Q26" s="283" t="s">
        <v>67</v>
      </c>
      <c r="R26" s="283" t="str">
        <f t="shared" si="4"/>
        <v>NO</v>
      </c>
      <c r="S26" s="148">
        <f t="shared" si="5"/>
        <v>0.30000000000000004</v>
      </c>
      <c r="T26" s="285">
        <f t="shared" si="6"/>
        <v>328.24305000000004</v>
      </c>
      <c r="U26" s="286" t="str">
        <f t="shared" si="7"/>
        <v>--</v>
      </c>
      <c r="V26" s="287" t="str">
        <f t="shared" si="8"/>
        <v>--</v>
      </c>
      <c r="W26" s="288" t="str">
        <f t="shared" si="9"/>
        <v>--</v>
      </c>
      <c r="X26" s="289" t="str">
        <f t="shared" si="10"/>
        <v>--</v>
      </c>
      <c r="Y26" s="290" t="str">
        <f t="shared" si="11"/>
        <v>--</v>
      </c>
      <c r="Z26" s="291" t="str">
        <f t="shared" si="12"/>
        <v>--</v>
      </c>
      <c r="AA26" s="292" t="str">
        <f t="shared" si="13"/>
        <v>--</v>
      </c>
      <c r="AB26" s="283" t="s">
        <v>74</v>
      </c>
      <c r="AC26" s="293">
        <f t="shared" si="14"/>
        <v>328.24305000000004</v>
      </c>
      <c r="AD26" s="214"/>
    </row>
    <row r="27" spans="2:30" s="9" customFormat="1" ht="16.5" customHeight="1">
      <c r="B27" s="213"/>
      <c r="C27" s="264">
        <v>16</v>
      </c>
      <c r="D27" s="264">
        <v>266118</v>
      </c>
      <c r="E27" s="264">
        <v>1014</v>
      </c>
      <c r="F27" s="122" t="s">
        <v>79</v>
      </c>
      <c r="G27" s="124" t="s">
        <v>80</v>
      </c>
      <c r="H27" s="277">
        <v>150</v>
      </c>
      <c r="I27" s="399" t="s">
        <v>76</v>
      </c>
      <c r="J27" s="279">
        <f t="shared" si="0"/>
        <v>190.95</v>
      </c>
      <c r="K27" s="280">
        <v>41555.35972222222</v>
      </c>
      <c r="L27" s="280">
        <v>41555.65833333333</v>
      </c>
      <c r="M27" s="281">
        <f t="shared" si="1"/>
        <v>7.166666666627862</v>
      </c>
      <c r="N27" s="282">
        <f t="shared" si="2"/>
        <v>430</v>
      </c>
      <c r="O27" s="283" t="s">
        <v>66</v>
      </c>
      <c r="P27" s="284" t="str">
        <f t="shared" si="3"/>
        <v>--</v>
      </c>
      <c r="Q27" s="283" t="s">
        <v>67</v>
      </c>
      <c r="R27" s="283" t="str">
        <f t="shared" si="4"/>
        <v>NO</v>
      </c>
      <c r="S27" s="148">
        <f t="shared" si="5"/>
        <v>0.30000000000000004</v>
      </c>
      <c r="T27" s="285">
        <f t="shared" si="6"/>
        <v>410.73345</v>
      </c>
      <c r="U27" s="286" t="str">
        <f t="shared" si="7"/>
        <v>--</v>
      </c>
      <c r="V27" s="287" t="str">
        <f t="shared" si="8"/>
        <v>--</v>
      </c>
      <c r="W27" s="288" t="str">
        <f t="shared" si="9"/>
        <v>--</v>
      </c>
      <c r="X27" s="289" t="str">
        <f t="shared" si="10"/>
        <v>--</v>
      </c>
      <c r="Y27" s="290" t="str">
        <f t="shared" si="11"/>
        <v>--</v>
      </c>
      <c r="Z27" s="291" t="str">
        <f t="shared" si="12"/>
        <v>--</v>
      </c>
      <c r="AA27" s="292" t="str">
        <f t="shared" si="13"/>
        <v>--</v>
      </c>
      <c r="AB27" s="283" t="s">
        <v>74</v>
      </c>
      <c r="AC27" s="293">
        <f t="shared" si="14"/>
        <v>410.73345</v>
      </c>
      <c r="AD27" s="214"/>
    </row>
    <row r="28" spans="2:30" s="9" customFormat="1" ht="16.5" customHeight="1">
      <c r="B28" s="213"/>
      <c r="C28" s="264">
        <v>17</v>
      </c>
      <c r="D28" s="264">
        <v>266119</v>
      </c>
      <c r="E28" s="264">
        <v>871</v>
      </c>
      <c r="F28" s="122" t="s">
        <v>77</v>
      </c>
      <c r="G28" s="124" t="s">
        <v>91</v>
      </c>
      <c r="H28" s="277">
        <v>30</v>
      </c>
      <c r="I28" s="134" t="s">
        <v>81</v>
      </c>
      <c r="J28" s="279">
        <f t="shared" si="0"/>
        <v>38.19</v>
      </c>
      <c r="K28" s="280">
        <v>41555.45347222222</v>
      </c>
      <c r="L28" s="280">
        <v>41555.58611111111</v>
      </c>
      <c r="M28" s="281">
        <f t="shared" si="1"/>
        <v>3.18333333323244</v>
      </c>
      <c r="N28" s="282">
        <f t="shared" si="2"/>
        <v>191</v>
      </c>
      <c r="O28" s="283" t="s">
        <v>66</v>
      </c>
      <c r="P28" s="284" t="str">
        <f t="shared" si="3"/>
        <v>--</v>
      </c>
      <c r="Q28" s="283" t="s">
        <v>67</v>
      </c>
      <c r="R28" s="283" t="str">
        <f t="shared" si="4"/>
        <v>NO</v>
      </c>
      <c r="S28" s="148">
        <f t="shared" si="5"/>
        <v>0.30000000000000004</v>
      </c>
      <c r="T28" s="285">
        <f t="shared" si="6"/>
        <v>36.433260000000004</v>
      </c>
      <c r="U28" s="286" t="str">
        <f t="shared" si="7"/>
        <v>--</v>
      </c>
      <c r="V28" s="287" t="str">
        <f t="shared" si="8"/>
        <v>--</v>
      </c>
      <c r="W28" s="288" t="str">
        <f t="shared" si="9"/>
        <v>--</v>
      </c>
      <c r="X28" s="289" t="str">
        <f t="shared" si="10"/>
        <v>--</v>
      </c>
      <c r="Y28" s="290" t="str">
        <f t="shared" si="11"/>
        <v>--</v>
      </c>
      <c r="Z28" s="291" t="str">
        <f t="shared" si="12"/>
        <v>--</v>
      </c>
      <c r="AA28" s="292" t="str">
        <f t="shared" si="13"/>
        <v>--</v>
      </c>
      <c r="AB28" s="283" t="s">
        <v>74</v>
      </c>
      <c r="AC28" s="293">
        <f t="shared" si="14"/>
        <v>36.433260000000004</v>
      </c>
      <c r="AD28" s="214"/>
    </row>
    <row r="29" spans="2:30" s="9" customFormat="1" ht="16.5" customHeight="1">
      <c r="B29" s="213"/>
      <c r="C29" s="264">
        <v>18</v>
      </c>
      <c r="D29" s="264">
        <v>266120</v>
      </c>
      <c r="E29" s="264">
        <v>1013</v>
      </c>
      <c r="F29" s="122" t="s">
        <v>79</v>
      </c>
      <c r="G29" s="124" t="s">
        <v>75</v>
      </c>
      <c r="H29" s="277">
        <v>150</v>
      </c>
      <c r="I29" s="134" t="s">
        <v>76</v>
      </c>
      <c r="J29" s="279">
        <f t="shared" si="0"/>
        <v>190.95</v>
      </c>
      <c r="K29" s="280">
        <v>41556.36111111111</v>
      </c>
      <c r="L29" s="280">
        <v>41556.59722222222</v>
      </c>
      <c r="M29" s="281">
        <f t="shared" si="1"/>
        <v>5.666666666627862</v>
      </c>
      <c r="N29" s="282">
        <f t="shared" si="2"/>
        <v>340</v>
      </c>
      <c r="O29" s="283" t="s">
        <v>66</v>
      </c>
      <c r="P29" s="284" t="str">
        <f t="shared" si="3"/>
        <v>--</v>
      </c>
      <c r="Q29" s="283" t="s">
        <v>67</v>
      </c>
      <c r="R29" s="283" t="str">
        <f t="shared" si="4"/>
        <v>NO</v>
      </c>
      <c r="S29" s="148">
        <f t="shared" si="5"/>
        <v>0.30000000000000004</v>
      </c>
      <c r="T29" s="285">
        <f t="shared" si="6"/>
        <v>324.80595</v>
      </c>
      <c r="U29" s="286" t="str">
        <f t="shared" si="7"/>
        <v>--</v>
      </c>
      <c r="V29" s="287" t="str">
        <f t="shared" si="8"/>
        <v>--</v>
      </c>
      <c r="W29" s="288" t="str">
        <f t="shared" si="9"/>
        <v>--</v>
      </c>
      <c r="X29" s="289" t="str">
        <f t="shared" si="10"/>
        <v>--</v>
      </c>
      <c r="Y29" s="290" t="str">
        <f t="shared" si="11"/>
        <v>--</v>
      </c>
      <c r="Z29" s="291" t="str">
        <f t="shared" si="12"/>
        <v>--</v>
      </c>
      <c r="AA29" s="292" t="str">
        <f t="shared" si="13"/>
        <v>--</v>
      </c>
      <c r="AB29" s="283" t="s">
        <v>74</v>
      </c>
      <c r="AC29" s="293">
        <f t="shared" si="14"/>
        <v>324.80595</v>
      </c>
      <c r="AD29" s="214"/>
    </row>
    <row r="30" spans="2:30" s="9" customFormat="1" ht="16.5" customHeight="1">
      <c r="B30" s="213"/>
      <c r="C30" s="264">
        <v>19</v>
      </c>
      <c r="D30" s="264">
        <v>266121</v>
      </c>
      <c r="E30" s="264">
        <v>1013</v>
      </c>
      <c r="F30" s="122" t="s">
        <v>79</v>
      </c>
      <c r="G30" s="124" t="s">
        <v>75</v>
      </c>
      <c r="H30" s="277">
        <v>150</v>
      </c>
      <c r="I30" s="134" t="s">
        <v>76</v>
      </c>
      <c r="J30" s="279">
        <f t="shared" si="0"/>
        <v>190.95</v>
      </c>
      <c r="K30" s="280">
        <v>41557.356944444444</v>
      </c>
      <c r="L30" s="280">
        <v>41557.70208333333</v>
      </c>
      <c r="M30" s="281">
        <f t="shared" si="1"/>
        <v>8.283333333267365</v>
      </c>
      <c r="N30" s="282">
        <f t="shared" si="2"/>
        <v>497</v>
      </c>
      <c r="O30" s="283" t="s">
        <v>66</v>
      </c>
      <c r="P30" s="284" t="str">
        <f t="shared" si="3"/>
        <v>--</v>
      </c>
      <c r="Q30" s="283" t="s">
        <v>67</v>
      </c>
      <c r="R30" s="283" t="str">
        <f t="shared" si="4"/>
        <v>NO</v>
      </c>
      <c r="S30" s="148">
        <f t="shared" si="5"/>
        <v>0.30000000000000004</v>
      </c>
      <c r="T30" s="285">
        <f t="shared" si="6"/>
        <v>474.3198</v>
      </c>
      <c r="U30" s="286" t="str">
        <f t="shared" si="7"/>
        <v>--</v>
      </c>
      <c r="V30" s="287" t="str">
        <f t="shared" si="8"/>
        <v>--</v>
      </c>
      <c r="W30" s="288" t="str">
        <f t="shared" si="9"/>
        <v>--</v>
      </c>
      <c r="X30" s="289" t="str">
        <f t="shared" si="10"/>
        <v>--</v>
      </c>
      <c r="Y30" s="290" t="str">
        <f t="shared" si="11"/>
        <v>--</v>
      </c>
      <c r="Z30" s="291" t="str">
        <f t="shared" si="12"/>
        <v>--</v>
      </c>
      <c r="AA30" s="292" t="str">
        <f t="shared" si="13"/>
        <v>--</v>
      </c>
      <c r="AB30" s="283" t="s">
        <v>74</v>
      </c>
      <c r="AC30" s="293">
        <f t="shared" si="14"/>
        <v>474.3198</v>
      </c>
      <c r="AD30" s="214"/>
    </row>
    <row r="31" spans="2:30" s="9" customFormat="1" ht="16.5" customHeight="1">
      <c r="B31" s="213"/>
      <c r="C31" s="264">
        <v>20</v>
      </c>
      <c r="D31" s="264">
        <v>266122</v>
      </c>
      <c r="E31" s="264">
        <v>1014</v>
      </c>
      <c r="F31" s="122" t="s">
        <v>79</v>
      </c>
      <c r="G31" s="124" t="s">
        <v>80</v>
      </c>
      <c r="H31" s="277">
        <v>150</v>
      </c>
      <c r="I31" s="399" t="s">
        <v>76</v>
      </c>
      <c r="J31" s="279">
        <f t="shared" si="0"/>
        <v>190.95</v>
      </c>
      <c r="K31" s="280">
        <v>41558.37013888889</v>
      </c>
      <c r="L31" s="280">
        <v>41558.54583333333</v>
      </c>
      <c r="M31" s="281">
        <f t="shared" si="1"/>
        <v>4.21666666661622</v>
      </c>
      <c r="N31" s="282">
        <f t="shared" si="2"/>
        <v>253</v>
      </c>
      <c r="O31" s="283" t="s">
        <v>66</v>
      </c>
      <c r="P31" s="284" t="str">
        <f t="shared" si="3"/>
        <v>--</v>
      </c>
      <c r="Q31" s="283" t="s">
        <v>67</v>
      </c>
      <c r="R31" s="283" t="str">
        <f t="shared" si="4"/>
        <v>NO</v>
      </c>
      <c r="S31" s="148">
        <f t="shared" si="5"/>
        <v>0.30000000000000004</v>
      </c>
      <c r="T31" s="285">
        <f t="shared" si="6"/>
        <v>241.7427</v>
      </c>
      <c r="U31" s="286" t="str">
        <f t="shared" si="7"/>
        <v>--</v>
      </c>
      <c r="V31" s="287" t="str">
        <f t="shared" si="8"/>
        <v>--</v>
      </c>
      <c r="W31" s="288" t="str">
        <f t="shared" si="9"/>
        <v>--</v>
      </c>
      <c r="X31" s="289" t="str">
        <f t="shared" si="10"/>
        <v>--</v>
      </c>
      <c r="Y31" s="290" t="str">
        <f t="shared" si="11"/>
        <v>--</v>
      </c>
      <c r="Z31" s="291" t="str">
        <f t="shared" si="12"/>
        <v>--</v>
      </c>
      <c r="AA31" s="292" t="str">
        <f t="shared" si="13"/>
        <v>--</v>
      </c>
      <c r="AB31" s="283" t="s">
        <v>74</v>
      </c>
      <c r="AC31" s="293">
        <f t="shared" si="14"/>
        <v>241.7427</v>
      </c>
      <c r="AD31" s="214"/>
    </row>
    <row r="32" spans="2:30" s="9" customFormat="1" ht="16.5" customHeight="1">
      <c r="B32" s="213"/>
      <c r="C32" s="264"/>
      <c r="D32" s="264"/>
      <c r="E32" s="264"/>
      <c r="F32" s="122"/>
      <c r="G32" s="124"/>
      <c r="H32" s="277"/>
      <c r="I32" s="278"/>
      <c r="J32" s="279">
        <f t="shared" si="0"/>
        <v>0</v>
      </c>
      <c r="K32" s="280"/>
      <c r="L32" s="280"/>
      <c r="M32" s="281">
        <f t="shared" si="1"/>
      </c>
      <c r="N32" s="282">
        <f t="shared" si="2"/>
      </c>
      <c r="O32" s="283"/>
      <c r="P32" s="284">
        <f t="shared" si="3"/>
      </c>
      <c r="Q32" s="284">
        <f aca="true" t="shared" si="15" ref="Q32:Q40">IF(F32="","","--")</f>
      </c>
      <c r="R32" s="283">
        <f t="shared" si="4"/>
      </c>
      <c r="S32" s="148">
        <f t="shared" si="5"/>
        <v>3</v>
      </c>
      <c r="T32" s="285" t="str">
        <f t="shared" si="6"/>
        <v>--</v>
      </c>
      <c r="U32" s="286" t="str">
        <f t="shared" si="7"/>
        <v>--</v>
      </c>
      <c r="V32" s="287" t="str">
        <f t="shared" si="8"/>
        <v>--</v>
      </c>
      <c r="W32" s="288" t="str">
        <f t="shared" si="9"/>
        <v>--</v>
      </c>
      <c r="X32" s="289" t="str">
        <f t="shared" si="10"/>
        <v>--</v>
      </c>
      <c r="Y32" s="290" t="str">
        <f t="shared" si="11"/>
        <v>--</v>
      </c>
      <c r="Z32" s="291" t="str">
        <f t="shared" si="12"/>
        <v>--</v>
      </c>
      <c r="AA32" s="292" t="str">
        <f t="shared" si="13"/>
        <v>--</v>
      </c>
      <c r="AB32" s="283">
        <f aca="true" t="shared" si="16" ref="AB32:AB40">IF(F32="","","SI")</f>
      </c>
      <c r="AC32" s="293">
        <f t="shared" si="14"/>
      </c>
      <c r="AD32" s="214"/>
    </row>
    <row r="33" spans="2:30" s="9" customFormat="1" ht="16.5" customHeight="1">
      <c r="B33" s="213"/>
      <c r="C33" s="264"/>
      <c r="D33" s="264"/>
      <c r="E33" s="264"/>
      <c r="F33" s="122"/>
      <c r="G33" s="124"/>
      <c r="H33" s="277"/>
      <c r="I33" s="278"/>
      <c r="J33" s="279">
        <f t="shared" si="0"/>
        <v>0</v>
      </c>
      <c r="K33" s="280"/>
      <c r="L33" s="280"/>
      <c r="M33" s="281">
        <f t="shared" si="1"/>
      </c>
      <c r="N33" s="282">
        <f t="shared" si="2"/>
      </c>
      <c r="O33" s="283"/>
      <c r="P33" s="284">
        <f t="shared" si="3"/>
      </c>
      <c r="Q33" s="284">
        <f t="shared" si="15"/>
      </c>
      <c r="R33" s="283">
        <f t="shared" si="4"/>
      </c>
      <c r="S33" s="148">
        <f t="shared" si="5"/>
        <v>3</v>
      </c>
      <c r="T33" s="285" t="str">
        <f t="shared" si="6"/>
        <v>--</v>
      </c>
      <c r="U33" s="286" t="str">
        <f t="shared" si="7"/>
        <v>--</v>
      </c>
      <c r="V33" s="287" t="str">
        <f t="shared" si="8"/>
        <v>--</v>
      </c>
      <c r="W33" s="288" t="str">
        <f t="shared" si="9"/>
        <v>--</v>
      </c>
      <c r="X33" s="289" t="str">
        <f t="shared" si="10"/>
        <v>--</v>
      </c>
      <c r="Y33" s="290" t="str">
        <f t="shared" si="11"/>
        <v>--</v>
      </c>
      <c r="Z33" s="291" t="str">
        <f t="shared" si="12"/>
        <v>--</v>
      </c>
      <c r="AA33" s="292" t="str">
        <f t="shared" si="13"/>
        <v>--</v>
      </c>
      <c r="AB33" s="283">
        <f t="shared" si="16"/>
      </c>
      <c r="AC33" s="293">
        <f t="shared" si="14"/>
      </c>
      <c r="AD33" s="214"/>
    </row>
    <row r="34" spans="2:30" s="9" customFormat="1" ht="16.5" customHeight="1">
      <c r="B34" s="213"/>
      <c r="C34" s="264"/>
      <c r="D34" s="264"/>
      <c r="E34" s="264"/>
      <c r="F34" s="122"/>
      <c r="G34" s="124"/>
      <c r="H34" s="277"/>
      <c r="I34" s="278"/>
      <c r="J34" s="279">
        <f t="shared" si="0"/>
        <v>0</v>
      </c>
      <c r="K34" s="280"/>
      <c r="L34" s="280"/>
      <c r="M34" s="281">
        <f t="shared" si="1"/>
      </c>
      <c r="N34" s="282">
        <f t="shared" si="2"/>
      </c>
      <c r="O34" s="283"/>
      <c r="P34" s="284">
        <f t="shared" si="3"/>
      </c>
      <c r="Q34" s="284">
        <f t="shared" si="15"/>
      </c>
      <c r="R34" s="283">
        <f t="shared" si="4"/>
      </c>
      <c r="S34" s="148">
        <f t="shared" si="5"/>
        <v>3</v>
      </c>
      <c r="T34" s="285" t="str">
        <f t="shared" si="6"/>
        <v>--</v>
      </c>
      <c r="U34" s="286" t="str">
        <f t="shared" si="7"/>
        <v>--</v>
      </c>
      <c r="V34" s="287" t="str">
        <f t="shared" si="8"/>
        <v>--</v>
      </c>
      <c r="W34" s="288" t="str">
        <f t="shared" si="9"/>
        <v>--</v>
      </c>
      <c r="X34" s="289" t="str">
        <f t="shared" si="10"/>
        <v>--</v>
      </c>
      <c r="Y34" s="290" t="str">
        <f t="shared" si="11"/>
        <v>--</v>
      </c>
      <c r="Z34" s="291" t="str">
        <f t="shared" si="12"/>
        <v>--</v>
      </c>
      <c r="AA34" s="292" t="str">
        <f t="shared" si="13"/>
        <v>--</v>
      </c>
      <c r="AB34" s="283">
        <f t="shared" si="16"/>
      </c>
      <c r="AC34" s="293">
        <f t="shared" si="14"/>
      </c>
      <c r="AD34" s="214"/>
    </row>
    <row r="35" spans="2:30" s="9" customFormat="1" ht="16.5" customHeight="1">
      <c r="B35" s="213"/>
      <c r="C35" s="264"/>
      <c r="D35" s="264"/>
      <c r="E35" s="264"/>
      <c r="F35" s="122"/>
      <c r="G35" s="124"/>
      <c r="H35" s="277"/>
      <c r="I35" s="278"/>
      <c r="J35" s="279">
        <f t="shared" si="0"/>
        <v>0</v>
      </c>
      <c r="K35" s="280"/>
      <c r="L35" s="280"/>
      <c r="M35" s="281">
        <f t="shared" si="1"/>
      </c>
      <c r="N35" s="282">
        <f t="shared" si="2"/>
      </c>
      <c r="O35" s="283"/>
      <c r="P35" s="284">
        <f t="shared" si="3"/>
      </c>
      <c r="Q35" s="284">
        <f t="shared" si="15"/>
      </c>
      <c r="R35" s="283">
        <f t="shared" si="4"/>
      </c>
      <c r="S35" s="148">
        <f t="shared" si="5"/>
        <v>3</v>
      </c>
      <c r="T35" s="285" t="str">
        <f t="shared" si="6"/>
        <v>--</v>
      </c>
      <c r="U35" s="286" t="str">
        <f t="shared" si="7"/>
        <v>--</v>
      </c>
      <c r="V35" s="287" t="str">
        <f t="shared" si="8"/>
        <v>--</v>
      </c>
      <c r="W35" s="288" t="str">
        <f t="shared" si="9"/>
        <v>--</v>
      </c>
      <c r="X35" s="289" t="str">
        <f t="shared" si="10"/>
        <v>--</v>
      </c>
      <c r="Y35" s="290" t="str">
        <f t="shared" si="11"/>
        <v>--</v>
      </c>
      <c r="Z35" s="291" t="str">
        <f t="shared" si="12"/>
        <v>--</v>
      </c>
      <c r="AA35" s="292" t="str">
        <f t="shared" si="13"/>
        <v>--</v>
      </c>
      <c r="AB35" s="283">
        <f t="shared" si="16"/>
      </c>
      <c r="AC35" s="293">
        <f t="shared" si="14"/>
      </c>
      <c r="AD35" s="214"/>
    </row>
    <row r="36" spans="2:30" s="9" customFormat="1" ht="16.5" customHeight="1">
      <c r="B36" s="213"/>
      <c r="C36" s="264"/>
      <c r="D36" s="264"/>
      <c r="E36" s="264"/>
      <c r="F36" s="122"/>
      <c r="G36" s="124"/>
      <c r="H36" s="277"/>
      <c r="I36" s="278"/>
      <c r="J36" s="279">
        <f t="shared" si="0"/>
        <v>0</v>
      </c>
      <c r="K36" s="280"/>
      <c r="L36" s="280"/>
      <c r="M36" s="281">
        <f t="shared" si="1"/>
      </c>
      <c r="N36" s="282">
        <f t="shared" si="2"/>
      </c>
      <c r="O36" s="283"/>
      <c r="P36" s="284">
        <f t="shared" si="3"/>
      </c>
      <c r="Q36" s="284">
        <f t="shared" si="15"/>
      </c>
      <c r="R36" s="283">
        <f t="shared" si="4"/>
      </c>
      <c r="S36" s="148">
        <f t="shared" si="5"/>
        <v>3</v>
      </c>
      <c r="T36" s="285" t="str">
        <f t="shared" si="6"/>
        <v>--</v>
      </c>
      <c r="U36" s="286" t="str">
        <f t="shared" si="7"/>
        <v>--</v>
      </c>
      <c r="V36" s="287" t="str">
        <f t="shared" si="8"/>
        <v>--</v>
      </c>
      <c r="W36" s="288" t="str">
        <f t="shared" si="9"/>
        <v>--</v>
      </c>
      <c r="X36" s="289" t="str">
        <f t="shared" si="10"/>
        <v>--</v>
      </c>
      <c r="Y36" s="290" t="str">
        <f t="shared" si="11"/>
        <v>--</v>
      </c>
      <c r="Z36" s="291" t="str">
        <f t="shared" si="12"/>
        <v>--</v>
      </c>
      <c r="AA36" s="292" t="str">
        <f t="shared" si="13"/>
        <v>--</v>
      </c>
      <c r="AB36" s="283">
        <f t="shared" si="16"/>
      </c>
      <c r="AC36" s="293">
        <f t="shared" si="14"/>
      </c>
      <c r="AD36" s="214"/>
    </row>
    <row r="37" spans="2:30" s="9" customFormat="1" ht="16.5" customHeight="1">
      <c r="B37" s="213"/>
      <c r="C37" s="264"/>
      <c r="D37" s="264"/>
      <c r="E37" s="264"/>
      <c r="F37" s="122"/>
      <c r="G37" s="124"/>
      <c r="H37" s="277"/>
      <c r="I37" s="278"/>
      <c r="J37" s="279">
        <f t="shared" si="0"/>
        <v>0</v>
      </c>
      <c r="K37" s="280"/>
      <c r="L37" s="280"/>
      <c r="M37" s="281">
        <f t="shared" si="1"/>
      </c>
      <c r="N37" s="282">
        <f t="shared" si="2"/>
      </c>
      <c r="O37" s="283"/>
      <c r="P37" s="284">
        <f t="shared" si="3"/>
      </c>
      <c r="Q37" s="284">
        <f t="shared" si="15"/>
      </c>
      <c r="R37" s="283">
        <f t="shared" si="4"/>
      </c>
      <c r="S37" s="148">
        <f t="shared" si="5"/>
        <v>3</v>
      </c>
      <c r="T37" s="285" t="str">
        <f t="shared" si="6"/>
        <v>--</v>
      </c>
      <c r="U37" s="286" t="str">
        <f t="shared" si="7"/>
        <v>--</v>
      </c>
      <c r="V37" s="287" t="str">
        <f t="shared" si="8"/>
        <v>--</v>
      </c>
      <c r="W37" s="288" t="str">
        <f t="shared" si="9"/>
        <v>--</v>
      </c>
      <c r="X37" s="289" t="str">
        <f t="shared" si="10"/>
        <v>--</v>
      </c>
      <c r="Y37" s="290" t="str">
        <f t="shared" si="11"/>
        <v>--</v>
      </c>
      <c r="Z37" s="291" t="str">
        <f t="shared" si="12"/>
        <v>--</v>
      </c>
      <c r="AA37" s="292" t="str">
        <f t="shared" si="13"/>
        <v>--</v>
      </c>
      <c r="AB37" s="283">
        <f t="shared" si="16"/>
      </c>
      <c r="AC37" s="293">
        <f t="shared" si="14"/>
      </c>
      <c r="AD37" s="214"/>
    </row>
    <row r="38" spans="2:30" s="9" customFormat="1" ht="16.5" customHeight="1">
      <c r="B38" s="213"/>
      <c r="C38" s="264"/>
      <c r="D38" s="264"/>
      <c r="E38" s="264"/>
      <c r="F38" s="122"/>
      <c r="G38" s="124"/>
      <c r="H38" s="277"/>
      <c r="I38" s="278"/>
      <c r="J38" s="279">
        <f t="shared" si="0"/>
        <v>0</v>
      </c>
      <c r="K38" s="280"/>
      <c r="L38" s="280"/>
      <c r="M38" s="281">
        <f t="shared" si="1"/>
      </c>
      <c r="N38" s="282">
        <f t="shared" si="2"/>
      </c>
      <c r="O38" s="283"/>
      <c r="P38" s="284">
        <f t="shared" si="3"/>
      </c>
      <c r="Q38" s="284">
        <f t="shared" si="15"/>
      </c>
      <c r="R38" s="283">
        <f t="shared" si="4"/>
      </c>
      <c r="S38" s="148">
        <f t="shared" si="5"/>
        <v>3</v>
      </c>
      <c r="T38" s="285" t="str">
        <f t="shared" si="6"/>
        <v>--</v>
      </c>
      <c r="U38" s="286" t="str">
        <f t="shared" si="7"/>
        <v>--</v>
      </c>
      <c r="V38" s="287" t="str">
        <f t="shared" si="8"/>
        <v>--</v>
      </c>
      <c r="W38" s="288" t="str">
        <f t="shared" si="9"/>
        <v>--</v>
      </c>
      <c r="X38" s="289" t="str">
        <f t="shared" si="10"/>
        <v>--</v>
      </c>
      <c r="Y38" s="290" t="str">
        <f t="shared" si="11"/>
        <v>--</v>
      </c>
      <c r="Z38" s="291" t="str">
        <f t="shared" si="12"/>
        <v>--</v>
      </c>
      <c r="AA38" s="292" t="str">
        <f t="shared" si="13"/>
        <v>--</v>
      </c>
      <c r="AB38" s="283">
        <f t="shared" si="16"/>
      </c>
      <c r="AC38" s="293">
        <f t="shared" si="14"/>
      </c>
      <c r="AD38" s="214"/>
    </row>
    <row r="39" spans="2:30" s="9" customFormat="1" ht="16.5" customHeight="1">
      <c r="B39" s="213"/>
      <c r="C39" s="264"/>
      <c r="D39" s="264"/>
      <c r="E39" s="264"/>
      <c r="F39" s="122"/>
      <c r="G39" s="124"/>
      <c r="H39" s="277"/>
      <c r="I39" s="278"/>
      <c r="J39" s="279">
        <f t="shared" si="0"/>
        <v>0</v>
      </c>
      <c r="K39" s="280"/>
      <c r="L39" s="280"/>
      <c r="M39" s="281">
        <f t="shared" si="1"/>
      </c>
      <c r="N39" s="282">
        <f t="shared" si="2"/>
      </c>
      <c r="O39" s="283"/>
      <c r="P39" s="284">
        <f t="shared" si="3"/>
      </c>
      <c r="Q39" s="284">
        <f t="shared" si="15"/>
      </c>
      <c r="R39" s="283">
        <f t="shared" si="4"/>
      </c>
      <c r="S39" s="148">
        <f t="shared" si="5"/>
        <v>3</v>
      </c>
      <c r="T39" s="285" t="str">
        <f t="shared" si="6"/>
        <v>--</v>
      </c>
      <c r="U39" s="286" t="str">
        <f t="shared" si="7"/>
        <v>--</v>
      </c>
      <c r="V39" s="287" t="str">
        <f t="shared" si="8"/>
        <v>--</v>
      </c>
      <c r="W39" s="288" t="str">
        <f t="shared" si="9"/>
        <v>--</v>
      </c>
      <c r="X39" s="289" t="str">
        <f t="shared" si="10"/>
        <v>--</v>
      </c>
      <c r="Y39" s="290" t="str">
        <f t="shared" si="11"/>
        <v>--</v>
      </c>
      <c r="Z39" s="291" t="str">
        <f t="shared" si="12"/>
        <v>--</v>
      </c>
      <c r="AA39" s="292" t="str">
        <f t="shared" si="13"/>
        <v>--</v>
      </c>
      <c r="AB39" s="283">
        <f t="shared" si="16"/>
      </c>
      <c r="AC39" s="293">
        <f t="shared" si="14"/>
      </c>
      <c r="AD39" s="214"/>
    </row>
    <row r="40" spans="2:30" s="9" customFormat="1" ht="16.5" customHeight="1">
      <c r="B40" s="213"/>
      <c r="C40" s="264"/>
      <c r="D40" s="264"/>
      <c r="E40" s="264"/>
      <c r="F40" s="122"/>
      <c r="G40" s="124"/>
      <c r="H40" s="277"/>
      <c r="I40" s="278"/>
      <c r="J40" s="279">
        <f t="shared" si="0"/>
        <v>0</v>
      </c>
      <c r="K40" s="280"/>
      <c r="L40" s="280"/>
      <c r="M40" s="281">
        <f t="shared" si="1"/>
      </c>
      <c r="N40" s="282">
        <f t="shared" si="2"/>
      </c>
      <c r="O40" s="283"/>
      <c r="P40" s="284">
        <f t="shared" si="3"/>
      </c>
      <c r="Q40" s="284">
        <f t="shared" si="15"/>
      </c>
      <c r="R40" s="283">
        <f t="shared" si="4"/>
      </c>
      <c r="S40" s="148">
        <f t="shared" si="5"/>
        <v>3</v>
      </c>
      <c r="T40" s="285" t="str">
        <f t="shared" si="6"/>
        <v>--</v>
      </c>
      <c r="U40" s="286" t="str">
        <f t="shared" si="7"/>
        <v>--</v>
      </c>
      <c r="V40" s="287" t="str">
        <f t="shared" si="8"/>
        <v>--</v>
      </c>
      <c r="W40" s="288" t="str">
        <f t="shared" si="9"/>
        <v>--</v>
      </c>
      <c r="X40" s="289" t="str">
        <f t="shared" si="10"/>
        <v>--</v>
      </c>
      <c r="Y40" s="290" t="str">
        <f t="shared" si="11"/>
        <v>--</v>
      </c>
      <c r="Z40" s="291" t="str">
        <f t="shared" si="12"/>
        <v>--</v>
      </c>
      <c r="AA40" s="292" t="str">
        <f t="shared" si="13"/>
        <v>--</v>
      </c>
      <c r="AB40" s="283">
        <f t="shared" si="16"/>
      </c>
      <c r="AC40" s="293">
        <f t="shared" si="14"/>
      </c>
      <c r="AD40" s="214"/>
    </row>
    <row r="41" spans="2:30" s="9" customFormat="1" ht="16.5" customHeight="1" thickBot="1">
      <c r="B41" s="213"/>
      <c r="C41" s="295"/>
      <c r="D41" s="295"/>
      <c r="E41" s="295"/>
      <c r="F41" s="295"/>
      <c r="G41" s="295"/>
      <c r="H41" s="295"/>
      <c r="I41" s="295"/>
      <c r="J41" s="296"/>
      <c r="K41" s="295"/>
      <c r="L41" s="295"/>
      <c r="M41" s="295"/>
      <c r="N41" s="295"/>
      <c r="O41" s="295"/>
      <c r="P41" s="295"/>
      <c r="Q41" s="295"/>
      <c r="R41" s="295"/>
      <c r="S41" s="297"/>
      <c r="T41" s="298"/>
      <c r="U41" s="299"/>
      <c r="V41" s="300"/>
      <c r="W41" s="301"/>
      <c r="X41" s="302"/>
      <c r="Y41" s="303"/>
      <c r="Z41" s="304"/>
      <c r="AA41" s="305"/>
      <c r="AB41" s="295"/>
      <c r="AC41" s="306"/>
      <c r="AD41" s="214"/>
    </row>
    <row r="42" spans="2:30" s="9" customFormat="1" ht="16.5" customHeight="1" thickBot="1" thickTop="1">
      <c r="B42" s="213"/>
      <c r="C42" s="168" t="s">
        <v>61</v>
      </c>
      <c r="D42" s="398" t="s">
        <v>84</v>
      </c>
      <c r="E42" s="183"/>
      <c r="F42" s="169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307">
        <f>SUM(T20:T41)</f>
        <v>2519.3943</v>
      </c>
      <c r="U42" s="308">
        <f>SUM(U20:U41)</f>
        <v>0</v>
      </c>
      <c r="V42" s="309">
        <f>SUM(V20:V41)</f>
        <v>0</v>
      </c>
      <c r="W42" s="310">
        <f>SUM(W22:W41)</f>
        <v>0</v>
      </c>
      <c r="X42" s="311">
        <f>SUM(X20:X41)</f>
        <v>0</v>
      </c>
      <c r="Y42" s="311">
        <f>SUM(Y22:Y41)</f>
        <v>0</v>
      </c>
      <c r="Z42" s="312">
        <f>SUM(Z20:Z41)</f>
        <v>0</v>
      </c>
      <c r="AA42" s="313">
        <f>SUM(AA22:AA41)</f>
        <v>0</v>
      </c>
      <c r="AB42" s="314"/>
      <c r="AC42" s="315">
        <f>ROUND(SUM(AC20:AC41),2)</f>
        <v>2519.39</v>
      </c>
      <c r="AD42" s="214"/>
    </row>
    <row r="43" spans="2:30" s="181" customFormat="1" ht="9.75" thickTop="1">
      <c r="B43" s="316"/>
      <c r="C43" s="183"/>
      <c r="D43" s="183"/>
      <c r="E43" s="183"/>
      <c r="F43" s="184"/>
      <c r="G43" s="317"/>
      <c r="H43" s="317"/>
      <c r="I43" s="317"/>
      <c r="J43" s="317"/>
      <c r="K43" s="317"/>
      <c r="L43" s="317"/>
      <c r="M43" s="317"/>
      <c r="N43" s="317"/>
      <c r="O43" s="317"/>
      <c r="P43" s="317"/>
      <c r="Q43" s="317"/>
      <c r="R43" s="317"/>
      <c r="S43" s="317"/>
      <c r="T43" s="318"/>
      <c r="U43" s="318"/>
      <c r="V43" s="318"/>
      <c r="W43" s="318"/>
      <c r="X43" s="318"/>
      <c r="Y43" s="318"/>
      <c r="Z43" s="318"/>
      <c r="AA43" s="318"/>
      <c r="AB43" s="317"/>
      <c r="AC43" s="319"/>
      <c r="AD43" s="320"/>
    </row>
    <row r="44" spans="2:30" s="9" customFormat="1" ht="16.5" customHeight="1" thickBot="1">
      <c r="B44" s="321"/>
      <c r="C44" s="322"/>
      <c r="D44" s="322"/>
      <c r="E44" s="322"/>
      <c r="F44" s="322"/>
      <c r="G44" s="322"/>
      <c r="H44" s="322"/>
      <c r="I44" s="322"/>
      <c r="J44" s="322"/>
      <c r="K44" s="322"/>
      <c r="L44" s="322"/>
      <c r="M44" s="322"/>
      <c r="N44" s="322"/>
      <c r="O44" s="322"/>
      <c r="P44" s="322"/>
      <c r="Q44" s="322"/>
      <c r="R44" s="322"/>
      <c r="S44" s="322"/>
      <c r="T44" s="322"/>
      <c r="U44" s="322"/>
      <c r="V44" s="322"/>
      <c r="W44" s="322"/>
      <c r="X44" s="322"/>
      <c r="Y44" s="322"/>
      <c r="Z44" s="322"/>
      <c r="AA44" s="322"/>
      <c r="AB44" s="322"/>
      <c r="AC44" s="322"/>
      <c r="AD44" s="323"/>
    </row>
    <row r="45" spans="2:30" ht="16.5" customHeight="1" thickTop="1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324"/>
    </row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59" r:id="rId3"/>
  <headerFooter alignWithMargins="0">
    <oddFooter>&amp;L&amp;"Times New Roman,Normal"&amp;8&amp;Z&amp;F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W47"/>
  <sheetViews>
    <sheetView zoomScale="70" zoomScaleNormal="70" zoomScalePageLayoutView="0" workbookViewId="0" topLeftCell="A1">
      <selection activeCell="C22" sqref="C22:V24"/>
    </sheetView>
  </sheetViews>
  <sheetFormatPr defaultColWidth="11.421875" defaultRowHeight="12.75"/>
  <cols>
    <col min="1" max="1" width="17.8515625" style="1" customWidth="1"/>
    <col min="2" max="2" width="4.00390625" style="1" customWidth="1"/>
    <col min="3" max="3" width="5.57421875" style="1" customWidth="1"/>
    <col min="4" max="5" width="13.57421875" style="1" customWidth="1"/>
    <col min="6" max="6" width="25.7109375" style="1" customWidth="1"/>
    <col min="7" max="7" width="35.7109375" style="1" customWidth="1"/>
    <col min="8" max="8" width="10.7109375" style="1" customWidth="1"/>
    <col min="9" max="9" width="12.421875" style="1" hidden="1" customWidth="1"/>
    <col min="10" max="11" width="15.7109375" style="1" customWidth="1"/>
    <col min="12" max="14" width="9.7109375" style="1" customWidth="1"/>
    <col min="15" max="15" width="7.7109375" style="1" customWidth="1"/>
    <col min="16" max="16" width="12.7109375" style="1" hidden="1" customWidth="1"/>
    <col min="17" max="17" width="15.00390625" style="1" hidden="1" customWidth="1"/>
    <col min="18" max="18" width="15.140625" style="1" hidden="1" customWidth="1"/>
    <col min="19" max="20" width="15.57421875" style="1" hidden="1" customWidth="1"/>
    <col min="21" max="21" width="9.7109375" style="1" customWidth="1"/>
    <col min="22" max="22" width="15.7109375" style="1" customWidth="1"/>
    <col min="23" max="23" width="4.00390625" style="1" customWidth="1"/>
    <col min="24" max="16384" width="11.421875" style="1" customWidth="1"/>
  </cols>
  <sheetData>
    <row r="1" spans="1:23" s="6" customFormat="1" ht="30.75" customHeight="1">
      <c r="A1" s="325"/>
      <c r="W1" s="389"/>
    </row>
    <row r="2" spans="1:23" s="6" customFormat="1" ht="26.25">
      <c r="A2" s="325"/>
      <c r="B2" s="66" t="str">
        <f>'TOT-1013'!B2</f>
        <v>ANEXO V al Memorándum  D.T.E.E.  N°             / 2014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3" s="9" customFormat="1" ht="12.75">
      <c r="A3" s="326"/>
      <c r="B3" s="67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</row>
    <row r="4" spans="1:2" s="12" customFormat="1" ht="11.25">
      <c r="A4" s="201" t="s">
        <v>3</v>
      </c>
      <c r="B4" s="327"/>
    </row>
    <row r="5" spans="1:2" s="12" customFormat="1" ht="11.25">
      <c r="A5" s="201" t="s">
        <v>4</v>
      </c>
      <c r="B5" s="327"/>
    </row>
    <row r="6" s="9" customFormat="1" ht="16.5" customHeight="1" thickBot="1"/>
    <row r="7" spans="2:23" s="9" customFormat="1" ht="16.5" customHeight="1" thickTop="1">
      <c r="B7" s="69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1"/>
    </row>
    <row r="8" spans="2:23" s="72" customFormat="1" ht="20.25">
      <c r="B8" s="73"/>
      <c r="F8" s="74" t="s">
        <v>52</v>
      </c>
      <c r="P8" s="75"/>
      <c r="Q8" s="75"/>
      <c r="R8" s="75"/>
      <c r="S8" s="75"/>
      <c r="T8" s="75"/>
      <c r="U8" s="75"/>
      <c r="V8" s="75"/>
      <c r="W8" s="76"/>
    </row>
    <row r="9" spans="2:23" s="9" customFormat="1" ht="16.5" customHeight="1">
      <c r="B9" s="42"/>
      <c r="F9" s="11"/>
      <c r="G9" s="11"/>
      <c r="H9" s="11"/>
      <c r="I9" s="82"/>
      <c r="J9" s="82"/>
      <c r="K9" s="82"/>
      <c r="L9" s="82"/>
      <c r="M9" s="82"/>
      <c r="P9" s="11"/>
      <c r="Q9" s="11"/>
      <c r="R9" s="11"/>
      <c r="S9" s="11"/>
      <c r="T9" s="11"/>
      <c r="U9" s="11"/>
      <c r="V9" s="11"/>
      <c r="W9" s="47"/>
    </row>
    <row r="10" spans="2:23" s="72" customFormat="1" ht="20.25">
      <c r="B10" s="73"/>
      <c r="F10" s="74" t="s">
        <v>53</v>
      </c>
      <c r="G10" s="74"/>
      <c r="H10" s="75"/>
      <c r="I10" s="74"/>
      <c r="J10" s="74"/>
      <c r="K10" s="74"/>
      <c r="L10" s="74"/>
      <c r="M10" s="74"/>
      <c r="P10" s="75"/>
      <c r="Q10" s="75"/>
      <c r="R10" s="75"/>
      <c r="S10" s="75"/>
      <c r="T10" s="75"/>
      <c r="U10" s="75"/>
      <c r="V10" s="75"/>
      <c r="W10" s="76"/>
    </row>
    <row r="11" spans="2:23" s="9" customFormat="1" ht="16.5" customHeight="1">
      <c r="B11" s="42"/>
      <c r="C11" s="11"/>
      <c r="D11" s="11"/>
      <c r="E11" s="11"/>
      <c r="F11" s="328"/>
      <c r="G11" s="82"/>
      <c r="H11" s="11"/>
      <c r="I11" s="82"/>
      <c r="J11" s="82"/>
      <c r="K11" s="82"/>
      <c r="L11" s="82"/>
      <c r="M11" s="82"/>
      <c r="P11" s="11"/>
      <c r="Q11" s="11"/>
      <c r="R11" s="11"/>
      <c r="S11" s="11"/>
      <c r="T11" s="11"/>
      <c r="U11" s="11"/>
      <c r="V11" s="11"/>
      <c r="W11" s="47"/>
    </row>
    <row r="12" spans="2:23" s="16" customFormat="1" ht="19.5">
      <c r="B12" s="29" t="str">
        <f>+'TOT-1013'!B14</f>
        <v>Desde el 01 al 31 de octubre de 2013</v>
      </c>
      <c r="C12" s="329"/>
      <c r="D12" s="329"/>
      <c r="E12" s="329"/>
      <c r="F12" s="32"/>
      <c r="G12" s="32"/>
      <c r="H12" s="32"/>
      <c r="I12" s="32"/>
      <c r="J12" s="79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81"/>
    </row>
    <row r="13" spans="2:23" s="9" customFormat="1" ht="16.5" customHeight="1" thickBot="1">
      <c r="B13" s="42"/>
      <c r="C13" s="11"/>
      <c r="D13" s="11"/>
      <c r="E13" s="11"/>
      <c r="I13" s="84"/>
      <c r="K13" s="11"/>
      <c r="L13" s="11"/>
      <c r="M13" s="11"/>
      <c r="N13" s="84"/>
      <c r="O13" s="84"/>
      <c r="P13" s="84"/>
      <c r="Q13" s="11"/>
      <c r="R13" s="11"/>
      <c r="S13" s="11"/>
      <c r="T13" s="11"/>
      <c r="U13" s="11"/>
      <c r="V13" s="11"/>
      <c r="W13" s="47"/>
    </row>
    <row r="14" spans="2:23" s="9" customFormat="1" ht="16.5" customHeight="1" thickBot="1" thickTop="1">
      <c r="B14" s="42"/>
      <c r="C14" s="11"/>
      <c r="D14" s="11"/>
      <c r="E14" s="11"/>
      <c r="F14" s="330" t="s">
        <v>54</v>
      </c>
      <c r="G14" s="405">
        <v>33.884</v>
      </c>
      <c r="H14" s="331">
        <f>60*'TOT-1013'!B13</f>
        <v>60</v>
      </c>
      <c r="I14" s="84"/>
      <c r="J14" s="232" t="str">
        <f>IF(H14=60," ",IF(H14=120,"    Coeficiente duplicado por tasa de falla &gt;4 Sal. x año/100 km.","    REVISAR COEFICIENTE"))</f>
        <v> </v>
      </c>
      <c r="K14" s="11"/>
      <c r="L14" s="11"/>
      <c r="M14" s="11"/>
      <c r="N14" s="84"/>
      <c r="O14" s="84"/>
      <c r="P14" s="84"/>
      <c r="Q14" s="11"/>
      <c r="R14" s="11"/>
      <c r="S14" s="11"/>
      <c r="T14" s="11"/>
      <c r="U14" s="11"/>
      <c r="V14" s="11"/>
      <c r="W14" s="47"/>
    </row>
    <row r="15" spans="2:23" s="9" customFormat="1" ht="16.5" customHeight="1" thickBot="1" thickTop="1">
      <c r="B15" s="42"/>
      <c r="C15" s="11"/>
      <c r="D15" s="11"/>
      <c r="E15" s="11"/>
      <c r="F15" s="330" t="s">
        <v>55</v>
      </c>
      <c r="G15" s="405">
        <v>16.943</v>
      </c>
      <c r="H15" s="331">
        <f>50*'TOT-1013'!B13</f>
        <v>50</v>
      </c>
      <c r="J15" s="232" t="str">
        <f>IF(H15=50," ",IF(H15=100,"    Coeficiente duplicado por tasa de falla &gt;4 Sal. x año/100 km.","    REVISAR COEFICIENTE"))</f>
        <v> </v>
      </c>
      <c r="S15" s="11"/>
      <c r="T15" s="11"/>
      <c r="U15" s="11"/>
      <c r="V15" s="332"/>
      <c r="W15" s="47"/>
    </row>
    <row r="16" spans="2:23" s="9" customFormat="1" ht="16.5" customHeight="1" thickBot="1" thickTop="1">
      <c r="B16" s="42"/>
      <c r="C16" s="11"/>
      <c r="D16" s="11"/>
      <c r="E16" s="11"/>
      <c r="F16" s="333" t="s">
        <v>56</v>
      </c>
      <c r="G16" s="334">
        <v>12.711</v>
      </c>
      <c r="H16" s="335">
        <f>25*'TOT-1013'!B13</f>
        <v>25</v>
      </c>
      <c r="J16" s="232" t="str">
        <f>IF(H16=25," ",IF(H16=50,"    Coeficiente duplicado por tasa de falla &gt;4 Sal. x año/100 km.","    REVISAR COEFICIENTE"))</f>
        <v> </v>
      </c>
      <c r="K16" s="91"/>
      <c r="L16" s="91"/>
      <c r="M16" s="11"/>
      <c r="P16" s="336"/>
      <c r="Q16" s="337"/>
      <c r="R16" s="4"/>
      <c r="S16" s="11"/>
      <c r="T16" s="11"/>
      <c r="U16" s="11"/>
      <c r="V16" s="332"/>
      <c r="W16" s="47"/>
    </row>
    <row r="17" spans="2:23" s="9" customFormat="1" ht="16.5" customHeight="1" thickBot="1" thickTop="1">
      <c r="B17" s="42"/>
      <c r="C17" s="11"/>
      <c r="D17" s="11"/>
      <c r="E17" s="11"/>
      <c r="F17" s="338" t="s">
        <v>57</v>
      </c>
      <c r="G17" s="406">
        <v>12.711</v>
      </c>
      <c r="H17" s="339">
        <f>20*'TOT-1013'!B13</f>
        <v>20</v>
      </c>
      <c r="J17" s="232" t="str">
        <f>IF(H17=20," ",IF(H17=40,"    Coeficiente duplicado por tasa de falla &gt;4 Sal. x año/100 km.","    REVISAR COEFICIENTE"))</f>
        <v> </v>
      </c>
      <c r="K17" s="91"/>
      <c r="L17" s="91"/>
      <c r="M17" s="11"/>
      <c r="P17" s="336"/>
      <c r="Q17" s="337"/>
      <c r="R17" s="4"/>
      <c r="S17" s="11"/>
      <c r="T17" s="11"/>
      <c r="U17" s="11"/>
      <c r="V17" s="332"/>
      <c r="W17" s="47"/>
    </row>
    <row r="18" spans="2:23" s="9" customFormat="1" ht="16.5" customHeight="1" thickBot="1" thickTop="1">
      <c r="B18" s="42"/>
      <c r="C18" s="11"/>
      <c r="D18" s="395">
        <v>4</v>
      </c>
      <c r="E18" s="395">
        <v>5</v>
      </c>
      <c r="F18" s="395">
        <v>6</v>
      </c>
      <c r="G18" s="395">
        <v>7</v>
      </c>
      <c r="H18" s="395">
        <v>8</v>
      </c>
      <c r="I18" s="395">
        <v>9</v>
      </c>
      <c r="J18" s="395">
        <v>10</v>
      </c>
      <c r="K18" s="395">
        <v>11</v>
      </c>
      <c r="L18" s="395">
        <v>12</v>
      </c>
      <c r="M18" s="395">
        <v>13</v>
      </c>
      <c r="N18" s="395">
        <v>14</v>
      </c>
      <c r="O18" s="395">
        <v>15</v>
      </c>
      <c r="P18" s="395">
        <v>16</v>
      </c>
      <c r="Q18" s="395">
        <v>17</v>
      </c>
      <c r="R18" s="395">
        <v>18</v>
      </c>
      <c r="S18" s="395">
        <v>19</v>
      </c>
      <c r="T18" s="395">
        <v>20</v>
      </c>
      <c r="U18" s="395">
        <v>21</v>
      </c>
      <c r="V18" s="395">
        <v>22</v>
      </c>
      <c r="W18" s="47"/>
    </row>
    <row r="19" spans="2:23" s="340" customFormat="1" ht="34.5" customHeight="1" thickBot="1" thickTop="1">
      <c r="B19" s="341"/>
      <c r="C19" s="394" t="s">
        <v>20</v>
      </c>
      <c r="D19" s="394" t="s">
        <v>62</v>
      </c>
      <c r="E19" s="394" t="s">
        <v>63</v>
      </c>
      <c r="F19" s="236" t="s">
        <v>41</v>
      </c>
      <c r="G19" s="342" t="s">
        <v>42</v>
      </c>
      <c r="H19" s="343" t="s">
        <v>21</v>
      </c>
      <c r="I19" s="96" t="s">
        <v>23</v>
      </c>
      <c r="J19" s="237" t="s">
        <v>24</v>
      </c>
      <c r="K19" s="342" t="s">
        <v>25</v>
      </c>
      <c r="L19" s="236" t="s">
        <v>44</v>
      </c>
      <c r="M19" s="236" t="s">
        <v>45</v>
      </c>
      <c r="N19" s="95" t="s">
        <v>60</v>
      </c>
      <c r="O19" s="237" t="s">
        <v>46</v>
      </c>
      <c r="P19" s="344" t="s">
        <v>58</v>
      </c>
      <c r="Q19" s="345" t="s">
        <v>59</v>
      </c>
      <c r="R19" s="346" t="s">
        <v>49</v>
      </c>
      <c r="S19" s="347"/>
      <c r="T19" s="348" t="s">
        <v>33</v>
      </c>
      <c r="U19" s="239" t="s">
        <v>35</v>
      </c>
      <c r="V19" s="239" t="s">
        <v>36</v>
      </c>
      <c r="W19" s="349"/>
    </row>
    <row r="20" spans="2:23" s="9" customFormat="1" ht="16.5" customHeight="1" thickTop="1">
      <c r="B20" s="42"/>
      <c r="C20" s="265"/>
      <c r="D20" s="393"/>
      <c r="E20" s="393"/>
      <c r="F20" s="264"/>
      <c r="G20" s="264"/>
      <c r="H20" s="350"/>
      <c r="I20" s="351"/>
      <c r="J20" s="267"/>
      <c r="K20" s="352"/>
      <c r="L20" s="268"/>
      <c r="M20" s="268"/>
      <c r="N20" s="267"/>
      <c r="O20" s="267"/>
      <c r="P20" s="353"/>
      <c r="Q20" s="354"/>
      <c r="R20" s="355"/>
      <c r="S20" s="356"/>
      <c r="T20" s="357"/>
      <c r="U20" s="358"/>
      <c r="V20" s="359"/>
      <c r="W20" s="214"/>
    </row>
    <row r="21" spans="2:23" s="9" customFormat="1" ht="16.5" customHeight="1">
      <c r="B21" s="42"/>
      <c r="C21" s="267"/>
      <c r="D21" s="264"/>
      <c r="E21" s="264"/>
      <c r="F21" s="360"/>
      <c r="G21" s="360"/>
      <c r="H21" s="361"/>
      <c r="I21" s="362"/>
      <c r="J21" s="363"/>
      <c r="K21" s="364"/>
      <c r="L21" s="281"/>
      <c r="M21" s="365"/>
      <c r="N21" s="283"/>
      <c r="O21" s="283"/>
      <c r="P21" s="366"/>
      <c r="Q21" s="367"/>
      <c r="R21" s="368"/>
      <c r="S21" s="369"/>
      <c r="T21" s="370"/>
      <c r="U21" s="371"/>
      <c r="V21" s="372"/>
      <c r="W21" s="214"/>
    </row>
    <row r="22" spans="2:23" s="9" customFormat="1" ht="16.5" customHeight="1">
      <c r="B22" s="42"/>
      <c r="C22" s="267">
        <v>21</v>
      </c>
      <c r="D22" s="264">
        <v>265821</v>
      </c>
      <c r="E22" s="264">
        <v>923</v>
      </c>
      <c r="F22" s="360" t="s">
        <v>77</v>
      </c>
      <c r="G22" s="360" t="s">
        <v>82</v>
      </c>
      <c r="H22" s="373">
        <v>33</v>
      </c>
      <c r="I22" s="362">
        <f aca="true" t="shared" si="0" ref="I22:I41">IF(H22=220,$G$14,IF(AND(H22&lt;=132,H22&gt;=66),$G$15,IF(AND(H22&lt;66,H22&gt;=33),$G$16,$G$17)))</f>
        <v>12.711</v>
      </c>
      <c r="J22" s="363">
        <v>41552.28125</v>
      </c>
      <c r="K22" s="364">
        <v>41552.486805555556</v>
      </c>
      <c r="L22" s="281">
        <f aca="true" t="shared" si="1" ref="L22:L41">IF(F22="","",(K22-J22)*24)</f>
        <v>4.933333333348855</v>
      </c>
      <c r="M22" s="365">
        <f aca="true" t="shared" si="2" ref="M22:M41">IF(F22="","",ROUND((K22-J22)*24*60,0))</f>
        <v>296</v>
      </c>
      <c r="N22" s="283" t="s">
        <v>66</v>
      </c>
      <c r="O22" s="283" t="str">
        <f>IF(F22="","",IF(OR(N22="P",N22="RP"),"--","NO"))</f>
        <v>--</v>
      </c>
      <c r="P22" s="366">
        <f aca="true" t="shared" si="3" ref="P22:P41">IF(H22=220,$H$14,IF(AND(H22&lt;=132,H22&gt;=66),$H$15,IF(AND(H22&lt;66,H22&gt;13.2),$H$16,$H$17)))</f>
        <v>25</v>
      </c>
      <c r="Q22" s="367">
        <f aca="true" t="shared" si="4" ref="Q22:Q41">IF(N22="P",I22*P22*ROUND(M22/60,2)*0.1,"--")</f>
        <v>156.66307500000002</v>
      </c>
      <c r="R22" s="368" t="str">
        <f aca="true" t="shared" si="5" ref="R22:R41">IF(AND(N22="F",O22="NO"),I22*P22,"--")</f>
        <v>--</v>
      </c>
      <c r="S22" s="369" t="str">
        <f aca="true" t="shared" si="6" ref="S22:S41">IF(N22="F",I22*P22*ROUND(M22/60,2),"--")</f>
        <v>--</v>
      </c>
      <c r="T22" s="370" t="str">
        <f aca="true" t="shared" si="7" ref="T22:T41">IF(N22="RF",I22*P22*ROUND(M22/60,2),"--")</f>
        <v>--</v>
      </c>
      <c r="U22" s="371" t="s">
        <v>74</v>
      </c>
      <c r="V22" s="374">
        <f aca="true" t="shared" si="8" ref="V22:V41">IF(F22="","",SUM(Q22:T22)*IF(U22="SI",1,2)*IF(H22="500/220",0,1))</f>
        <v>156.66307500000002</v>
      </c>
      <c r="W22" s="294"/>
    </row>
    <row r="23" spans="2:23" s="9" customFormat="1" ht="16.5" customHeight="1">
      <c r="B23" s="42"/>
      <c r="C23" s="267">
        <v>22</v>
      </c>
      <c r="D23" s="264">
        <v>266124</v>
      </c>
      <c r="E23" s="264">
        <v>4631</v>
      </c>
      <c r="F23" s="360" t="s">
        <v>77</v>
      </c>
      <c r="G23" s="360" t="s">
        <v>92</v>
      </c>
      <c r="H23" s="361">
        <v>220</v>
      </c>
      <c r="I23" s="362">
        <f t="shared" si="0"/>
        <v>33.884</v>
      </c>
      <c r="J23" s="363">
        <v>41560.334027777775</v>
      </c>
      <c r="K23" s="364">
        <v>41560.69236111111</v>
      </c>
      <c r="L23" s="281">
        <f t="shared" si="1"/>
        <v>8.600000000093132</v>
      </c>
      <c r="M23" s="365">
        <f t="shared" si="2"/>
        <v>516</v>
      </c>
      <c r="N23" s="283" t="s">
        <v>66</v>
      </c>
      <c r="O23" s="283" t="str">
        <f aca="true" t="shared" si="9" ref="O23:O41">IF(F23="","",IF(OR(N23="P",N23="RP"),"--","NO"))</f>
        <v>--</v>
      </c>
      <c r="P23" s="366">
        <f t="shared" si="3"/>
        <v>60</v>
      </c>
      <c r="Q23" s="367">
        <f t="shared" si="4"/>
        <v>1748.4144000000001</v>
      </c>
      <c r="R23" s="368" t="str">
        <f t="shared" si="5"/>
        <v>--</v>
      </c>
      <c r="S23" s="369" t="str">
        <f t="shared" si="6"/>
        <v>--</v>
      </c>
      <c r="T23" s="370" t="str">
        <f t="shared" si="7"/>
        <v>--</v>
      </c>
      <c r="U23" s="371" t="s">
        <v>74</v>
      </c>
      <c r="V23" s="374">
        <f t="shared" si="8"/>
        <v>1748.4144000000001</v>
      </c>
      <c r="W23" s="294"/>
    </row>
    <row r="24" spans="2:23" s="9" customFormat="1" ht="16.5" customHeight="1">
      <c r="B24" s="42"/>
      <c r="C24" s="267">
        <v>23</v>
      </c>
      <c r="D24" s="264">
        <v>266702</v>
      </c>
      <c r="E24" s="264">
        <v>4631</v>
      </c>
      <c r="F24" s="360" t="s">
        <v>77</v>
      </c>
      <c r="G24" s="360" t="s">
        <v>92</v>
      </c>
      <c r="H24" s="361">
        <v>220</v>
      </c>
      <c r="I24" s="362">
        <f t="shared" si="0"/>
        <v>33.884</v>
      </c>
      <c r="J24" s="363">
        <v>41569.45</v>
      </c>
      <c r="K24" s="364">
        <v>41569.510416666664</v>
      </c>
      <c r="L24" s="281">
        <f t="shared" si="1"/>
        <v>1.4500000000116415</v>
      </c>
      <c r="M24" s="365">
        <f t="shared" si="2"/>
        <v>87</v>
      </c>
      <c r="N24" s="283" t="s">
        <v>71</v>
      </c>
      <c r="O24" s="283" t="str">
        <f t="shared" si="9"/>
        <v>NO</v>
      </c>
      <c r="P24" s="366">
        <f t="shared" si="3"/>
        <v>60</v>
      </c>
      <c r="Q24" s="367" t="str">
        <f t="shared" si="4"/>
        <v>--</v>
      </c>
      <c r="R24" s="368">
        <f t="shared" si="5"/>
        <v>2033.04</v>
      </c>
      <c r="S24" s="369">
        <f t="shared" si="6"/>
        <v>2947.908</v>
      </c>
      <c r="T24" s="370" t="str">
        <f t="shared" si="7"/>
        <v>--</v>
      </c>
      <c r="U24" s="371" t="s">
        <v>74</v>
      </c>
      <c r="V24" s="374">
        <f t="shared" si="8"/>
        <v>4980.948</v>
      </c>
      <c r="W24" s="294"/>
    </row>
    <row r="25" spans="2:23" s="9" customFormat="1" ht="16.5" customHeight="1">
      <c r="B25" s="42"/>
      <c r="C25" s="267"/>
      <c r="D25" s="264"/>
      <c r="E25" s="264"/>
      <c r="F25" s="360"/>
      <c r="G25" s="360"/>
      <c r="H25" s="361"/>
      <c r="I25" s="362">
        <f t="shared" si="0"/>
        <v>12.711</v>
      </c>
      <c r="J25" s="363"/>
      <c r="K25" s="364"/>
      <c r="L25" s="281">
        <f t="shared" si="1"/>
      </c>
      <c r="M25" s="365">
        <f t="shared" si="2"/>
      </c>
      <c r="N25" s="283"/>
      <c r="O25" s="283">
        <f t="shared" si="9"/>
      </c>
      <c r="P25" s="366">
        <f t="shared" si="3"/>
        <v>20</v>
      </c>
      <c r="Q25" s="367" t="str">
        <f t="shared" si="4"/>
        <v>--</v>
      </c>
      <c r="R25" s="368" t="str">
        <f t="shared" si="5"/>
        <v>--</v>
      </c>
      <c r="S25" s="369" t="str">
        <f t="shared" si="6"/>
        <v>--</v>
      </c>
      <c r="T25" s="370" t="str">
        <f t="shared" si="7"/>
        <v>--</v>
      </c>
      <c r="U25" s="371">
        <f aca="true" t="shared" si="10" ref="U25:U41">IF(F25="","","SI")</f>
      </c>
      <c r="V25" s="374">
        <f t="shared" si="8"/>
      </c>
      <c r="W25" s="294"/>
    </row>
    <row r="26" spans="2:23" s="9" customFormat="1" ht="16.5" customHeight="1">
      <c r="B26" s="42"/>
      <c r="C26" s="267"/>
      <c r="D26" s="264"/>
      <c r="E26" s="264"/>
      <c r="F26" s="360"/>
      <c r="G26" s="360"/>
      <c r="H26" s="361"/>
      <c r="I26" s="362">
        <f t="shared" si="0"/>
        <v>12.711</v>
      </c>
      <c r="J26" s="363"/>
      <c r="K26" s="364"/>
      <c r="L26" s="281">
        <f t="shared" si="1"/>
      </c>
      <c r="M26" s="365">
        <f t="shared" si="2"/>
      </c>
      <c r="N26" s="283"/>
      <c r="O26" s="283">
        <f t="shared" si="9"/>
      </c>
      <c r="P26" s="366">
        <f t="shared" si="3"/>
        <v>20</v>
      </c>
      <c r="Q26" s="367" t="str">
        <f t="shared" si="4"/>
        <v>--</v>
      </c>
      <c r="R26" s="368" t="str">
        <f t="shared" si="5"/>
        <v>--</v>
      </c>
      <c r="S26" s="369" t="str">
        <f t="shared" si="6"/>
        <v>--</v>
      </c>
      <c r="T26" s="370" t="str">
        <f t="shared" si="7"/>
        <v>--</v>
      </c>
      <c r="U26" s="371">
        <f t="shared" si="10"/>
      </c>
      <c r="V26" s="374">
        <f t="shared" si="8"/>
      </c>
      <c r="W26" s="294"/>
    </row>
    <row r="27" spans="2:23" s="9" customFormat="1" ht="16.5" customHeight="1">
      <c r="B27" s="42"/>
      <c r="C27" s="267"/>
      <c r="D27" s="264"/>
      <c r="E27" s="264"/>
      <c r="F27" s="360"/>
      <c r="G27" s="360"/>
      <c r="H27" s="361"/>
      <c r="I27" s="362">
        <f t="shared" si="0"/>
        <v>12.711</v>
      </c>
      <c r="J27" s="363"/>
      <c r="K27" s="364"/>
      <c r="L27" s="281">
        <f t="shared" si="1"/>
      </c>
      <c r="M27" s="365">
        <f t="shared" si="2"/>
      </c>
      <c r="N27" s="283"/>
      <c r="O27" s="283">
        <f t="shared" si="9"/>
      </c>
      <c r="P27" s="366">
        <f t="shared" si="3"/>
        <v>20</v>
      </c>
      <c r="Q27" s="367" t="str">
        <f t="shared" si="4"/>
        <v>--</v>
      </c>
      <c r="R27" s="368" t="str">
        <f t="shared" si="5"/>
        <v>--</v>
      </c>
      <c r="S27" s="369" t="str">
        <f t="shared" si="6"/>
        <v>--</v>
      </c>
      <c r="T27" s="370" t="str">
        <f t="shared" si="7"/>
        <v>--</v>
      </c>
      <c r="U27" s="371">
        <f t="shared" si="10"/>
      </c>
      <c r="V27" s="374">
        <f t="shared" si="8"/>
      </c>
      <c r="W27" s="294"/>
    </row>
    <row r="28" spans="2:23" s="9" customFormat="1" ht="16.5" customHeight="1">
      <c r="B28" s="42"/>
      <c r="C28" s="267"/>
      <c r="D28" s="264"/>
      <c r="E28" s="264"/>
      <c r="F28" s="360"/>
      <c r="G28" s="360"/>
      <c r="H28" s="361"/>
      <c r="I28" s="362">
        <f t="shared" si="0"/>
        <v>12.711</v>
      </c>
      <c r="J28" s="363"/>
      <c r="K28" s="364"/>
      <c r="L28" s="281">
        <f t="shared" si="1"/>
      </c>
      <c r="M28" s="365">
        <f t="shared" si="2"/>
      </c>
      <c r="N28" s="283"/>
      <c r="O28" s="283">
        <f t="shared" si="9"/>
      </c>
      <c r="P28" s="366">
        <f t="shared" si="3"/>
        <v>20</v>
      </c>
      <c r="Q28" s="367" t="str">
        <f t="shared" si="4"/>
        <v>--</v>
      </c>
      <c r="R28" s="368" t="str">
        <f t="shared" si="5"/>
        <v>--</v>
      </c>
      <c r="S28" s="369" t="str">
        <f t="shared" si="6"/>
        <v>--</v>
      </c>
      <c r="T28" s="370" t="str">
        <f t="shared" si="7"/>
        <v>--</v>
      </c>
      <c r="U28" s="371">
        <f t="shared" si="10"/>
      </c>
      <c r="V28" s="374">
        <f t="shared" si="8"/>
      </c>
      <c r="W28" s="294"/>
    </row>
    <row r="29" spans="2:23" s="9" customFormat="1" ht="16.5" customHeight="1">
      <c r="B29" s="42"/>
      <c r="C29" s="267"/>
      <c r="D29" s="264"/>
      <c r="E29" s="264"/>
      <c r="F29" s="360"/>
      <c r="G29" s="360"/>
      <c r="H29" s="361"/>
      <c r="I29" s="362">
        <f t="shared" si="0"/>
        <v>12.711</v>
      </c>
      <c r="J29" s="363"/>
      <c r="K29" s="364"/>
      <c r="L29" s="281">
        <f t="shared" si="1"/>
      </c>
      <c r="M29" s="365">
        <f t="shared" si="2"/>
      </c>
      <c r="N29" s="283"/>
      <c r="O29" s="283">
        <f t="shared" si="9"/>
      </c>
      <c r="P29" s="366">
        <f t="shared" si="3"/>
        <v>20</v>
      </c>
      <c r="Q29" s="367" t="str">
        <f t="shared" si="4"/>
        <v>--</v>
      </c>
      <c r="R29" s="368" t="str">
        <f t="shared" si="5"/>
        <v>--</v>
      </c>
      <c r="S29" s="369" t="str">
        <f t="shared" si="6"/>
        <v>--</v>
      </c>
      <c r="T29" s="370" t="str">
        <f t="shared" si="7"/>
        <v>--</v>
      </c>
      <c r="U29" s="371">
        <f t="shared" si="10"/>
      </c>
      <c r="V29" s="374">
        <f t="shared" si="8"/>
      </c>
      <c r="W29" s="294"/>
    </row>
    <row r="30" spans="2:23" s="9" customFormat="1" ht="16.5" customHeight="1">
      <c r="B30" s="42"/>
      <c r="C30" s="267"/>
      <c r="D30" s="264"/>
      <c r="E30" s="264"/>
      <c r="F30" s="360"/>
      <c r="G30" s="360"/>
      <c r="H30" s="361"/>
      <c r="I30" s="362">
        <f t="shared" si="0"/>
        <v>12.711</v>
      </c>
      <c r="J30" s="363"/>
      <c r="K30" s="364"/>
      <c r="L30" s="281">
        <f t="shared" si="1"/>
      </c>
      <c r="M30" s="365">
        <f t="shared" si="2"/>
      </c>
      <c r="N30" s="283"/>
      <c r="O30" s="283">
        <f t="shared" si="9"/>
      </c>
      <c r="P30" s="366">
        <f t="shared" si="3"/>
        <v>20</v>
      </c>
      <c r="Q30" s="367" t="str">
        <f t="shared" si="4"/>
        <v>--</v>
      </c>
      <c r="R30" s="368" t="str">
        <f t="shared" si="5"/>
        <v>--</v>
      </c>
      <c r="S30" s="369" t="str">
        <f t="shared" si="6"/>
        <v>--</v>
      </c>
      <c r="T30" s="370" t="str">
        <f t="shared" si="7"/>
        <v>--</v>
      </c>
      <c r="U30" s="371">
        <f t="shared" si="10"/>
      </c>
      <c r="V30" s="374">
        <f t="shared" si="8"/>
      </c>
      <c r="W30" s="294"/>
    </row>
    <row r="31" spans="2:23" s="9" customFormat="1" ht="16.5" customHeight="1">
      <c r="B31" s="42"/>
      <c r="C31" s="267"/>
      <c r="D31" s="264"/>
      <c r="E31" s="264"/>
      <c r="F31" s="360"/>
      <c r="G31" s="360"/>
      <c r="H31" s="361"/>
      <c r="I31" s="362">
        <f t="shared" si="0"/>
        <v>12.711</v>
      </c>
      <c r="J31" s="363"/>
      <c r="K31" s="364"/>
      <c r="L31" s="281">
        <f t="shared" si="1"/>
      </c>
      <c r="M31" s="365">
        <f t="shared" si="2"/>
      </c>
      <c r="N31" s="283"/>
      <c r="O31" s="283">
        <f t="shared" si="9"/>
      </c>
      <c r="P31" s="366">
        <f t="shared" si="3"/>
        <v>20</v>
      </c>
      <c r="Q31" s="367" t="str">
        <f t="shared" si="4"/>
        <v>--</v>
      </c>
      <c r="R31" s="368" t="str">
        <f t="shared" si="5"/>
        <v>--</v>
      </c>
      <c r="S31" s="369" t="str">
        <f t="shared" si="6"/>
        <v>--</v>
      </c>
      <c r="T31" s="370" t="str">
        <f t="shared" si="7"/>
        <v>--</v>
      </c>
      <c r="U31" s="371">
        <f t="shared" si="10"/>
      </c>
      <c r="V31" s="374">
        <f t="shared" si="8"/>
      </c>
      <c r="W31" s="294"/>
    </row>
    <row r="32" spans="2:23" s="9" customFormat="1" ht="16.5" customHeight="1">
      <c r="B32" s="42"/>
      <c r="C32" s="267"/>
      <c r="D32" s="264"/>
      <c r="E32" s="264"/>
      <c r="F32" s="360"/>
      <c r="G32" s="360"/>
      <c r="H32" s="361"/>
      <c r="I32" s="362">
        <f t="shared" si="0"/>
        <v>12.711</v>
      </c>
      <c r="J32" s="363"/>
      <c r="K32" s="364"/>
      <c r="L32" s="281">
        <f t="shared" si="1"/>
      </c>
      <c r="M32" s="365">
        <f t="shared" si="2"/>
      </c>
      <c r="N32" s="283"/>
      <c r="O32" s="283">
        <f t="shared" si="9"/>
      </c>
      <c r="P32" s="366">
        <f t="shared" si="3"/>
        <v>20</v>
      </c>
      <c r="Q32" s="367" t="str">
        <f t="shared" si="4"/>
        <v>--</v>
      </c>
      <c r="R32" s="368" t="str">
        <f t="shared" si="5"/>
        <v>--</v>
      </c>
      <c r="S32" s="369" t="str">
        <f t="shared" si="6"/>
        <v>--</v>
      </c>
      <c r="T32" s="370" t="str">
        <f t="shared" si="7"/>
        <v>--</v>
      </c>
      <c r="U32" s="371">
        <f t="shared" si="10"/>
      </c>
      <c r="V32" s="374">
        <f t="shared" si="8"/>
      </c>
      <c r="W32" s="294"/>
    </row>
    <row r="33" spans="2:23" s="9" customFormat="1" ht="16.5" customHeight="1">
      <c r="B33" s="42"/>
      <c r="C33" s="267"/>
      <c r="D33" s="264"/>
      <c r="E33" s="264"/>
      <c r="F33" s="360"/>
      <c r="G33" s="360"/>
      <c r="H33" s="361"/>
      <c r="I33" s="362">
        <f t="shared" si="0"/>
        <v>12.711</v>
      </c>
      <c r="J33" s="363"/>
      <c r="K33" s="364"/>
      <c r="L33" s="281">
        <f t="shared" si="1"/>
      </c>
      <c r="M33" s="365">
        <f t="shared" si="2"/>
      </c>
      <c r="N33" s="283"/>
      <c r="O33" s="283">
        <f t="shared" si="9"/>
      </c>
      <c r="P33" s="366">
        <f t="shared" si="3"/>
        <v>20</v>
      </c>
      <c r="Q33" s="367" t="str">
        <f t="shared" si="4"/>
        <v>--</v>
      </c>
      <c r="R33" s="368" t="str">
        <f t="shared" si="5"/>
        <v>--</v>
      </c>
      <c r="S33" s="369" t="str">
        <f t="shared" si="6"/>
        <v>--</v>
      </c>
      <c r="T33" s="370" t="str">
        <f t="shared" si="7"/>
        <v>--</v>
      </c>
      <c r="U33" s="371">
        <f t="shared" si="10"/>
      </c>
      <c r="V33" s="374">
        <f t="shared" si="8"/>
      </c>
      <c r="W33" s="294"/>
    </row>
    <row r="34" spans="2:23" s="9" customFormat="1" ht="16.5" customHeight="1">
      <c r="B34" s="42"/>
      <c r="C34" s="267"/>
      <c r="D34" s="264"/>
      <c r="E34" s="264"/>
      <c r="F34" s="360"/>
      <c r="G34" s="360"/>
      <c r="H34" s="361"/>
      <c r="I34" s="362">
        <f t="shared" si="0"/>
        <v>12.711</v>
      </c>
      <c r="J34" s="363"/>
      <c r="K34" s="364"/>
      <c r="L34" s="281">
        <f t="shared" si="1"/>
      </c>
      <c r="M34" s="365">
        <f t="shared" si="2"/>
      </c>
      <c r="N34" s="283"/>
      <c r="O34" s="283">
        <f t="shared" si="9"/>
      </c>
      <c r="P34" s="366">
        <f t="shared" si="3"/>
        <v>20</v>
      </c>
      <c r="Q34" s="367" t="str">
        <f t="shared" si="4"/>
        <v>--</v>
      </c>
      <c r="R34" s="368" t="str">
        <f t="shared" si="5"/>
        <v>--</v>
      </c>
      <c r="S34" s="369" t="str">
        <f t="shared" si="6"/>
        <v>--</v>
      </c>
      <c r="T34" s="370" t="str">
        <f t="shared" si="7"/>
        <v>--</v>
      </c>
      <c r="U34" s="371">
        <f t="shared" si="10"/>
      </c>
      <c r="V34" s="374">
        <f t="shared" si="8"/>
      </c>
      <c r="W34" s="294"/>
    </row>
    <row r="35" spans="2:23" s="9" customFormat="1" ht="16.5" customHeight="1">
      <c r="B35" s="42"/>
      <c r="C35" s="267"/>
      <c r="D35" s="264"/>
      <c r="E35" s="264"/>
      <c r="F35" s="360"/>
      <c r="G35" s="360"/>
      <c r="H35" s="361"/>
      <c r="I35" s="362">
        <f t="shared" si="0"/>
        <v>12.711</v>
      </c>
      <c r="J35" s="363"/>
      <c r="K35" s="364"/>
      <c r="L35" s="281">
        <f t="shared" si="1"/>
      </c>
      <c r="M35" s="365">
        <f t="shared" si="2"/>
      </c>
      <c r="N35" s="283"/>
      <c r="O35" s="283">
        <f t="shared" si="9"/>
      </c>
      <c r="P35" s="366">
        <f t="shared" si="3"/>
        <v>20</v>
      </c>
      <c r="Q35" s="367" t="str">
        <f t="shared" si="4"/>
        <v>--</v>
      </c>
      <c r="R35" s="368" t="str">
        <f t="shared" si="5"/>
        <v>--</v>
      </c>
      <c r="S35" s="369" t="str">
        <f t="shared" si="6"/>
        <v>--</v>
      </c>
      <c r="T35" s="370" t="str">
        <f t="shared" si="7"/>
        <v>--</v>
      </c>
      <c r="U35" s="371">
        <f t="shared" si="10"/>
      </c>
      <c r="V35" s="374">
        <f t="shared" si="8"/>
      </c>
      <c r="W35" s="294"/>
    </row>
    <row r="36" spans="2:23" s="9" customFormat="1" ht="16.5" customHeight="1">
      <c r="B36" s="42"/>
      <c r="C36" s="267"/>
      <c r="D36" s="264"/>
      <c r="E36" s="264"/>
      <c r="F36" s="360"/>
      <c r="G36" s="360"/>
      <c r="H36" s="361"/>
      <c r="I36" s="362">
        <f t="shared" si="0"/>
        <v>12.711</v>
      </c>
      <c r="J36" s="363"/>
      <c r="K36" s="364"/>
      <c r="L36" s="281">
        <f t="shared" si="1"/>
      </c>
      <c r="M36" s="365">
        <f t="shared" si="2"/>
      </c>
      <c r="N36" s="283"/>
      <c r="O36" s="283">
        <f t="shared" si="9"/>
      </c>
      <c r="P36" s="366">
        <f t="shared" si="3"/>
        <v>20</v>
      </c>
      <c r="Q36" s="367" t="str">
        <f t="shared" si="4"/>
        <v>--</v>
      </c>
      <c r="R36" s="368" t="str">
        <f t="shared" si="5"/>
        <v>--</v>
      </c>
      <c r="S36" s="369" t="str">
        <f t="shared" si="6"/>
        <v>--</v>
      </c>
      <c r="T36" s="370" t="str">
        <f t="shared" si="7"/>
        <v>--</v>
      </c>
      <c r="U36" s="371">
        <f t="shared" si="10"/>
      </c>
      <c r="V36" s="374">
        <f t="shared" si="8"/>
      </c>
      <c r="W36" s="294"/>
    </row>
    <row r="37" spans="2:23" s="9" customFormat="1" ht="16.5" customHeight="1">
      <c r="B37" s="42"/>
      <c r="C37" s="267"/>
      <c r="D37" s="264"/>
      <c r="E37" s="264"/>
      <c r="F37" s="360"/>
      <c r="G37" s="360"/>
      <c r="H37" s="361"/>
      <c r="I37" s="362">
        <f t="shared" si="0"/>
        <v>12.711</v>
      </c>
      <c r="J37" s="363"/>
      <c r="K37" s="364"/>
      <c r="L37" s="281">
        <f t="shared" si="1"/>
      </c>
      <c r="M37" s="365">
        <f t="shared" si="2"/>
      </c>
      <c r="N37" s="283"/>
      <c r="O37" s="283">
        <f t="shared" si="9"/>
      </c>
      <c r="P37" s="366">
        <f t="shared" si="3"/>
        <v>20</v>
      </c>
      <c r="Q37" s="367" t="str">
        <f t="shared" si="4"/>
        <v>--</v>
      </c>
      <c r="R37" s="368" t="str">
        <f t="shared" si="5"/>
        <v>--</v>
      </c>
      <c r="S37" s="369" t="str">
        <f t="shared" si="6"/>
        <v>--</v>
      </c>
      <c r="T37" s="370" t="str">
        <f t="shared" si="7"/>
        <v>--</v>
      </c>
      <c r="U37" s="371">
        <f t="shared" si="10"/>
      </c>
      <c r="V37" s="374">
        <f t="shared" si="8"/>
      </c>
      <c r="W37" s="294"/>
    </row>
    <row r="38" spans="2:23" s="9" customFormat="1" ht="16.5" customHeight="1">
      <c r="B38" s="42"/>
      <c r="C38" s="267"/>
      <c r="D38" s="264"/>
      <c r="E38" s="264"/>
      <c r="F38" s="360"/>
      <c r="G38" s="360"/>
      <c r="H38" s="361"/>
      <c r="I38" s="362">
        <f t="shared" si="0"/>
        <v>12.711</v>
      </c>
      <c r="J38" s="363"/>
      <c r="K38" s="364"/>
      <c r="L38" s="281">
        <f t="shared" si="1"/>
      </c>
      <c r="M38" s="365">
        <f t="shared" si="2"/>
      </c>
      <c r="N38" s="283"/>
      <c r="O38" s="283">
        <f t="shared" si="9"/>
      </c>
      <c r="P38" s="366">
        <f t="shared" si="3"/>
        <v>20</v>
      </c>
      <c r="Q38" s="367" t="str">
        <f t="shared" si="4"/>
        <v>--</v>
      </c>
      <c r="R38" s="368" t="str">
        <f t="shared" si="5"/>
        <v>--</v>
      </c>
      <c r="S38" s="369" t="str">
        <f t="shared" si="6"/>
        <v>--</v>
      </c>
      <c r="T38" s="370" t="str">
        <f t="shared" si="7"/>
        <v>--</v>
      </c>
      <c r="U38" s="371">
        <f t="shared" si="10"/>
      </c>
      <c r="V38" s="374">
        <f t="shared" si="8"/>
      </c>
      <c r="W38" s="294"/>
    </row>
    <row r="39" spans="2:23" s="9" customFormat="1" ht="16.5" customHeight="1">
      <c r="B39" s="42"/>
      <c r="C39" s="267"/>
      <c r="D39" s="264"/>
      <c r="E39" s="264"/>
      <c r="F39" s="360"/>
      <c r="G39" s="360"/>
      <c r="H39" s="361"/>
      <c r="I39" s="362">
        <f t="shared" si="0"/>
        <v>12.711</v>
      </c>
      <c r="J39" s="363"/>
      <c r="K39" s="364"/>
      <c r="L39" s="281">
        <f t="shared" si="1"/>
      </c>
      <c r="M39" s="365">
        <f t="shared" si="2"/>
      </c>
      <c r="N39" s="283"/>
      <c r="O39" s="283">
        <f t="shared" si="9"/>
      </c>
      <c r="P39" s="366">
        <f t="shared" si="3"/>
        <v>20</v>
      </c>
      <c r="Q39" s="367" t="str">
        <f t="shared" si="4"/>
        <v>--</v>
      </c>
      <c r="R39" s="368" t="str">
        <f t="shared" si="5"/>
        <v>--</v>
      </c>
      <c r="S39" s="369" t="str">
        <f t="shared" si="6"/>
        <v>--</v>
      </c>
      <c r="T39" s="370" t="str">
        <f t="shared" si="7"/>
        <v>--</v>
      </c>
      <c r="U39" s="371">
        <f t="shared" si="10"/>
      </c>
      <c r="V39" s="374">
        <f t="shared" si="8"/>
      </c>
      <c r="W39" s="294"/>
    </row>
    <row r="40" spans="2:23" s="9" customFormat="1" ht="16.5" customHeight="1">
      <c r="B40" s="42"/>
      <c r="C40" s="267"/>
      <c r="D40" s="264"/>
      <c r="E40" s="264"/>
      <c r="F40" s="360"/>
      <c r="G40" s="360"/>
      <c r="H40" s="361"/>
      <c r="I40" s="362">
        <f t="shared" si="0"/>
        <v>12.711</v>
      </c>
      <c r="J40" s="363"/>
      <c r="K40" s="364"/>
      <c r="L40" s="281">
        <f t="shared" si="1"/>
      </c>
      <c r="M40" s="365">
        <f t="shared" si="2"/>
      </c>
      <c r="N40" s="283"/>
      <c r="O40" s="283">
        <f t="shared" si="9"/>
      </c>
      <c r="P40" s="366">
        <f t="shared" si="3"/>
        <v>20</v>
      </c>
      <c r="Q40" s="367" t="str">
        <f t="shared" si="4"/>
        <v>--</v>
      </c>
      <c r="R40" s="368" t="str">
        <f t="shared" si="5"/>
        <v>--</v>
      </c>
      <c r="S40" s="369" t="str">
        <f t="shared" si="6"/>
        <v>--</v>
      </c>
      <c r="T40" s="370" t="str">
        <f t="shared" si="7"/>
        <v>--</v>
      </c>
      <c r="U40" s="371">
        <f t="shared" si="10"/>
      </c>
      <c r="V40" s="374">
        <f t="shared" si="8"/>
      </c>
      <c r="W40" s="294"/>
    </row>
    <row r="41" spans="2:23" s="9" customFormat="1" ht="16.5" customHeight="1">
      <c r="B41" s="42"/>
      <c r="C41" s="267"/>
      <c r="D41" s="264"/>
      <c r="E41" s="264"/>
      <c r="F41" s="360"/>
      <c r="G41" s="360"/>
      <c r="H41" s="361"/>
      <c r="I41" s="362">
        <f t="shared" si="0"/>
        <v>12.711</v>
      </c>
      <c r="J41" s="363"/>
      <c r="K41" s="364"/>
      <c r="L41" s="281">
        <f t="shared" si="1"/>
      </c>
      <c r="M41" s="365">
        <f t="shared" si="2"/>
      </c>
      <c r="N41" s="283"/>
      <c r="O41" s="283">
        <f t="shared" si="9"/>
      </c>
      <c r="P41" s="366">
        <f t="shared" si="3"/>
        <v>20</v>
      </c>
      <c r="Q41" s="367" t="str">
        <f t="shared" si="4"/>
        <v>--</v>
      </c>
      <c r="R41" s="368" t="str">
        <f t="shared" si="5"/>
        <v>--</v>
      </c>
      <c r="S41" s="369" t="str">
        <f t="shared" si="6"/>
        <v>--</v>
      </c>
      <c r="T41" s="370" t="str">
        <f t="shared" si="7"/>
        <v>--</v>
      </c>
      <c r="U41" s="371">
        <f t="shared" si="10"/>
      </c>
      <c r="V41" s="374">
        <f t="shared" si="8"/>
      </c>
      <c r="W41" s="294"/>
    </row>
    <row r="42" spans="2:23" s="9" customFormat="1" ht="16.5" customHeight="1" thickBot="1">
      <c r="B42" s="42"/>
      <c r="C42" s="295"/>
      <c r="D42" s="295"/>
      <c r="E42" s="295"/>
      <c r="F42" s="295"/>
      <c r="G42" s="295"/>
      <c r="H42" s="295"/>
      <c r="I42" s="375"/>
      <c r="J42" s="295"/>
      <c r="K42" s="295"/>
      <c r="L42" s="295"/>
      <c r="M42" s="295"/>
      <c r="N42" s="295"/>
      <c r="O42" s="295"/>
      <c r="P42" s="376"/>
      <c r="Q42" s="377"/>
      <c r="R42" s="378"/>
      <c r="S42" s="379"/>
      <c r="T42" s="380"/>
      <c r="U42" s="295"/>
      <c r="V42" s="381"/>
      <c r="W42" s="294"/>
    </row>
    <row r="43" spans="2:23" s="9" customFormat="1" ht="16.5" customHeight="1" thickBot="1" thickTop="1">
      <c r="B43" s="42"/>
      <c r="C43" s="168" t="s">
        <v>61</v>
      </c>
      <c r="D43" s="398" t="s">
        <v>83</v>
      </c>
      <c r="E43" s="183"/>
      <c r="F43" s="169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382">
        <f>SUM(Q20:Q42)</f>
        <v>1905.077475</v>
      </c>
      <c r="R43" s="383">
        <f>SUM(R20:R42)</f>
        <v>2033.04</v>
      </c>
      <c r="S43" s="383">
        <f>SUM(S20:S42)</f>
        <v>2947.908</v>
      </c>
      <c r="T43" s="384">
        <f>SUM(T20:T42)</f>
        <v>0</v>
      </c>
      <c r="U43" s="385"/>
      <c r="V43" s="386">
        <f>ROUND(SUM(V20:V42),2)</f>
        <v>6886.03</v>
      </c>
      <c r="W43" s="294"/>
    </row>
    <row r="44" spans="2:23" s="181" customFormat="1" ht="9.75" thickTop="1">
      <c r="B44" s="182"/>
      <c r="C44" s="183"/>
      <c r="D44" s="183"/>
      <c r="E44" s="183"/>
      <c r="F44" s="184"/>
      <c r="G44" s="317"/>
      <c r="H44" s="317"/>
      <c r="I44" s="317"/>
      <c r="J44" s="317"/>
      <c r="K44" s="317"/>
      <c r="L44" s="317"/>
      <c r="M44" s="317"/>
      <c r="N44" s="317"/>
      <c r="O44" s="317"/>
      <c r="P44" s="317"/>
      <c r="Q44" s="317"/>
      <c r="R44" s="317"/>
      <c r="S44" s="317"/>
      <c r="T44" s="317"/>
      <c r="U44" s="318"/>
      <c r="V44" s="387"/>
      <c r="W44" s="320"/>
    </row>
    <row r="45" spans="2:23" s="9" customFormat="1" ht="16.5" customHeight="1" thickBot="1">
      <c r="B45" s="194"/>
      <c r="C45" s="322"/>
      <c r="D45" s="322"/>
      <c r="E45" s="322"/>
      <c r="F45" s="322"/>
      <c r="G45" s="322"/>
      <c r="H45" s="322"/>
      <c r="I45" s="322"/>
      <c r="J45" s="322"/>
      <c r="K45" s="322"/>
      <c r="L45" s="322"/>
      <c r="M45" s="322"/>
      <c r="N45" s="322"/>
      <c r="O45" s="322"/>
      <c r="P45" s="322"/>
      <c r="Q45" s="322"/>
      <c r="R45" s="322"/>
      <c r="S45" s="322"/>
      <c r="T45" s="322"/>
      <c r="U45" s="322"/>
      <c r="V45" s="322"/>
      <c r="W45" s="323"/>
    </row>
    <row r="46" spans="2:23" ht="16.5" customHeight="1" thickTop="1">
      <c r="B46" s="388"/>
      <c r="C46" s="388"/>
      <c r="D46" s="388"/>
      <c r="E46" s="388"/>
      <c r="F46" s="388"/>
      <c r="G46" s="388"/>
      <c r="H46" s="388"/>
      <c r="I46" s="388"/>
      <c r="J46" s="388"/>
      <c r="K46" s="388"/>
      <c r="L46" s="388"/>
      <c r="M46" s="388"/>
      <c r="N46" s="388"/>
      <c r="O46" s="388"/>
      <c r="P46" s="388"/>
      <c r="Q46" s="388"/>
      <c r="R46" s="388"/>
      <c r="S46" s="388"/>
      <c r="T46" s="388"/>
      <c r="U46" s="388"/>
      <c r="V46" s="388"/>
      <c r="W46" s="388"/>
    </row>
    <row r="47" spans="3:6" ht="16.5" customHeight="1">
      <c r="C47" s="388"/>
      <c r="D47" s="388"/>
      <c r="E47" s="388"/>
      <c r="F47" s="388"/>
    </row>
    <row r="48" ht="16.5" customHeight="1"/>
    <row r="49" ht="16.5" customHeight="1"/>
    <row r="50" ht="16.5" customHeight="1"/>
    <row r="51" ht="16.5" customHeight="1"/>
    <row r="52" ht="16.5" customHeight="1"/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2" r:id="rId3"/>
  <headerFooter alignWithMargins="0">
    <oddFooter>&amp;L&amp;"Times New Roman,Normal"&amp;8&amp;Z&amp;F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AA45"/>
  <sheetViews>
    <sheetView zoomScale="60" zoomScaleNormal="60" workbookViewId="0" topLeftCell="A25">
      <selection activeCell="I51" sqref="I51"/>
    </sheetView>
  </sheetViews>
  <sheetFormatPr defaultColWidth="11.421875" defaultRowHeight="12.75"/>
  <cols>
    <col min="1" max="1" width="22.7109375" style="407" customWidth="1"/>
    <col min="2" max="2" width="15.7109375" style="407" customWidth="1"/>
    <col min="3" max="3" width="5.7109375" style="407" customWidth="1"/>
    <col min="4" max="4" width="56.421875" style="407" customWidth="1"/>
    <col min="5" max="5" width="10.421875" style="407" customWidth="1"/>
    <col min="6" max="6" width="14.140625" style="407" customWidth="1"/>
    <col min="7" max="19" width="10.7109375" style="407" customWidth="1"/>
    <col min="20" max="20" width="15.7109375" style="407" customWidth="1"/>
    <col min="21" max="16384" width="11.421875" style="407" customWidth="1"/>
  </cols>
  <sheetData>
    <row r="1" ht="38.25" customHeight="1">
      <c r="T1" s="408"/>
    </row>
    <row r="2" spans="2:20" s="409" customFormat="1" ht="40.5" customHeight="1">
      <c r="B2" s="410" t="str">
        <f>'TOT-1013'!B2</f>
        <v>ANEXO V al Memorándum  D.T.E.E.  N°             / 2014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</row>
    <row r="3" spans="1:2" s="413" customFormat="1" ht="11.25" customHeight="1">
      <c r="A3" s="411" t="s">
        <v>3</v>
      </c>
      <c r="B3" s="412"/>
    </row>
    <row r="4" spans="1:4" s="413" customFormat="1" ht="11.25" customHeight="1">
      <c r="A4" s="411" t="s">
        <v>4</v>
      </c>
      <c r="B4" s="412"/>
      <c r="D4" s="414"/>
    </row>
    <row r="5" spans="1:4" ht="10.5" customHeight="1">
      <c r="A5" s="415"/>
      <c r="D5" s="416"/>
    </row>
    <row r="6" spans="1:20" ht="26.25">
      <c r="A6" s="415"/>
      <c r="B6" s="417" t="s">
        <v>96</v>
      </c>
      <c r="C6" s="418"/>
      <c r="D6" s="416"/>
      <c r="E6" s="418"/>
      <c r="F6" s="418"/>
      <c r="G6" s="418"/>
      <c r="H6" s="418"/>
      <c r="I6" s="418"/>
      <c r="J6" s="418"/>
      <c r="K6" s="418"/>
      <c r="L6" s="418"/>
      <c r="M6" s="418"/>
      <c r="N6" s="418"/>
      <c r="O6" s="418"/>
      <c r="P6" s="418"/>
      <c r="Q6" s="418"/>
      <c r="R6" s="418"/>
      <c r="S6" s="418"/>
      <c r="T6" s="418"/>
    </row>
    <row r="7" spans="1:4" ht="18.75" customHeight="1">
      <c r="A7" s="415"/>
      <c r="D7" s="416"/>
    </row>
    <row r="8" spans="1:20" ht="26.25">
      <c r="A8" s="415"/>
      <c r="B8" s="419" t="s">
        <v>1</v>
      </c>
      <c r="C8" s="418"/>
      <c r="D8" s="416"/>
      <c r="E8" s="418"/>
      <c r="F8" s="418"/>
      <c r="G8" s="418"/>
      <c r="H8" s="418"/>
      <c r="I8" s="418"/>
      <c r="J8" s="418"/>
      <c r="K8" s="418"/>
      <c r="L8" s="418"/>
      <c r="M8" s="418"/>
      <c r="N8" s="418"/>
      <c r="O8" s="418"/>
      <c r="P8" s="418"/>
      <c r="Q8" s="418"/>
      <c r="R8" s="418"/>
      <c r="S8" s="418"/>
      <c r="T8" s="418"/>
    </row>
    <row r="9" spans="1:4" ht="18.75" customHeight="1">
      <c r="A9" s="415"/>
      <c r="D9" s="416"/>
    </row>
    <row r="10" spans="1:20" ht="26.25">
      <c r="A10" s="415"/>
      <c r="B10" s="419" t="s">
        <v>97</v>
      </c>
      <c r="C10" s="418"/>
      <c r="D10" s="416"/>
      <c r="E10" s="418"/>
      <c r="F10" s="418"/>
      <c r="G10" s="418"/>
      <c r="H10" s="418"/>
      <c r="I10" s="418"/>
      <c r="J10" s="418"/>
      <c r="K10" s="418"/>
      <c r="L10" s="418"/>
      <c r="M10" s="418"/>
      <c r="N10" s="418"/>
      <c r="O10" s="418"/>
      <c r="P10" s="418"/>
      <c r="Q10" s="418"/>
      <c r="R10" s="418"/>
      <c r="S10" s="418"/>
      <c r="T10" s="418"/>
    </row>
    <row r="11" ht="18.75" customHeight="1" thickBot="1"/>
    <row r="12" spans="2:20" ht="18.75" customHeight="1" thickTop="1">
      <c r="B12" s="420"/>
      <c r="C12" s="421"/>
      <c r="D12" s="422"/>
      <c r="E12" s="422"/>
      <c r="F12" s="422"/>
      <c r="G12" s="421"/>
      <c r="H12" s="421"/>
      <c r="I12" s="421"/>
      <c r="J12" s="421"/>
      <c r="K12" s="421"/>
      <c r="L12" s="421"/>
      <c r="M12" s="421"/>
      <c r="N12" s="421"/>
      <c r="O12" s="421"/>
      <c r="P12" s="421"/>
      <c r="Q12" s="421"/>
      <c r="R12" s="421"/>
      <c r="S12" s="421"/>
      <c r="T12" s="423"/>
    </row>
    <row r="13" spans="2:20" ht="30" customHeight="1">
      <c r="B13" s="424" t="s">
        <v>105</v>
      </c>
      <c r="C13" s="418"/>
      <c r="D13" s="425"/>
      <c r="E13" s="425"/>
      <c r="F13" s="425"/>
      <c r="G13" s="426"/>
      <c r="H13" s="426"/>
      <c r="I13" s="426"/>
      <c r="J13" s="426"/>
      <c r="K13" s="426"/>
      <c r="L13" s="426"/>
      <c r="M13" s="426"/>
      <c r="N13" s="426"/>
      <c r="O13" s="426"/>
      <c r="P13" s="426"/>
      <c r="Q13" s="426"/>
      <c r="R13" s="426"/>
      <c r="S13" s="426"/>
      <c r="T13" s="427"/>
    </row>
    <row r="14" spans="2:20" ht="18.75" customHeight="1" thickBot="1">
      <c r="B14" s="428"/>
      <c r="C14" s="429"/>
      <c r="D14" s="430"/>
      <c r="E14" s="430"/>
      <c r="F14" s="431"/>
      <c r="G14" s="432"/>
      <c r="H14" s="432"/>
      <c r="I14" s="432"/>
      <c r="J14" s="432"/>
      <c r="K14" s="432"/>
      <c r="L14" s="432"/>
      <c r="M14" s="432"/>
      <c r="N14" s="432"/>
      <c r="O14" s="432"/>
      <c r="P14" s="432"/>
      <c r="Q14" s="432"/>
      <c r="R14" s="432"/>
      <c r="S14" s="432"/>
      <c r="T14" s="433"/>
    </row>
    <row r="15" spans="1:20" s="441" customFormat="1" ht="34.5" customHeight="1" thickBot="1" thickTop="1">
      <c r="A15" s="434"/>
      <c r="B15" s="435"/>
      <c r="C15" s="436"/>
      <c r="D15" s="436" t="s">
        <v>98</v>
      </c>
      <c r="E15" s="437" t="s">
        <v>21</v>
      </c>
      <c r="F15" s="438" t="s">
        <v>22</v>
      </c>
      <c r="G15" s="439">
        <f>'[2]Tasa de Falla'!HF15</f>
        <v>41183</v>
      </c>
      <c r="H15" s="439">
        <f>'[2]Tasa de Falla'!HG15</f>
        <v>41214</v>
      </c>
      <c r="I15" s="439">
        <f>'[2]Tasa de Falla'!HH15</f>
        <v>41244</v>
      </c>
      <c r="J15" s="439">
        <f>'[2]Tasa de Falla'!HI15</f>
        <v>41275</v>
      </c>
      <c r="K15" s="439">
        <f>'[2]Tasa de Falla'!HJ15</f>
        <v>41306</v>
      </c>
      <c r="L15" s="439">
        <f>'[2]Tasa de Falla'!HK15</f>
        <v>41334</v>
      </c>
      <c r="M15" s="439">
        <f>'[2]Tasa de Falla'!HL15</f>
        <v>41365</v>
      </c>
      <c r="N15" s="439">
        <f>'[2]Tasa de Falla'!HM15</f>
        <v>41395</v>
      </c>
      <c r="O15" s="439">
        <f>'[2]Tasa de Falla'!HN15</f>
        <v>41426</v>
      </c>
      <c r="P15" s="439">
        <f>'[2]Tasa de Falla'!HO15</f>
        <v>41456</v>
      </c>
      <c r="Q15" s="439">
        <f>'[2]Tasa de Falla'!HP15</f>
        <v>41487</v>
      </c>
      <c r="R15" s="439">
        <f>'[2]Tasa de Falla'!HQ15</f>
        <v>41518</v>
      </c>
      <c r="S15" s="439">
        <f>'[2]Tasa de Falla'!HR15</f>
        <v>41548</v>
      </c>
      <c r="T15" s="440"/>
    </row>
    <row r="16" spans="2:20" s="441" customFormat="1" ht="24.75" customHeight="1" thickTop="1">
      <c r="B16" s="442"/>
      <c r="C16" s="443"/>
      <c r="D16" s="444"/>
      <c r="E16" s="444"/>
      <c r="F16" s="445"/>
      <c r="G16" s="444"/>
      <c r="H16" s="444"/>
      <c r="I16" s="444"/>
      <c r="J16" s="444"/>
      <c r="K16" s="444"/>
      <c r="L16" s="444"/>
      <c r="M16" s="444"/>
      <c r="N16" s="444"/>
      <c r="O16" s="444"/>
      <c r="P16" s="444"/>
      <c r="Q16" s="444"/>
      <c r="R16" s="444"/>
      <c r="S16" s="446"/>
      <c r="T16" s="440"/>
    </row>
    <row r="17" spans="2:20" s="441" customFormat="1" ht="24.75" customHeight="1">
      <c r="B17" s="442"/>
      <c r="C17" s="447">
        <f>'[2]Tasa de Falla'!C17</f>
        <v>1</v>
      </c>
      <c r="D17" s="448" t="str">
        <f>'[2]Tasa de Falla'!D17</f>
        <v>AGUA DEL TORO - CRUZ DE PIEDRA</v>
      </c>
      <c r="E17" s="448">
        <f>'[2]Tasa de Falla'!E17</f>
        <v>220</v>
      </c>
      <c r="F17" s="449">
        <f>'[2]Tasa de Falla'!F17</f>
        <v>177.9</v>
      </c>
      <c r="G17" s="448">
        <f>IF('[2]Tasa de Falla'!HF17="","",'[2]Tasa de Falla'!HF17)</f>
      </c>
      <c r="H17" s="448">
        <f>IF('[2]Tasa de Falla'!HG17="","",'[2]Tasa de Falla'!HG17)</f>
      </c>
      <c r="I17" s="448">
        <f>IF('[2]Tasa de Falla'!HH17="","",'[2]Tasa de Falla'!HH17)</f>
      </c>
      <c r="J17" s="448">
        <f>IF('[2]Tasa de Falla'!HI17="","",'[2]Tasa de Falla'!HI17)</f>
      </c>
      <c r="K17" s="448">
        <f>IF('[2]Tasa de Falla'!HJ17="","",'[2]Tasa de Falla'!HJ17)</f>
      </c>
      <c r="L17" s="448">
        <f>IF('[2]Tasa de Falla'!HK17="","",'[2]Tasa de Falla'!HK17)</f>
      </c>
      <c r="M17" s="448">
        <f>IF('[2]Tasa de Falla'!HL17="","",'[2]Tasa de Falla'!HL17)</f>
      </c>
      <c r="N17" s="448">
        <f>IF('[2]Tasa de Falla'!HM17="","",'[2]Tasa de Falla'!HM17)</f>
      </c>
      <c r="O17" s="448">
        <f>IF('[2]Tasa de Falla'!HN17="","",'[2]Tasa de Falla'!HN17)</f>
      </c>
      <c r="P17" s="448">
        <f>IF('[2]Tasa de Falla'!HO17="","",'[2]Tasa de Falla'!HO17)</f>
      </c>
      <c r="Q17" s="448">
        <f>IF('[2]Tasa de Falla'!HP17="","",'[2]Tasa de Falla'!HP17)</f>
      </c>
      <c r="R17" s="448">
        <f>IF('[2]Tasa de Falla'!HQ17="","",'[2]Tasa de Falla'!HQ17)</f>
      </c>
      <c r="S17" s="445"/>
      <c r="T17" s="440"/>
    </row>
    <row r="18" spans="2:20" s="441" customFormat="1" ht="24.75" customHeight="1">
      <c r="B18" s="442"/>
      <c r="C18" s="450">
        <f>'[2]Tasa de Falla'!C18</f>
        <v>2</v>
      </c>
      <c r="D18" s="451" t="str">
        <f>'[2]Tasa de Falla'!D18</f>
        <v>AGUA DEL TORO - LOS REYUNOS</v>
      </c>
      <c r="E18" s="451">
        <f>'[2]Tasa de Falla'!E18</f>
        <v>220</v>
      </c>
      <c r="F18" s="452">
        <f>'[2]Tasa de Falla'!F18</f>
        <v>43</v>
      </c>
      <c r="G18" s="451">
        <f>IF('[2]Tasa de Falla'!HF18="","",'[2]Tasa de Falla'!HF18)</f>
      </c>
      <c r="H18" s="451">
        <f>IF('[2]Tasa de Falla'!HG18="","",'[2]Tasa de Falla'!HG18)</f>
      </c>
      <c r="I18" s="451">
        <f>IF('[2]Tasa de Falla'!HH18="","",'[2]Tasa de Falla'!HH18)</f>
      </c>
      <c r="J18" s="451">
        <f>IF('[2]Tasa de Falla'!HI18="","",'[2]Tasa de Falla'!HI18)</f>
      </c>
      <c r="K18" s="451">
        <f>IF('[2]Tasa de Falla'!HJ18="","",'[2]Tasa de Falla'!HJ18)</f>
      </c>
      <c r="L18" s="451">
        <f>IF('[2]Tasa de Falla'!HK18="","",'[2]Tasa de Falla'!HK18)</f>
      </c>
      <c r="M18" s="451">
        <f>IF('[2]Tasa de Falla'!HL18="","",'[2]Tasa de Falla'!HL18)</f>
      </c>
      <c r="N18" s="451">
        <f>IF('[2]Tasa de Falla'!HM18="","",'[2]Tasa de Falla'!HM18)</f>
      </c>
      <c r="O18" s="451">
        <f>IF('[2]Tasa de Falla'!HN18="","",'[2]Tasa de Falla'!HN18)</f>
      </c>
      <c r="P18" s="451">
        <f>IF('[2]Tasa de Falla'!HO18="","",'[2]Tasa de Falla'!HO18)</f>
      </c>
      <c r="Q18" s="451">
        <f>IF('[2]Tasa de Falla'!HP18="","",'[2]Tasa de Falla'!HP18)</f>
      </c>
      <c r="R18" s="451">
        <f>IF('[2]Tasa de Falla'!HQ18="","",'[2]Tasa de Falla'!HQ18)</f>
      </c>
      <c r="S18" s="445"/>
      <c r="T18" s="440"/>
    </row>
    <row r="19" spans="2:20" s="441" customFormat="1" ht="24.75" customHeight="1">
      <c r="B19" s="442"/>
      <c r="C19" s="447">
        <f>'[2]Tasa de Falla'!C19</f>
        <v>3</v>
      </c>
      <c r="D19" s="448" t="str">
        <f>'[2]Tasa de Falla'!D19</f>
        <v>AGUA DEL TORO - NIHUIL II</v>
      </c>
      <c r="E19" s="448">
        <f>'[2]Tasa de Falla'!E19</f>
        <v>220</v>
      </c>
      <c r="F19" s="449">
        <f>'[2]Tasa de Falla'!F19</f>
        <v>53.5</v>
      </c>
      <c r="G19" s="448">
        <f>IF('[2]Tasa de Falla'!HF19="","",'[2]Tasa de Falla'!HF19)</f>
      </c>
      <c r="H19" s="448">
        <f>IF('[2]Tasa de Falla'!HG19="","",'[2]Tasa de Falla'!HG19)</f>
      </c>
      <c r="I19" s="448">
        <f>IF('[2]Tasa de Falla'!HH19="","",'[2]Tasa de Falla'!HH19)</f>
      </c>
      <c r="J19" s="448">
        <f>IF('[2]Tasa de Falla'!HI19="","",'[2]Tasa de Falla'!HI19)</f>
      </c>
      <c r="K19" s="448">
        <f>IF('[2]Tasa de Falla'!HJ19="","",'[2]Tasa de Falla'!HJ19)</f>
      </c>
      <c r="L19" s="448">
        <f>IF('[2]Tasa de Falla'!HK19="","",'[2]Tasa de Falla'!HK19)</f>
      </c>
      <c r="M19" s="448">
        <f>IF('[2]Tasa de Falla'!HL19="","",'[2]Tasa de Falla'!HL19)</f>
      </c>
      <c r="N19" s="448">
        <f>IF('[2]Tasa de Falla'!HM19="","",'[2]Tasa de Falla'!HM19)</f>
      </c>
      <c r="O19" s="448">
        <f>IF('[2]Tasa de Falla'!HN19="","",'[2]Tasa de Falla'!HN19)</f>
      </c>
      <c r="P19" s="448">
        <f>IF('[2]Tasa de Falla'!HO19="","",'[2]Tasa de Falla'!HO19)</f>
      </c>
      <c r="Q19" s="448">
        <f>IF('[2]Tasa de Falla'!HP19="","",'[2]Tasa de Falla'!HP19)</f>
      </c>
      <c r="R19" s="448">
        <f>IF('[2]Tasa de Falla'!HQ19="","",'[2]Tasa de Falla'!HQ19)</f>
      </c>
      <c r="S19" s="445"/>
      <c r="T19" s="440"/>
    </row>
    <row r="20" spans="2:20" s="441" customFormat="1" ht="24.75" customHeight="1">
      <c r="B20" s="442"/>
      <c r="C20" s="450">
        <f>'[2]Tasa de Falla'!C20</f>
        <v>4</v>
      </c>
      <c r="D20" s="451" t="str">
        <f>'[2]Tasa de Falla'!D20</f>
        <v>CRUZ DE PIEDRA - SAN JUAN</v>
      </c>
      <c r="E20" s="451">
        <f>'[2]Tasa de Falla'!E20</f>
        <v>220</v>
      </c>
      <c r="F20" s="452">
        <f>'[2]Tasa de Falla'!F20</f>
        <v>171.6</v>
      </c>
      <c r="G20" s="451">
        <f>IF('[2]Tasa de Falla'!HF20="","",'[2]Tasa de Falla'!HF20)</f>
      </c>
      <c r="H20" s="451">
        <f>IF('[2]Tasa de Falla'!HG20="","",'[2]Tasa de Falla'!HG20)</f>
      </c>
      <c r="I20" s="451">
        <f>IF('[2]Tasa de Falla'!HH20="","",'[2]Tasa de Falla'!HH20)</f>
      </c>
      <c r="J20" s="451">
        <f>IF('[2]Tasa de Falla'!HI20="","",'[2]Tasa de Falla'!HI20)</f>
      </c>
      <c r="K20" s="451">
        <f>IF('[2]Tasa de Falla'!HJ20="","",'[2]Tasa de Falla'!HJ20)</f>
      </c>
      <c r="L20" s="451">
        <f>IF('[2]Tasa de Falla'!HK20="","",'[2]Tasa de Falla'!HK20)</f>
      </c>
      <c r="M20" s="451">
        <f>IF('[2]Tasa de Falla'!HL20="","",'[2]Tasa de Falla'!HL20)</f>
      </c>
      <c r="N20" s="451">
        <f>IF('[2]Tasa de Falla'!HM20="","",'[2]Tasa de Falla'!HM20)</f>
        <v>1</v>
      </c>
      <c r="O20" s="451">
        <f>IF('[2]Tasa de Falla'!HN20="","",'[2]Tasa de Falla'!HN20)</f>
      </c>
      <c r="P20" s="451">
        <f>IF('[2]Tasa de Falla'!HO20="","",'[2]Tasa de Falla'!HO20)</f>
      </c>
      <c r="Q20" s="451">
        <f>IF('[2]Tasa de Falla'!HP20="","",'[2]Tasa de Falla'!HP20)</f>
      </c>
      <c r="R20" s="451">
        <f>IF('[2]Tasa de Falla'!HQ20="","",'[2]Tasa de Falla'!HQ20)</f>
      </c>
      <c r="S20" s="445"/>
      <c r="T20" s="440"/>
    </row>
    <row r="21" spans="2:20" s="441" customFormat="1" ht="24.75" customHeight="1">
      <c r="B21" s="442"/>
      <c r="C21" s="447">
        <f>'[2]Tasa de Falla'!C21</f>
        <v>5</v>
      </c>
      <c r="D21" s="448" t="str">
        <f>'[2]Tasa de Falla'!D21</f>
        <v>LOS REYUNOS - GRAN MENDOZA</v>
      </c>
      <c r="E21" s="448">
        <f>'[2]Tasa de Falla'!E21</f>
        <v>220</v>
      </c>
      <c r="F21" s="449">
        <f>'[2]Tasa de Falla'!F21</f>
        <v>188.3</v>
      </c>
      <c r="G21" s="448">
        <f>IF('[2]Tasa de Falla'!HF21="","",'[2]Tasa de Falla'!HF21)</f>
      </c>
      <c r="H21" s="448">
        <f>IF('[2]Tasa de Falla'!HG21="","",'[2]Tasa de Falla'!HG21)</f>
      </c>
      <c r="I21" s="448">
        <f>IF('[2]Tasa de Falla'!HH21="","",'[2]Tasa de Falla'!HH21)</f>
      </c>
      <c r="J21" s="448">
        <f>IF('[2]Tasa de Falla'!HI21="","",'[2]Tasa de Falla'!HI21)</f>
      </c>
      <c r="K21" s="448">
        <f>IF('[2]Tasa de Falla'!HJ21="","",'[2]Tasa de Falla'!HJ21)</f>
      </c>
      <c r="L21" s="448">
        <f>IF('[2]Tasa de Falla'!HK21="","",'[2]Tasa de Falla'!HK21)</f>
      </c>
      <c r="M21" s="448">
        <f>IF('[2]Tasa de Falla'!HL21="","",'[2]Tasa de Falla'!HL21)</f>
      </c>
      <c r="N21" s="448">
        <f>IF('[2]Tasa de Falla'!HM21="","",'[2]Tasa de Falla'!HM21)</f>
      </c>
      <c r="O21" s="448">
        <f>IF('[2]Tasa de Falla'!HN21="","",'[2]Tasa de Falla'!HN21)</f>
      </c>
      <c r="P21" s="448">
        <f>IF('[2]Tasa de Falla'!HO21="","",'[2]Tasa de Falla'!HO21)</f>
      </c>
      <c r="Q21" s="448">
        <f>IF('[2]Tasa de Falla'!HP21="","",'[2]Tasa de Falla'!HP21)</f>
      </c>
      <c r="R21" s="448">
        <f>IF('[2]Tasa de Falla'!HQ21="","",'[2]Tasa de Falla'!HQ21)</f>
      </c>
      <c r="S21" s="445"/>
      <c r="T21" s="440"/>
    </row>
    <row r="22" spans="2:20" s="441" customFormat="1" ht="24.75" customHeight="1">
      <c r="B22" s="442"/>
      <c r="C22" s="447">
        <f>'[2]Tasa de Falla'!C22</f>
        <v>6</v>
      </c>
      <c r="D22" s="448" t="str">
        <f>'[2]Tasa de Falla'!D22</f>
        <v>CRUZ DE PIEDRA - CAÑADA HONDA</v>
      </c>
      <c r="E22" s="448">
        <f>'[2]Tasa de Falla'!E22</f>
        <v>132</v>
      </c>
      <c r="F22" s="449">
        <f>'[2]Tasa de Falla'!F22</f>
        <v>125.8</v>
      </c>
      <c r="G22" s="448">
        <f>IF('[2]Tasa de Falla'!HF22="","",'[2]Tasa de Falla'!HF22)</f>
      </c>
      <c r="H22" s="448">
        <f>IF('[2]Tasa de Falla'!HG22="","",'[2]Tasa de Falla'!HG22)</f>
      </c>
      <c r="I22" s="448">
        <f>IF('[2]Tasa de Falla'!HH22="","",'[2]Tasa de Falla'!HH22)</f>
      </c>
      <c r="J22" s="448">
        <f>IF('[2]Tasa de Falla'!HI22="","",'[2]Tasa de Falla'!HI22)</f>
      </c>
      <c r="K22" s="448">
        <f>IF('[2]Tasa de Falla'!HJ22="","",'[2]Tasa de Falla'!HJ22)</f>
      </c>
      <c r="L22" s="448">
        <f>IF('[2]Tasa de Falla'!HK22="","",'[2]Tasa de Falla'!HK22)</f>
      </c>
      <c r="M22" s="448">
        <f>IF('[2]Tasa de Falla'!HL22="","",'[2]Tasa de Falla'!HL22)</f>
      </c>
      <c r="N22" s="448">
        <f>IF('[2]Tasa de Falla'!HM22="","",'[2]Tasa de Falla'!HM22)</f>
      </c>
      <c r="O22" s="448">
        <f>IF('[2]Tasa de Falla'!HN22="","",'[2]Tasa de Falla'!HN22)</f>
      </c>
      <c r="P22" s="448">
        <f>IF('[2]Tasa de Falla'!HO22="","",'[2]Tasa de Falla'!HO22)</f>
      </c>
      <c r="Q22" s="448">
        <f>IF('[2]Tasa de Falla'!HP22="","",'[2]Tasa de Falla'!HP22)</f>
        <v>1</v>
      </c>
      <c r="R22" s="448">
        <f>IF('[2]Tasa de Falla'!HQ22="","",'[2]Tasa de Falla'!HQ22)</f>
      </c>
      <c r="S22" s="445"/>
      <c r="T22" s="440"/>
    </row>
    <row r="23" spans="2:20" s="441" customFormat="1" ht="24.75" customHeight="1">
      <c r="B23" s="442"/>
      <c r="C23" s="450">
        <f>'[2]Tasa de Falla'!C23</f>
        <v>7</v>
      </c>
      <c r="D23" s="451" t="str">
        <f>'[2]Tasa de Falla'!D23</f>
        <v>ANCHORIS - CAPIZ</v>
      </c>
      <c r="E23" s="451">
        <f>'[2]Tasa de Falla'!E23</f>
        <v>132</v>
      </c>
      <c r="F23" s="452">
        <f>'[2]Tasa de Falla'!F23</f>
        <v>42</v>
      </c>
      <c r="G23" s="451">
        <f>IF('[2]Tasa de Falla'!HF23="","",'[2]Tasa de Falla'!HF23)</f>
      </c>
      <c r="H23" s="451">
        <f>IF('[2]Tasa de Falla'!HG23="","",'[2]Tasa de Falla'!HG23)</f>
      </c>
      <c r="I23" s="451">
        <f>IF('[2]Tasa de Falla'!HH23="","",'[2]Tasa de Falla'!HH23)</f>
      </c>
      <c r="J23" s="451">
        <f>IF('[2]Tasa de Falla'!HI23="","",'[2]Tasa de Falla'!HI23)</f>
      </c>
      <c r="K23" s="451">
        <f>IF('[2]Tasa de Falla'!HJ23="","",'[2]Tasa de Falla'!HJ23)</f>
      </c>
      <c r="L23" s="451">
        <f>IF('[2]Tasa de Falla'!HK23="","",'[2]Tasa de Falla'!HK23)</f>
      </c>
      <c r="M23" s="451">
        <f>IF('[2]Tasa de Falla'!HL23="","",'[2]Tasa de Falla'!HL23)</f>
      </c>
      <c r="N23" s="451">
        <f>IF('[2]Tasa de Falla'!HM23="","",'[2]Tasa de Falla'!HM23)</f>
      </c>
      <c r="O23" s="451">
        <f>IF('[2]Tasa de Falla'!HN23="","",'[2]Tasa de Falla'!HN23)</f>
      </c>
      <c r="P23" s="451">
        <f>IF('[2]Tasa de Falla'!HO23="","",'[2]Tasa de Falla'!HO23)</f>
      </c>
      <c r="Q23" s="451">
        <f>IF('[2]Tasa de Falla'!HP23="","",'[2]Tasa de Falla'!HP23)</f>
      </c>
      <c r="R23" s="451">
        <f>IF('[2]Tasa de Falla'!HQ23="","",'[2]Tasa de Falla'!HQ23)</f>
      </c>
      <c r="S23" s="445"/>
      <c r="T23" s="440"/>
    </row>
    <row r="24" spans="2:20" s="441" customFormat="1" ht="24.75" customHeight="1">
      <c r="B24" s="442"/>
      <c r="C24" s="447">
        <f>'[2]Tasa de Falla'!C24</f>
        <v>8</v>
      </c>
      <c r="D24" s="448" t="str">
        <f>'[2]Tasa de Falla'!D24</f>
        <v>ANCHORIS - CRUZ DE PIEDRA</v>
      </c>
      <c r="E24" s="448">
        <f>'[2]Tasa de Falla'!E24</f>
        <v>132</v>
      </c>
      <c r="F24" s="449">
        <f>'[2]Tasa de Falla'!F24</f>
        <v>33.5</v>
      </c>
      <c r="G24" s="448">
        <f>IF('[2]Tasa de Falla'!HF24="","",'[2]Tasa de Falla'!HF24)</f>
      </c>
      <c r="H24" s="448">
        <f>IF('[2]Tasa de Falla'!HG24="","",'[2]Tasa de Falla'!HG24)</f>
      </c>
      <c r="I24" s="448">
        <f>IF('[2]Tasa de Falla'!HH24="","",'[2]Tasa de Falla'!HH24)</f>
      </c>
      <c r="J24" s="448">
        <f>IF('[2]Tasa de Falla'!HI24="","",'[2]Tasa de Falla'!HI24)</f>
      </c>
      <c r="K24" s="448">
        <f>IF('[2]Tasa de Falla'!HJ24="","",'[2]Tasa de Falla'!HJ24)</f>
      </c>
      <c r="L24" s="448">
        <f>IF('[2]Tasa de Falla'!HK24="","",'[2]Tasa de Falla'!HK24)</f>
      </c>
      <c r="M24" s="448">
        <f>IF('[2]Tasa de Falla'!HL24="","",'[2]Tasa de Falla'!HL24)</f>
      </c>
      <c r="N24" s="448">
        <f>IF('[2]Tasa de Falla'!HM24="","",'[2]Tasa de Falla'!HM24)</f>
      </c>
      <c r="O24" s="448">
        <f>IF('[2]Tasa de Falla'!HN24="","",'[2]Tasa de Falla'!HN24)</f>
      </c>
      <c r="P24" s="448">
        <f>IF('[2]Tasa de Falla'!HO24="","",'[2]Tasa de Falla'!HO24)</f>
      </c>
      <c r="Q24" s="448">
        <f>IF('[2]Tasa de Falla'!HP24="","",'[2]Tasa de Falla'!HP24)</f>
      </c>
      <c r="R24" s="448">
        <f>IF('[2]Tasa de Falla'!HQ24="","",'[2]Tasa de Falla'!HQ24)</f>
      </c>
      <c r="S24" s="445"/>
      <c r="T24" s="440"/>
    </row>
    <row r="25" spans="2:20" s="441" customFormat="1" ht="24.75" customHeight="1">
      <c r="B25" s="442"/>
      <c r="C25" s="450">
        <f>'[2]Tasa de Falla'!C25</f>
        <v>9</v>
      </c>
      <c r="D25" s="451" t="str">
        <f>'[2]Tasa de Falla'!D25</f>
        <v>ANCHORIZ -Deriv."T" a LC 35-B.R.Tunuyan</v>
      </c>
      <c r="E25" s="451">
        <f>'[2]Tasa de Falla'!E25</f>
        <v>132</v>
      </c>
      <c r="F25" s="452">
        <f>'[2]Tasa de Falla'!F25</f>
        <v>52.9</v>
      </c>
      <c r="G25" s="451">
        <f>IF('[2]Tasa de Falla'!HF25="","",'[2]Tasa de Falla'!HF25)</f>
      </c>
      <c r="H25" s="451">
        <f>IF('[2]Tasa de Falla'!HG25="","",'[2]Tasa de Falla'!HG25)</f>
      </c>
      <c r="I25" s="451">
        <f>IF('[2]Tasa de Falla'!HH25="","",'[2]Tasa de Falla'!HH25)</f>
      </c>
      <c r="J25" s="451">
        <f>IF('[2]Tasa de Falla'!HI25="","",'[2]Tasa de Falla'!HI25)</f>
      </c>
      <c r="K25" s="451">
        <f>IF('[2]Tasa de Falla'!HJ25="","",'[2]Tasa de Falla'!HJ25)</f>
      </c>
      <c r="L25" s="451">
        <f>IF('[2]Tasa de Falla'!HK25="","",'[2]Tasa de Falla'!HK25)</f>
      </c>
      <c r="M25" s="451">
        <f>IF('[2]Tasa de Falla'!HL25="","",'[2]Tasa de Falla'!HL25)</f>
      </c>
      <c r="N25" s="451">
        <f>IF('[2]Tasa de Falla'!HM25="","",'[2]Tasa de Falla'!HM25)</f>
      </c>
      <c r="O25" s="451">
        <f>IF('[2]Tasa de Falla'!HN25="","",'[2]Tasa de Falla'!HN25)</f>
      </c>
      <c r="P25" s="451">
        <f>IF('[2]Tasa de Falla'!HO25="","",'[2]Tasa de Falla'!HO25)</f>
      </c>
      <c r="Q25" s="451">
        <f>IF('[2]Tasa de Falla'!HP25="","",'[2]Tasa de Falla'!HP25)</f>
      </c>
      <c r="R25" s="451">
        <f>IF('[2]Tasa de Falla'!HQ25="","",'[2]Tasa de Falla'!HQ25)</f>
      </c>
      <c r="S25" s="445"/>
      <c r="T25" s="440"/>
    </row>
    <row r="26" spans="2:20" s="441" customFormat="1" ht="24.75" customHeight="1">
      <c r="B26" s="442"/>
      <c r="C26" s="447">
        <f>'[2]Tasa de Falla'!C26</f>
        <v>10</v>
      </c>
      <c r="D26" s="448" t="str">
        <f>'[2]Tasa de Falla'!D26</f>
        <v>CAPIZ - PEDRO VARGAS</v>
      </c>
      <c r="E26" s="448">
        <f>'[2]Tasa de Falla'!E26</f>
        <v>132</v>
      </c>
      <c r="F26" s="449">
        <f>'[2]Tasa de Falla'!F26</f>
        <v>122.1</v>
      </c>
      <c r="G26" s="448">
        <f>IF('[2]Tasa de Falla'!HF26="","",'[2]Tasa de Falla'!HF26)</f>
      </c>
      <c r="H26" s="448">
        <f>IF('[2]Tasa de Falla'!HG26="","",'[2]Tasa de Falla'!HG26)</f>
      </c>
      <c r="I26" s="448">
        <f>IF('[2]Tasa de Falla'!HH26="","",'[2]Tasa de Falla'!HH26)</f>
      </c>
      <c r="J26" s="448">
        <f>IF('[2]Tasa de Falla'!HI26="","",'[2]Tasa de Falla'!HI26)</f>
      </c>
      <c r="K26" s="448">
        <f>IF('[2]Tasa de Falla'!HJ26="","",'[2]Tasa de Falla'!HJ26)</f>
      </c>
      <c r="L26" s="448">
        <f>IF('[2]Tasa de Falla'!HK26="","",'[2]Tasa de Falla'!HK26)</f>
      </c>
      <c r="M26" s="448">
        <f>IF('[2]Tasa de Falla'!HL26="","",'[2]Tasa de Falla'!HL26)</f>
      </c>
      <c r="N26" s="448">
        <f>IF('[2]Tasa de Falla'!HM26="","",'[2]Tasa de Falla'!HM26)</f>
      </c>
      <c r="O26" s="448">
        <f>IF('[2]Tasa de Falla'!HN26="","",'[2]Tasa de Falla'!HN26)</f>
      </c>
      <c r="P26" s="448">
        <f>IF('[2]Tasa de Falla'!HO26="","",'[2]Tasa de Falla'!HO26)</f>
      </c>
      <c r="Q26" s="448">
        <f>IF('[2]Tasa de Falla'!HP26="","",'[2]Tasa de Falla'!HP26)</f>
      </c>
      <c r="R26" s="448">
        <f>IF('[2]Tasa de Falla'!HQ26="","",'[2]Tasa de Falla'!HQ26)</f>
      </c>
      <c r="S26" s="445"/>
      <c r="T26" s="440"/>
    </row>
    <row r="27" spans="2:20" s="441" customFormat="1" ht="24.75" customHeight="1">
      <c r="B27" s="442"/>
      <c r="C27" s="450">
        <f>'[2]Tasa de Falla'!C27</f>
        <v>11</v>
      </c>
      <c r="D27" s="451" t="str">
        <f>'[2]Tasa de Falla'!D27</f>
        <v>SAN RAFAEL - PEDRO VARGAS</v>
      </c>
      <c r="E27" s="451">
        <f>'[2]Tasa de Falla'!E27</f>
        <v>132</v>
      </c>
      <c r="F27" s="452">
        <f>'[2]Tasa de Falla'!F27</f>
        <v>15.6</v>
      </c>
      <c r="G27" s="451">
        <f>IF('[2]Tasa de Falla'!HF27="","",'[2]Tasa de Falla'!HF27)</f>
      </c>
      <c r="H27" s="451">
        <f>IF('[2]Tasa de Falla'!HG27="","",'[2]Tasa de Falla'!HG27)</f>
      </c>
      <c r="I27" s="451">
        <f>IF('[2]Tasa de Falla'!HH27="","",'[2]Tasa de Falla'!HH27)</f>
      </c>
      <c r="J27" s="451">
        <f>IF('[2]Tasa de Falla'!HI27="","",'[2]Tasa de Falla'!HI27)</f>
      </c>
      <c r="K27" s="451">
        <f>IF('[2]Tasa de Falla'!HJ27="","",'[2]Tasa de Falla'!HJ27)</f>
      </c>
      <c r="L27" s="451">
        <f>IF('[2]Tasa de Falla'!HK27="","",'[2]Tasa de Falla'!HK27)</f>
      </c>
      <c r="M27" s="451">
        <f>IF('[2]Tasa de Falla'!HL27="","",'[2]Tasa de Falla'!HL27)</f>
      </c>
      <c r="N27" s="451">
        <f>IF('[2]Tasa de Falla'!HM27="","",'[2]Tasa de Falla'!HM27)</f>
      </c>
      <c r="O27" s="451">
        <f>IF('[2]Tasa de Falla'!HN27="","",'[2]Tasa de Falla'!HN27)</f>
      </c>
      <c r="P27" s="451">
        <f>IF('[2]Tasa de Falla'!HO27="","",'[2]Tasa de Falla'!HO27)</f>
      </c>
      <c r="Q27" s="451">
        <f>IF('[2]Tasa de Falla'!HP27="","",'[2]Tasa de Falla'!HP27)</f>
      </c>
      <c r="R27" s="451">
        <f>IF('[2]Tasa de Falla'!HQ27="","",'[2]Tasa de Falla'!HQ27)</f>
      </c>
      <c r="S27" s="445"/>
      <c r="T27" s="440"/>
    </row>
    <row r="28" spans="2:20" s="441" customFormat="1" ht="24.75" customHeight="1">
      <c r="B28" s="442"/>
      <c r="C28" s="447">
        <f>'[2]Tasa de Falla'!C28</f>
        <v>12</v>
      </c>
      <c r="D28" s="448" t="str">
        <f>'[2]Tasa de Falla'!D28</f>
        <v>GRAN MENDOZA - MONTE CASEROS 1</v>
      </c>
      <c r="E28" s="448">
        <f>'[2]Tasa de Falla'!E28</f>
        <v>132</v>
      </c>
      <c r="F28" s="449">
        <f>'[2]Tasa de Falla'!F28</f>
        <v>19.1</v>
      </c>
      <c r="G28" s="448">
        <f>IF('[2]Tasa de Falla'!HF28="","",'[2]Tasa de Falla'!HF28)</f>
      </c>
      <c r="H28" s="448">
        <f>IF('[2]Tasa de Falla'!HG28="","",'[2]Tasa de Falla'!HG28)</f>
      </c>
      <c r="I28" s="448">
        <f>IF('[2]Tasa de Falla'!HH28="","",'[2]Tasa de Falla'!HH28)</f>
      </c>
      <c r="J28" s="448">
        <f>IF('[2]Tasa de Falla'!HI28="","",'[2]Tasa de Falla'!HI28)</f>
      </c>
      <c r="K28" s="448">
        <f>IF('[2]Tasa de Falla'!HJ28="","",'[2]Tasa de Falla'!HJ28)</f>
      </c>
      <c r="L28" s="448">
        <f>IF('[2]Tasa de Falla'!HK28="","",'[2]Tasa de Falla'!HK28)</f>
      </c>
      <c r="M28" s="448">
        <f>IF('[2]Tasa de Falla'!HL28="","",'[2]Tasa de Falla'!HL28)</f>
      </c>
      <c r="N28" s="448">
        <f>IF('[2]Tasa de Falla'!HM28="","",'[2]Tasa de Falla'!HM28)</f>
      </c>
      <c r="O28" s="448">
        <f>IF('[2]Tasa de Falla'!HN28="","",'[2]Tasa de Falla'!HN28)</f>
      </c>
      <c r="P28" s="448">
        <f>IF('[2]Tasa de Falla'!HO28="","",'[2]Tasa de Falla'!HO28)</f>
      </c>
      <c r="Q28" s="448">
        <f>IF('[2]Tasa de Falla'!HP28="","",'[2]Tasa de Falla'!HP28)</f>
      </c>
      <c r="R28" s="448">
        <f>IF('[2]Tasa de Falla'!HQ28="","",'[2]Tasa de Falla'!HQ28)</f>
      </c>
      <c r="S28" s="445"/>
      <c r="T28" s="440"/>
    </row>
    <row r="29" spans="2:20" s="441" customFormat="1" ht="24.75" customHeight="1">
      <c r="B29" s="442"/>
      <c r="C29" s="450">
        <f>'[2]Tasa de Falla'!C29</f>
        <v>13</v>
      </c>
      <c r="D29" s="451" t="str">
        <f>'[2]Tasa de Falla'!D29</f>
        <v>GRAN MENDOZA - MONTE CASEROS 2</v>
      </c>
      <c r="E29" s="451">
        <f>'[2]Tasa de Falla'!E29</f>
        <v>132</v>
      </c>
      <c r="F29" s="452">
        <f>'[2]Tasa de Falla'!F29</f>
        <v>19.1</v>
      </c>
      <c r="G29" s="451">
        <f>IF('[2]Tasa de Falla'!HF29="","",'[2]Tasa de Falla'!HF29)</f>
      </c>
      <c r="H29" s="451">
        <f>IF('[2]Tasa de Falla'!HG29="","",'[2]Tasa de Falla'!HG29)</f>
      </c>
      <c r="I29" s="451">
        <f>IF('[2]Tasa de Falla'!HH29="","",'[2]Tasa de Falla'!HH29)</f>
      </c>
      <c r="J29" s="451">
        <f>IF('[2]Tasa de Falla'!HI29="","",'[2]Tasa de Falla'!HI29)</f>
      </c>
      <c r="K29" s="451">
        <f>IF('[2]Tasa de Falla'!HJ29="","",'[2]Tasa de Falla'!HJ29)</f>
      </c>
      <c r="L29" s="451">
        <f>IF('[2]Tasa de Falla'!HK29="","",'[2]Tasa de Falla'!HK29)</f>
      </c>
      <c r="M29" s="451">
        <f>IF('[2]Tasa de Falla'!HL29="","",'[2]Tasa de Falla'!HL29)</f>
      </c>
      <c r="N29" s="451">
        <f>IF('[2]Tasa de Falla'!HM29="","",'[2]Tasa de Falla'!HM29)</f>
      </c>
      <c r="O29" s="451">
        <f>IF('[2]Tasa de Falla'!HN29="","",'[2]Tasa de Falla'!HN29)</f>
      </c>
      <c r="P29" s="451">
        <f>IF('[2]Tasa de Falla'!HO29="","",'[2]Tasa de Falla'!HO29)</f>
      </c>
      <c r="Q29" s="451">
        <f>IF('[2]Tasa de Falla'!HP29="","",'[2]Tasa de Falla'!HP29)</f>
      </c>
      <c r="R29" s="451">
        <f>IF('[2]Tasa de Falla'!HQ29="","",'[2]Tasa de Falla'!HQ29)</f>
      </c>
      <c r="S29" s="445"/>
      <c r="T29" s="440"/>
    </row>
    <row r="30" spans="2:20" s="441" customFormat="1" ht="24.75" customHeight="1">
      <c r="B30" s="442"/>
      <c r="C30" s="447">
        <f>'[2]Tasa de Falla'!C30</f>
        <v>14</v>
      </c>
      <c r="D30" s="448" t="str">
        <f>'[2]Tasa de Falla'!D30</f>
        <v>CRUZ DE PIEDRA - GRAN MENDOZA 1</v>
      </c>
      <c r="E30" s="448">
        <f>'[2]Tasa de Falla'!E30</f>
        <v>132</v>
      </c>
      <c r="F30" s="449">
        <f>'[2]Tasa de Falla'!F30</f>
        <v>22</v>
      </c>
      <c r="G30" s="448">
        <f>IF('[2]Tasa de Falla'!HF30="","",'[2]Tasa de Falla'!HF30)</f>
      </c>
      <c r="H30" s="448">
        <f>IF('[2]Tasa de Falla'!HG30="","",'[2]Tasa de Falla'!HG30)</f>
      </c>
      <c r="I30" s="448">
        <f>IF('[2]Tasa de Falla'!HH30="","",'[2]Tasa de Falla'!HH30)</f>
      </c>
      <c r="J30" s="448">
        <f>IF('[2]Tasa de Falla'!HI30="","",'[2]Tasa de Falla'!HI30)</f>
        <v>1</v>
      </c>
      <c r="K30" s="448">
        <f>IF('[2]Tasa de Falla'!HJ30="","",'[2]Tasa de Falla'!HJ30)</f>
      </c>
      <c r="L30" s="448">
        <f>IF('[2]Tasa de Falla'!HK30="","",'[2]Tasa de Falla'!HK30)</f>
      </c>
      <c r="M30" s="448">
        <f>IF('[2]Tasa de Falla'!HL30="","",'[2]Tasa de Falla'!HL30)</f>
      </c>
      <c r="N30" s="448">
        <f>IF('[2]Tasa de Falla'!HM30="","",'[2]Tasa de Falla'!HM30)</f>
      </c>
      <c r="O30" s="448">
        <f>IF('[2]Tasa de Falla'!HN30="","",'[2]Tasa de Falla'!HN30)</f>
      </c>
      <c r="P30" s="448">
        <f>IF('[2]Tasa de Falla'!HO30="","",'[2]Tasa de Falla'!HO30)</f>
      </c>
      <c r="Q30" s="448">
        <f>IF('[2]Tasa de Falla'!HP30="","",'[2]Tasa de Falla'!HP30)</f>
      </c>
      <c r="R30" s="448">
        <f>IF('[2]Tasa de Falla'!HQ30="","",'[2]Tasa de Falla'!HQ30)</f>
      </c>
      <c r="S30" s="445"/>
      <c r="T30" s="440"/>
    </row>
    <row r="31" spans="2:20" s="441" customFormat="1" ht="24.75" customHeight="1">
      <c r="B31" s="442"/>
      <c r="C31" s="450">
        <f>'[2]Tasa de Falla'!C31</f>
        <v>15</v>
      </c>
      <c r="D31" s="451" t="str">
        <f>'[2]Tasa de Falla'!D31</f>
        <v>CRUZ DE PIEDRA - GRAN MENDOZA 2</v>
      </c>
      <c r="E31" s="451">
        <f>'[2]Tasa de Falla'!E31</f>
        <v>132</v>
      </c>
      <c r="F31" s="452">
        <f>'[2]Tasa de Falla'!F31</f>
        <v>22</v>
      </c>
      <c r="G31" s="451">
        <f>IF('[2]Tasa de Falla'!HF31="","",'[2]Tasa de Falla'!HF31)</f>
      </c>
      <c r="H31" s="451">
        <f>IF('[2]Tasa de Falla'!HG31="","",'[2]Tasa de Falla'!HG31)</f>
      </c>
      <c r="I31" s="451">
        <f>IF('[2]Tasa de Falla'!HH31="","",'[2]Tasa de Falla'!HH31)</f>
      </c>
      <c r="J31" s="451">
        <f>IF('[2]Tasa de Falla'!HI31="","",'[2]Tasa de Falla'!HI31)</f>
        <v>1</v>
      </c>
      <c r="K31" s="451">
        <f>IF('[2]Tasa de Falla'!HJ31="","",'[2]Tasa de Falla'!HJ31)</f>
      </c>
      <c r="L31" s="451">
        <f>IF('[2]Tasa de Falla'!HK31="","",'[2]Tasa de Falla'!HK31)</f>
      </c>
      <c r="M31" s="451">
        <f>IF('[2]Tasa de Falla'!HL31="","",'[2]Tasa de Falla'!HL31)</f>
      </c>
      <c r="N31" s="451">
        <f>IF('[2]Tasa de Falla'!HM31="","",'[2]Tasa de Falla'!HM31)</f>
      </c>
      <c r="O31" s="451">
        <f>IF('[2]Tasa de Falla'!HN31="","",'[2]Tasa de Falla'!HN31)</f>
      </c>
      <c r="P31" s="451">
        <f>IF('[2]Tasa de Falla'!HO31="","",'[2]Tasa de Falla'!HO31)</f>
      </c>
      <c r="Q31" s="451">
        <f>IF('[2]Tasa de Falla'!HP31="","",'[2]Tasa de Falla'!HP31)</f>
      </c>
      <c r="R31" s="451">
        <f>IF('[2]Tasa de Falla'!HQ31="","",'[2]Tasa de Falla'!HQ31)</f>
      </c>
      <c r="S31" s="445"/>
      <c r="T31" s="440"/>
    </row>
    <row r="32" spans="2:20" s="441" customFormat="1" ht="24.75" customHeight="1">
      <c r="B32" s="442"/>
      <c r="C32" s="447">
        <f>'[2]Tasa de Falla'!C32</f>
        <v>16</v>
      </c>
      <c r="D32" s="448" t="str">
        <f>'[2]Tasa de Falla'!D32</f>
        <v>CRUZ DE PIEDRA - SAN JUAN</v>
      </c>
      <c r="E32" s="448">
        <f>'[2]Tasa de Falla'!E32</f>
        <v>132</v>
      </c>
      <c r="F32" s="449">
        <f>'[2]Tasa de Falla'!F32</f>
        <v>180.18</v>
      </c>
      <c r="G32" s="448" t="str">
        <f>IF('[2]Tasa de Falla'!HF32="","",'[2]Tasa de Falla'!HF32)</f>
        <v>XXXX</v>
      </c>
      <c r="H32" s="448" t="str">
        <f>IF('[2]Tasa de Falla'!HG32="","",'[2]Tasa de Falla'!HG32)</f>
        <v>XXXX</v>
      </c>
      <c r="I32" s="448" t="str">
        <f>IF('[2]Tasa de Falla'!HH32="","",'[2]Tasa de Falla'!HH32)</f>
        <v>XXXX</v>
      </c>
      <c r="J32" s="448" t="str">
        <f>IF('[2]Tasa de Falla'!HI32="","",'[2]Tasa de Falla'!HI32)</f>
        <v>XXXX</v>
      </c>
      <c r="K32" s="448" t="str">
        <f>IF('[2]Tasa de Falla'!HJ32="","",'[2]Tasa de Falla'!HJ32)</f>
        <v>XXXX</v>
      </c>
      <c r="L32" s="448" t="str">
        <f>IF('[2]Tasa de Falla'!HK32="","",'[2]Tasa de Falla'!HK32)</f>
        <v>XXXX</v>
      </c>
      <c r="M32" s="448" t="str">
        <f>IF('[2]Tasa de Falla'!HL32="","",'[2]Tasa de Falla'!HL32)</f>
        <v>XXXX</v>
      </c>
      <c r="N32" s="448" t="str">
        <f>IF('[2]Tasa de Falla'!HM32="","",'[2]Tasa de Falla'!HM32)</f>
        <v>XXXX</v>
      </c>
      <c r="O32" s="448" t="str">
        <f>IF('[2]Tasa de Falla'!HN32="","",'[2]Tasa de Falla'!HN32)</f>
        <v>XXXX</v>
      </c>
      <c r="P32" s="448" t="str">
        <f>IF('[2]Tasa de Falla'!HO32="","",'[2]Tasa de Falla'!HO32)</f>
        <v>XXXX</v>
      </c>
      <c r="Q32" s="448" t="str">
        <f>IF('[2]Tasa de Falla'!HP32="","",'[2]Tasa de Falla'!HP32)</f>
        <v>XXXX</v>
      </c>
      <c r="R32" s="448" t="str">
        <f>IF('[2]Tasa de Falla'!HQ32="","",'[2]Tasa de Falla'!HQ32)</f>
        <v>XXXX</v>
      </c>
      <c r="S32" s="445"/>
      <c r="T32" s="440"/>
    </row>
    <row r="33" spans="2:20" s="441" customFormat="1" ht="24.75" customHeight="1">
      <c r="B33" s="442"/>
      <c r="C33" s="450">
        <f>'[2]Tasa de Falla'!C33</f>
        <v>17</v>
      </c>
      <c r="D33" s="451" t="str">
        <f>'[2]Tasa de Falla'!D33</f>
        <v>CRUZ DE PIEDRA - LUJAN DE CUYO 1</v>
      </c>
      <c r="E33" s="451">
        <f>'[2]Tasa de Falla'!E33</f>
        <v>132</v>
      </c>
      <c r="F33" s="452">
        <f>'[2]Tasa de Falla'!F33</f>
        <v>18.1</v>
      </c>
      <c r="G33" s="451">
        <f>IF('[2]Tasa de Falla'!HF33="","",'[2]Tasa de Falla'!HF33)</f>
      </c>
      <c r="H33" s="451">
        <f>IF('[2]Tasa de Falla'!HG33="","",'[2]Tasa de Falla'!HG33)</f>
      </c>
      <c r="I33" s="451">
        <f>IF('[2]Tasa de Falla'!HH33="","",'[2]Tasa de Falla'!HH33)</f>
      </c>
      <c r="J33" s="451">
        <f>IF('[2]Tasa de Falla'!HI33="","",'[2]Tasa de Falla'!HI33)</f>
      </c>
      <c r="K33" s="451">
        <f>IF('[2]Tasa de Falla'!HJ33="","",'[2]Tasa de Falla'!HJ33)</f>
      </c>
      <c r="L33" s="451">
        <f>IF('[2]Tasa de Falla'!HK33="","",'[2]Tasa de Falla'!HK33)</f>
      </c>
      <c r="M33" s="451">
        <f>IF('[2]Tasa de Falla'!HL33="","",'[2]Tasa de Falla'!HL33)</f>
      </c>
      <c r="N33" s="451">
        <f>IF('[2]Tasa de Falla'!HM33="","",'[2]Tasa de Falla'!HM33)</f>
      </c>
      <c r="O33" s="451">
        <f>IF('[2]Tasa de Falla'!HN33="","",'[2]Tasa de Falla'!HN33)</f>
      </c>
      <c r="P33" s="451">
        <f>IF('[2]Tasa de Falla'!HO33="","",'[2]Tasa de Falla'!HO33)</f>
      </c>
      <c r="Q33" s="451">
        <f>IF('[2]Tasa de Falla'!HP33="","",'[2]Tasa de Falla'!HP33)</f>
      </c>
      <c r="R33" s="451">
        <f>IF('[2]Tasa de Falla'!HQ33="","",'[2]Tasa de Falla'!HQ33)</f>
      </c>
      <c r="S33" s="445"/>
      <c r="T33" s="440"/>
    </row>
    <row r="34" spans="2:20" s="441" customFormat="1" ht="24.75" customHeight="1">
      <c r="B34" s="442"/>
      <c r="C34" s="447">
        <f>'[2]Tasa de Falla'!C34</f>
        <v>18</v>
      </c>
      <c r="D34" s="448" t="str">
        <f>'[2]Tasa de Falla'!D34</f>
        <v>CRUZ DE PIEDRA - LUJAN DE CUYO 2</v>
      </c>
      <c r="E34" s="448">
        <f>'[2]Tasa de Falla'!E34</f>
        <v>132</v>
      </c>
      <c r="F34" s="449">
        <f>'[2]Tasa de Falla'!F34</f>
        <v>18.1</v>
      </c>
      <c r="G34" s="448">
        <f>IF('[2]Tasa de Falla'!HF34="","",'[2]Tasa de Falla'!HF34)</f>
        <v>1</v>
      </c>
      <c r="H34" s="448">
        <f>IF('[2]Tasa de Falla'!HG34="","",'[2]Tasa de Falla'!HG34)</f>
      </c>
      <c r="I34" s="448">
        <f>IF('[2]Tasa de Falla'!HH34="","",'[2]Tasa de Falla'!HH34)</f>
      </c>
      <c r="J34" s="448">
        <f>IF('[2]Tasa de Falla'!HI34="","",'[2]Tasa de Falla'!HI34)</f>
      </c>
      <c r="K34" s="448">
        <f>IF('[2]Tasa de Falla'!HJ34="","",'[2]Tasa de Falla'!HJ34)</f>
      </c>
      <c r="L34" s="448">
        <f>IF('[2]Tasa de Falla'!HK34="","",'[2]Tasa de Falla'!HK34)</f>
      </c>
      <c r="M34" s="448">
        <f>IF('[2]Tasa de Falla'!HL34="","",'[2]Tasa de Falla'!HL34)</f>
      </c>
      <c r="N34" s="448">
        <f>IF('[2]Tasa de Falla'!HM34="","",'[2]Tasa de Falla'!HM34)</f>
      </c>
      <c r="O34" s="448">
        <f>IF('[2]Tasa de Falla'!HN34="","",'[2]Tasa de Falla'!HN34)</f>
      </c>
      <c r="P34" s="448">
        <f>IF('[2]Tasa de Falla'!HO34="","",'[2]Tasa de Falla'!HO34)</f>
      </c>
      <c r="Q34" s="448">
        <f>IF('[2]Tasa de Falla'!HP34="","",'[2]Tasa de Falla'!HP34)</f>
      </c>
      <c r="R34" s="448">
        <f>IF('[2]Tasa de Falla'!HQ34="","",'[2]Tasa de Falla'!HQ34)</f>
      </c>
      <c r="S34" s="445"/>
      <c r="T34" s="440"/>
    </row>
    <row r="35" spans="2:20" s="441" customFormat="1" ht="24.75" customHeight="1">
      <c r="B35" s="442"/>
      <c r="C35" s="453">
        <f>'[2]Tasa de Falla'!C35</f>
        <v>19</v>
      </c>
      <c r="D35" s="454" t="str">
        <f>'[2]Tasa de Falla'!D35</f>
        <v>C.H. NIHUIL I - PEDRO VARGAS</v>
      </c>
      <c r="E35" s="454">
        <f>'[2]Tasa de Falla'!E35</f>
        <v>132</v>
      </c>
      <c r="F35" s="455">
        <f>'[2]Tasa de Falla'!F35</f>
        <v>46.5</v>
      </c>
      <c r="G35" s="454">
        <f>IF('[2]Tasa de Falla'!HF35="","",'[2]Tasa de Falla'!HF35)</f>
      </c>
      <c r="H35" s="454">
        <f>IF('[2]Tasa de Falla'!HG35="","",'[2]Tasa de Falla'!HG35)</f>
      </c>
      <c r="I35" s="454">
        <f>IF('[2]Tasa de Falla'!HH35="","",'[2]Tasa de Falla'!HH35)</f>
      </c>
      <c r="J35" s="454">
        <f>IF('[2]Tasa de Falla'!HI35="","",'[2]Tasa de Falla'!HI35)</f>
      </c>
      <c r="K35" s="454">
        <f>IF('[2]Tasa de Falla'!HJ35="","",'[2]Tasa de Falla'!HJ35)</f>
      </c>
      <c r="L35" s="454">
        <f>IF('[2]Tasa de Falla'!HK35="","",'[2]Tasa de Falla'!HK35)</f>
      </c>
      <c r="M35" s="454">
        <f>IF('[2]Tasa de Falla'!HL35="","",'[2]Tasa de Falla'!HL35)</f>
      </c>
      <c r="N35" s="454">
        <f>IF('[2]Tasa de Falla'!HM35="","",'[2]Tasa de Falla'!HM35)</f>
      </c>
      <c r="O35" s="454">
        <f>IF('[2]Tasa de Falla'!HN35="","",'[2]Tasa de Falla'!HN35)</f>
      </c>
      <c r="P35" s="454">
        <f>IF('[2]Tasa de Falla'!HO35="","",'[2]Tasa de Falla'!HO35)</f>
      </c>
      <c r="Q35" s="454">
        <f>IF('[2]Tasa de Falla'!HP35="","",'[2]Tasa de Falla'!HP35)</f>
      </c>
      <c r="R35" s="454">
        <f>IF('[2]Tasa de Falla'!HQ35="","",'[2]Tasa de Falla'!HQ35)</f>
      </c>
      <c r="S35" s="445"/>
      <c r="T35" s="440"/>
    </row>
    <row r="36" spans="2:20" s="441" customFormat="1" ht="24.75" customHeight="1">
      <c r="B36" s="442"/>
      <c r="C36" s="447">
        <f>'[2]Tasa de Falla'!C36</f>
        <v>20</v>
      </c>
      <c r="D36" s="448" t="str">
        <f>'[2]Tasa de Falla'!D36</f>
        <v>N AN JUAN - SAN JUAN</v>
      </c>
      <c r="E36" s="448">
        <f>'[2]Tasa de Falla'!E36</f>
        <v>220</v>
      </c>
      <c r="F36" s="449">
        <f>'[2]Tasa de Falla'!F36</f>
        <v>4.5</v>
      </c>
      <c r="G36" s="448">
        <f>IF('[2]Tasa de Falla'!HF36="","",'[2]Tasa de Falla'!HF36)</f>
      </c>
      <c r="H36" s="448">
        <f>IF('[2]Tasa de Falla'!HG36="","",'[2]Tasa de Falla'!HG36)</f>
      </c>
      <c r="I36" s="448">
        <f>IF('[2]Tasa de Falla'!HH36="","",'[2]Tasa de Falla'!HH36)</f>
      </c>
      <c r="J36" s="448">
        <f>IF('[2]Tasa de Falla'!HI36="","",'[2]Tasa de Falla'!HI36)</f>
      </c>
      <c r="K36" s="448">
        <f>IF('[2]Tasa de Falla'!HJ36="","",'[2]Tasa de Falla'!HJ36)</f>
      </c>
      <c r="L36" s="448">
        <f>IF('[2]Tasa de Falla'!HK36="","",'[2]Tasa de Falla'!HK36)</f>
      </c>
      <c r="M36" s="448">
        <f>IF('[2]Tasa de Falla'!HL36="","",'[2]Tasa de Falla'!HL36)</f>
      </c>
      <c r="N36" s="448">
        <f>IF('[2]Tasa de Falla'!HM36="","",'[2]Tasa de Falla'!HM36)</f>
      </c>
      <c r="O36" s="448">
        <f>IF('[2]Tasa de Falla'!HN36="","",'[2]Tasa de Falla'!HN36)</f>
      </c>
      <c r="P36" s="448">
        <f>IF('[2]Tasa de Falla'!HO36="","",'[2]Tasa de Falla'!HO36)</f>
      </c>
      <c r="Q36" s="448">
        <f>IF('[2]Tasa de Falla'!HP36="","",'[2]Tasa de Falla'!HP36)</f>
      </c>
      <c r="R36" s="448">
        <f>IF('[2]Tasa de Falla'!HQ36="","",'[2]Tasa de Falla'!HQ36)</f>
      </c>
      <c r="S36" s="445"/>
      <c r="T36" s="440"/>
    </row>
    <row r="37" spans="2:20" s="441" customFormat="1" ht="24.75" customHeight="1">
      <c r="B37" s="442"/>
      <c r="C37" s="453">
        <f>'[2]Tasa de Falla'!C37</f>
        <v>21</v>
      </c>
      <c r="D37" s="454" t="str">
        <f>'[2]Tasa de Falla'!D37</f>
        <v>SAN JUAN - CAÑADA HONDA</v>
      </c>
      <c r="E37" s="454">
        <f>'[2]Tasa de Falla'!E37</f>
        <v>132</v>
      </c>
      <c r="F37" s="455">
        <f>'[2]Tasa de Falla'!F37</f>
        <v>54.4</v>
      </c>
      <c r="G37" s="454">
        <f>IF('[2]Tasa de Falla'!HF37="","",'[2]Tasa de Falla'!HF37)</f>
        <v>1</v>
      </c>
      <c r="H37" s="454">
        <f>IF('[2]Tasa de Falla'!HG37="","",'[2]Tasa de Falla'!HG37)</f>
        <v>1</v>
      </c>
      <c r="I37" s="454">
        <f>IF('[2]Tasa de Falla'!HH37="","",'[2]Tasa de Falla'!HH37)</f>
      </c>
      <c r="J37" s="454">
        <f>IF('[2]Tasa de Falla'!HI37="","",'[2]Tasa de Falla'!HI37)</f>
      </c>
      <c r="K37" s="454">
        <f>IF('[2]Tasa de Falla'!HJ37="","",'[2]Tasa de Falla'!HJ37)</f>
      </c>
      <c r="L37" s="454">
        <f>IF('[2]Tasa de Falla'!HK37="","",'[2]Tasa de Falla'!HK37)</f>
      </c>
      <c r="M37" s="454">
        <f>IF('[2]Tasa de Falla'!HL37="","",'[2]Tasa de Falla'!HL37)</f>
      </c>
      <c r="N37" s="454">
        <f>IF('[2]Tasa de Falla'!HM37="","",'[2]Tasa de Falla'!HM37)</f>
        <v>1</v>
      </c>
      <c r="O37" s="454">
        <f>IF('[2]Tasa de Falla'!HN37="","",'[2]Tasa de Falla'!HN37)</f>
        <v>1</v>
      </c>
      <c r="P37" s="454">
        <f>IF('[2]Tasa de Falla'!HO37="","",'[2]Tasa de Falla'!HO37)</f>
      </c>
      <c r="Q37" s="454">
        <f>IF('[2]Tasa de Falla'!HP37="","",'[2]Tasa de Falla'!HP37)</f>
      </c>
      <c r="R37" s="454">
        <f>IF('[2]Tasa de Falla'!HQ37="","",'[2]Tasa de Falla'!HQ37)</f>
      </c>
      <c r="S37" s="445"/>
      <c r="T37" s="440"/>
    </row>
    <row r="38" spans="2:20" s="441" customFormat="1" ht="24.75" customHeight="1" thickBot="1">
      <c r="B38" s="442"/>
      <c r="C38" s="456">
        <f>IF('[3]Tasa de Falla'!C36=0,"",'[3]Tasa de Falla'!C36)</f>
      </c>
      <c r="D38" s="457">
        <f>IF('[3]Tasa de Falla'!D36=0,"",'[3]Tasa de Falla'!D36)</f>
      </c>
      <c r="E38" s="458">
        <f>IF('[3]Tasa de Falla'!E36=0,"",'[3]Tasa de Falla'!E36)</f>
      </c>
      <c r="F38" s="459">
        <f>IF('[3]Tasa de Falla'!F36=0,"",'[3]Tasa de Falla'!F36)</f>
      </c>
      <c r="G38" s="458"/>
      <c r="H38" s="458"/>
      <c r="I38" s="458"/>
      <c r="J38" s="458"/>
      <c r="K38" s="458"/>
      <c r="L38" s="458"/>
      <c r="M38" s="458"/>
      <c r="N38" s="458"/>
      <c r="O38" s="458"/>
      <c r="P38" s="458"/>
      <c r="Q38" s="458"/>
      <c r="R38" s="458"/>
      <c r="S38" s="445"/>
      <c r="T38" s="440"/>
    </row>
    <row r="39" spans="2:20" s="441" customFormat="1" ht="24.75" customHeight="1" thickBot="1" thickTop="1">
      <c r="B39" s="442"/>
      <c r="C39" s="460"/>
      <c r="D39" s="461"/>
      <c r="E39" s="462" t="s">
        <v>99</v>
      </c>
      <c r="F39" s="463">
        <f>ROUND(SUM($F$17:$F$38)-SUMIF($R17:$R38,"XXXX",$F$17:$F$38),2)</f>
        <v>1250</v>
      </c>
      <c r="G39" s="464"/>
      <c r="H39" s="465"/>
      <c r="I39" s="464"/>
      <c r="J39" s="465"/>
      <c r="K39" s="464"/>
      <c r="L39" s="465"/>
      <c r="M39" s="464"/>
      <c r="N39" s="465"/>
      <c r="O39" s="464"/>
      <c r="P39" s="465"/>
      <c r="Q39" s="464"/>
      <c r="R39" s="465"/>
      <c r="S39" s="445"/>
      <c r="T39" s="440"/>
    </row>
    <row r="40" spans="2:20" s="441" customFormat="1" ht="24.75" customHeight="1" thickBot="1" thickTop="1">
      <c r="B40" s="442"/>
      <c r="C40" s="466"/>
      <c r="D40" s="467"/>
      <c r="F40" s="468" t="s">
        <v>100</v>
      </c>
      <c r="G40" s="469">
        <f aca="true" t="shared" si="0" ref="G40:R40">SUM(G17:G38)</f>
        <v>2</v>
      </c>
      <c r="H40" s="469">
        <f t="shared" si="0"/>
        <v>1</v>
      </c>
      <c r="I40" s="469">
        <f t="shared" si="0"/>
        <v>0</v>
      </c>
      <c r="J40" s="469">
        <f t="shared" si="0"/>
        <v>2</v>
      </c>
      <c r="K40" s="469">
        <f t="shared" si="0"/>
        <v>0</v>
      </c>
      <c r="L40" s="469">
        <f t="shared" si="0"/>
        <v>0</v>
      </c>
      <c r="M40" s="469">
        <f t="shared" si="0"/>
        <v>0</v>
      </c>
      <c r="N40" s="469">
        <f t="shared" si="0"/>
        <v>2</v>
      </c>
      <c r="O40" s="469">
        <f t="shared" si="0"/>
        <v>1</v>
      </c>
      <c r="P40" s="469">
        <f t="shared" si="0"/>
        <v>0</v>
      </c>
      <c r="Q40" s="469">
        <f t="shared" si="0"/>
        <v>1</v>
      </c>
      <c r="R40" s="469">
        <f t="shared" si="0"/>
        <v>0</v>
      </c>
      <c r="S40" s="445"/>
      <c r="T40" s="440"/>
    </row>
    <row r="41" spans="2:20" s="441" customFormat="1" ht="24.75" customHeight="1" thickBot="1" thickTop="1">
      <c r="B41" s="442"/>
      <c r="C41" s="466"/>
      <c r="D41" s="466"/>
      <c r="E41" s="466"/>
      <c r="F41" s="470" t="s">
        <v>101</v>
      </c>
      <c r="G41" s="471">
        <f>'[2]Tasa de Falla'!HF42</f>
        <v>1.04</v>
      </c>
      <c r="H41" s="471">
        <f>'[2]Tasa de Falla'!HG42</f>
        <v>1.12</v>
      </c>
      <c r="I41" s="471">
        <f>'[2]Tasa de Falla'!HH42</f>
        <v>1.04</v>
      </c>
      <c r="J41" s="471">
        <f>'[2]Tasa de Falla'!HI42</f>
        <v>0.88</v>
      </c>
      <c r="K41" s="471">
        <f>'[2]Tasa de Falla'!HJ42</f>
        <v>0.96</v>
      </c>
      <c r="L41" s="471">
        <f>'[2]Tasa de Falla'!HK42</f>
        <v>0.96</v>
      </c>
      <c r="M41" s="471">
        <f>'[2]Tasa de Falla'!HL42</f>
        <v>0.88</v>
      </c>
      <c r="N41" s="471">
        <f>'[2]Tasa de Falla'!HM42</f>
        <v>0.88</v>
      </c>
      <c r="O41" s="471">
        <f>'[2]Tasa de Falla'!HN42</f>
        <v>0.88</v>
      </c>
      <c r="P41" s="471">
        <f>'[2]Tasa de Falla'!HO42</f>
        <v>0.88</v>
      </c>
      <c r="Q41" s="471">
        <f>'[2]Tasa de Falla'!HP42</f>
        <v>0.8</v>
      </c>
      <c r="R41" s="471">
        <f>'[2]Tasa de Falla'!HQ42</f>
        <v>0.8</v>
      </c>
      <c r="S41" s="471">
        <f>SUM(G40:R40)/F39*100</f>
        <v>0.72</v>
      </c>
      <c r="T41" s="440"/>
    </row>
    <row r="42" spans="2:20" ht="18.75" customHeight="1" thickBot="1" thickTop="1">
      <c r="B42" s="428"/>
      <c r="C42" s="472"/>
      <c r="D42" s="473" t="s">
        <v>102</v>
      </c>
      <c r="E42" s="474"/>
      <c r="F42" s="475"/>
      <c r="G42" s="476"/>
      <c r="H42" s="476"/>
      <c r="I42" s="476"/>
      <c r="J42" s="476"/>
      <c r="K42" s="476"/>
      <c r="L42" s="476"/>
      <c r="M42" s="476"/>
      <c r="N42" s="476"/>
      <c r="O42" s="476"/>
      <c r="P42" s="476"/>
      <c r="Q42" s="476"/>
      <c r="R42" s="476"/>
      <c r="S42" s="476"/>
      <c r="T42" s="477"/>
    </row>
    <row r="43" spans="2:20" ht="17.25" thickBot="1" thickTop="1">
      <c r="B43" s="478"/>
      <c r="C43" s="432"/>
      <c r="D43" s="432"/>
      <c r="H43" s="479" t="s">
        <v>103</v>
      </c>
      <c r="I43" s="480"/>
      <c r="J43" s="481">
        <f>S41</f>
        <v>0.72</v>
      </c>
      <c r="K43" s="482" t="s">
        <v>104</v>
      </c>
      <c r="L43" s="483"/>
      <c r="M43" s="484"/>
      <c r="N43" s="485"/>
      <c r="O43" s="485"/>
      <c r="P43" s="485"/>
      <c r="Q43" s="485"/>
      <c r="R43" s="432"/>
      <c r="S43" s="432"/>
      <c r="T43" s="433"/>
    </row>
    <row r="44" spans="2:20" ht="18.75" customHeight="1" thickBot="1" thickTop="1">
      <c r="B44" s="486"/>
      <c r="C44" s="487"/>
      <c r="D44" s="488"/>
      <c r="E44" s="488"/>
      <c r="F44" s="489"/>
      <c r="G44" s="490"/>
      <c r="H44" s="490"/>
      <c r="I44" s="490"/>
      <c r="J44" s="490"/>
      <c r="K44" s="490"/>
      <c r="L44" s="490"/>
      <c r="M44" s="490"/>
      <c r="N44" s="490"/>
      <c r="O44" s="490"/>
      <c r="P44" s="490"/>
      <c r="Q44" s="490"/>
      <c r="R44" s="490"/>
      <c r="S44" s="490"/>
      <c r="T44" s="491"/>
    </row>
    <row r="45" ht="13.5" thickTop="1">
      <c r="AA45" s="407">
        <f>ROUND(SUM(AA20:AA44),2)</f>
        <v>0</v>
      </c>
    </row>
  </sheetData>
  <sheetProtection/>
  <printOptions/>
  <pageMargins left="0.23" right="0.1968503937007874" top="0.63" bottom="0.7874015748031497" header="0.5118110236220472" footer="0.25"/>
  <pageSetup fitToHeight="1" fitToWidth="1" horizontalDpi="300" verticalDpi="300" orientation="landscape" paperSize="9" scale="36" r:id="rId2"/>
  <headerFooter alignWithMargins="0">
    <oddFooter>&amp;L&amp;"Times New Roman,Normal"&amp;8&amp;Z&amp;F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E.N.R.E.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TRANSPORTE</dc:creator>
  <cp:keywords/>
  <dc:description/>
  <cp:lastModifiedBy>pleoni</cp:lastModifiedBy>
  <cp:lastPrinted>2014-01-10T19:47:24Z</cp:lastPrinted>
  <dcterms:created xsi:type="dcterms:W3CDTF">1998-09-02T21:31:22Z</dcterms:created>
  <dcterms:modified xsi:type="dcterms:W3CDTF">2014-05-26T16:03:47Z</dcterms:modified>
  <cp:category/>
  <cp:version/>
  <cp:contentType/>
  <cp:contentStatus/>
</cp:coreProperties>
</file>