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110" sheetId="1" r:id="rId1"/>
    <sheet name="LI-01 (1)" sheetId="2" r:id="rId2"/>
    <sheet name="LI-01 (2)" sheetId="3" r:id="rId3"/>
    <sheet name="LI-01 (3)" sheetId="4" r:id="rId4"/>
    <sheet name="LI-01 (4)" sheetId="5" r:id="rId5"/>
    <sheet name="condiciones climaticas 313-01" sheetId="6" r:id="rId6"/>
    <sheet name="T-01 (1)" sheetId="7" r:id="rId7"/>
    <sheet name="T-01 (2)" sheetId="8" r:id="rId8"/>
    <sheet name="T-01 (3)" sheetId="9" r:id="rId9"/>
    <sheet name="SA-01 (1)" sheetId="10" r:id="rId10"/>
    <sheet name="SA-01 (2)" sheetId="11" r:id="rId11"/>
    <sheet name="RE-01 (1)" sheetId="12" r:id="rId12"/>
    <sheet name="TASA FALLA" sheetId="13" r:id="rId13"/>
  </sheets>
  <externalReferences>
    <externalReference r:id="rId16"/>
  </externalReferences>
  <definedNames>
    <definedName name="aa">[0]!aa</definedName>
    <definedName name="_xlnm.Print_Area" localSheetId="5">'condiciones climaticas 313-01'!$A$1:$AN$37</definedName>
    <definedName name="_xlnm.Print_Area" localSheetId="12">'TASA FALLA'!$A$1:$V$148</definedName>
    <definedName name="DD" localSheetId="5">'condiciones climaticas 313-01'!DD</definedName>
    <definedName name="DD" localSheetId="12">'TASA FALLA'!DD</definedName>
    <definedName name="DD">[0]!DD</definedName>
    <definedName name="DDD" localSheetId="5">'condiciones climaticas 313-01'!DDD</definedName>
    <definedName name="DDD" localSheetId="12">'TASA FALLA'!DDD</definedName>
    <definedName name="DDD">[0]!DDD</definedName>
    <definedName name="DISTROCUYO" localSheetId="5">'condiciones climaticas 313-01'!DISTROCUYO</definedName>
    <definedName name="DISTROCUYO" localSheetId="12">'TASA FALLA'!DISTROCUYO</definedName>
    <definedName name="DISTROCUYO">[0]!DISTROCUYO</definedName>
    <definedName name="FER">[0]!FER</definedName>
    <definedName name="INICIO" localSheetId="5">'condiciones climaticas 313-01'!INICIO</definedName>
    <definedName name="INICIO" localSheetId="12">'TASA FALLA'!INICIO</definedName>
    <definedName name="INICIO">[0]!INICIO</definedName>
    <definedName name="INICIOTI" localSheetId="5">'condiciones climaticas 313-01'!INICIOTI</definedName>
    <definedName name="INICIOTI" localSheetId="12">'TASA FALLA'!INICIOTI</definedName>
    <definedName name="INICIOTI">[0]!INICIOTI</definedName>
    <definedName name="LINEAS" localSheetId="5">'condiciones climaticas 313-01'!LINEAS</definedName>
    <definedName name="LINEAS" localSheetId="12">'TASA FALLA'!LINEAS</definedName>
    <definedName name="LINEAS">[0]!LINEAS</definedName>
    <definedName name="NAME_L" localSheetId="5">'condiciones climaticas 313-01'!NAME_L</definedName>
    <definedName name="NAME_L" localSheetId="12">'TASA FALLA'!NAME_L</definedName>
    <definedName name="NAME_L">[0]!NAME_L</definedName>
    <definedName name="NAME_L_TI" localSheetId="5">'condiciones climaticas 313-01'!NAME_L_TI</definedName>
    <definedName name="NAME_L_TI" localSheetId="12">'TASA FALLA'!NAME_L_TI</definedName>
    <definedName name="NAME_L_TI">[0]!NAME_L_TI</definedName>
    <definedName name="QITBA">#REF!</definedName>
    <definedName name="TRAN" localSheetId="5">'condiciones climaticas 313-01'!TRAN</definedName>
    <definedName name="TRAN">[0]!TRAN</definedName>
    <definedName name="TRANSNOA" localSheetId="5">'condiciones climaticas 313-01'!TRANSNOA</definedName>
    <definedName name="TRANSNOA" localSheetId="12">'TASA FALLA'!TRANSNOA</definedName>
    <definedName name="TRANSNOA">[0]!TRANSNOA</definedName>
    <definedName name="x" localSheetId="5">'condiciones climaticas 313-01'!x</definedName>
    <definedName name="x">[0]!x</definedName>
    <definedName name="XX" localSheetId="5">'condiciones climaticas 313-01'!XX</definedName>
    <definedName name="XX" localSheetId="12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GMir</author>
    <author>gmir</author>
  </authors>
  <commentList>
    <comment ref="AF21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  <comment ref="AB21" authorId="1">
      <text>
        <r>
          <rPr>
            <sz val="8"/>
            <rFont val="Tahoma"/>
            <family val="0"/>
          </rPr>
          <t xml:space="preserve">
fp= 1 para atentado</t>
        </r>
      </text>
    </comment>
  </commentList>
</comments>
</file>

<file path=xl/sharedStrings.xml><?xml version="1.0" encoding="utf-8"?>
<sst xmlns="http://schemas.openxmlformats.org/spreadsheetml/2006/main" count="1115" uniqueCount="255">
  <si>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</si>
  <si>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</si>
  <si>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</si>
  <si>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</si>
  <si>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</si>
  <si>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</si>
  <si>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</si>
  <si>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</si>
  <si>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</si>
  <si>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</si>
  <si>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</si>
  <si>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</si>
  <si>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</si>
  <si>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</si>
  <si>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</si>
  <si>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</si>
  <si>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</si>
  <si>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</si>
  <si>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</si>
  <si>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</si>
  <si>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</si>
  <si>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</si>
  <si>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</si>
  <si>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</si>
  <si>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</si>
  <si>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</si>
  <si>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</si>
  <si>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</si>
  <si>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</si>
  <si>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</si>
  <si>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</si>
  <si>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</si>
  <si>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</si>
  <si>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</si>
  <si>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</si>
  <si>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</si>
  <si>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</si>
  <si>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</si>
  <si>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</si>
  <si>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</si>
  <si>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</si>
  <si>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</si>
  <si>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</si>
  <si>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</si>
  <si>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</si>
  <si>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</si>
  <si>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</si>
  <si>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</si>
  <si>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</si>
  <si>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</si>
  <si>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</si>
  <si>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</si>
  <si>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</si>
  <si>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</si>
  <si>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</si>
  <si>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</si>
  <si>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</si>
  <si>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</si>
  <si>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</si>
  <si>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</si>
  <si>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</si>
  <si>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</si>
  <si>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</si>
  <si>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</si>
  <si>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</si>
  <si>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</si>
  <si>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</si>
  <si>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</si>
  <si>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</si>
  <si>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</si>
  <si>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</si>
  <si>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</si>
  <si>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Desde el 01 al 31 de enero de 2010</t>
  </si>
  <si>
    <t>P</t>
  </si>
  <si>
    <t>SI</t>
  </si>
  <si>
    <t>F</t>
  </si>
  <si>
    <t>CARLOS CASARES - 9 DE JULIO</t>
  </si>
  <si>
    <t>C</t>
  </si>
  <si>
    <t>NUEVA CAMPANA - SIDERCA 2</t>
  </si>
  <si>
    <t>PUNTA ALTA - BAHIA BLANCA</t>
  </si>
  <si>
    <t>BAHIA BLANCA - P. LURO</t>
  </si>
  <si>
    <t>B</t>
  </si>
  <si>
    <t>LOMA NEGRA - C. AVELLANEDA</t>
  </si>
  <si>
    <t>LOMA NEGRA - OLAVARRIA</t>
  </si>
  <si>
    <t>TRENQUE LAUQUEN - PEHUAJO</t>
  </si>
  <si>
    <t>217099/217100</t>
  </si>
  <si>
    <t>PIGÜE - TORNQUIST - BAHIA BLANCA</t>
  </si>
  <si>
    <t>BAHIA BLANCA - NORTE II</t>
  </si>
  <si>
    <t>SAN NICOLÁS - VILLA CONSTITUCIÓN IND.</t>
  </si>
  <si>
    <t>NUEVA CAMPANA - SIDERCA 1</t>
  </si>
  <si>
    <t>PIGUE - GUATRACHE</t>
  </si>
  <si>
    <t>LAS ARMAS - DOLORES</t>
  </si>
  <si>
    <t>BAHIA BLANCA - PRINGLES</t>
  </si>
  <si>
    <t>VILLA LIA "T" - NUEVA CAMPANA</t>
  </si>
  <si>
    <t>VILLA LIA "T" - VILLA LÍA</t>
  </si>
  <si>
    <t>OLAVARRIA - BARKER</t>
  </si>
  <si>
    <t>PIGÜE - TORNQUIST</t>
  </si>
  <si>
    <t>BRAGADO - SALADILLO</t>
  </si>
  <si>
    <t>LINCOLN - BRAGADO</t>
  </si>
  <si>
    <t>PUNTA ALTA - C. PIEDRABUENA</t>
  </si>
  <si>
    <t>TORNQUIST</t>
  </si>
  <si>
    <t>Trafo</t>
  </si>
  <si>
    <t>132/33/13,2</t>
  </si>
  <si>
    <t>LAS ARMAS</t>
  </si>
  <si>
    <t>NORTE 2</t>
  </si>
  <si>
    <t>Trafo 2</t>
  </si>
  <si>
    <t>NECOCHEA</t>
  </si>
  <si>
    <t>Trafo 1</t>
  </si>
  <si>
    <t>132/13,2</t>
  </si>
  <si>
    <t>CARLOS CASARES</t>
  </si>
  <si>
    <t>Trafo 3</t>
  </si>
  <si>
    <t>66/13,2</t>
  </si>
  <si>
    <t>ZARATE</t>
  </si>
  <si>
    <t>BRAGADO</t>
  </si>
  <si>
    <t>OLAVARRIA VIEJA</t>
  </si>
  <si>
    <t>T1OA</t>
  </si>
  <si>
    <t>MAR DEL TUYU</t>
  </si>
  <si>
    <t>T2OA</t>
  </si>
  <si>
    <t>AutoTrafo 2</t>
  </si>
  <si>
    <t>PETROQUIMICA</t>
  </si>
  <si>
    <t>PINAMAR</t>
  </si>
  <si>
    <t>MERCEDES BS.AS</t>
  </si>
  <si>
    <t>T1MD</t>
  </si>
  <si>
    <t>VILLA GESELL</t>
  </si>
  <si>
    <t>MONTE</t>
  </si>
  <si>
    <t>LINCOLN</t>
  </si>
  <si>
    <t>R</t>
  </si>
  <si>
    <t>T. LAUQUEN</t>
  </si>
  <si>
    <t>MIRAMAR</t>
  </si>
  <si>
    <t>G. CHAVES</t>
  </si>
  <si>
    <t>33/13,2</t>
  </si>
  <si>
    <t>LUJAN II</t>
  </si>
  <si>
    <t>9 DE JULIO</t>
  </si>
  <si>
    <t>Alimentador 3 a Coop.9 DE JULIO</t>
  </si>
  <si>
    <t>Alimentador a LAS TOSCAS</t>
  </si>
  <si>
    <t>Alimentador 1 RURAL</t>
  </si>
  <si>
    <t>Alimentador a DUDIGNAC</t>
  </si>
  <si>
    <t>PEHUAJO</t>
  </si>
  <si>
    <t>Alimentador 5 a PEHUAJO</t>
  </si>
  <si>
    <t>Alimentador 4 a LA SOFÍA</t>
  </si>
  <si>
    <t>Alimentador 6 a PEHUAJO</t>
  </si>
  <si>
    <t>Alimentador 3 URBANO-RURAL</t>
  </si>
  <si>
    <t>Alimentador 2 a Coop.9 DE JULIO</t>
  </si>
  <si>
    <t>SAN NICOLAS</t>
  </si>
  <si>
    <t>Alimentador a RAMALLO</t>
  </si>
  <si>
    <t>SALADILLO</t>
  </si>
  <si>
    <t>Alimentador a 25 de MAYO</t>
  </si>
  <si>
    <t>PRAXAIR</t>
  </si>
  <si>
    <t>Alimentador a PRAXAIR</t>
  </si>
  <si>
    <t>CHIVILCOY</t>
  </si>
  <si>
    <t>Alimentador 10 a CHIVILCOY</t>
  </si>
  <si>
    <t>TANDIL</t>
  </si>
  <si>
    <t>Alimentador a EGANA y RAUCH</t>
  </si>
  <si>
    <t>Alimentador SUIPACHA</t>
  </si>
  <si>
    <t>Alimentador 9 a CHIVILCOY</t>
  </si>
  <si>
    <t>MERCEDES</t>
  </si>
  <si>
    <t>Alimentador 1 a MERCEDES</t>
  </si>
  <si>
    <t>Alimentador a SUIPACHA</t>
  </si>
  <si>
    <t>Interr. Trafo 1 a  B. de Capac. Nro.3</t>
  </si>
  <si>
    <t>Alimentador 2 a MERCEDES</t>
  </si>
  <si>
    <t>Alimentador 3 a MERCEDES</t>
  </si>
  <si>
    <t>Alimentador 4 a MERCEDES</t>
  </si>
  <si>
    <t>Alimentador 1 PAPEL TORNQUIST</t>
  </si>
  <si>
    <t>Alimentador 2 PAPEL TORNQUIST</t>
  </si>
  <si>
    <t>Interruptor WARNER - O'BRIEN</t>
  </si>
  <si>
    <t>Alimentador 6 a MERCEDES</t>
  </si>
  <si>
    <t>Alimentador 5 a MERCEDES</t>
  </si>
  <si>
    <t>Alimentador 8 a MERCEDES</t>
  </si>
  <si>
    <t>Línea a E.T. Norte 1</t>
  </si>
  <si>
    <t>Alimentador 7 a MERCEDES</t>
  </si>
  <si>
    <t>Alimentador Alberti</t>
  </si>
  <si>
    <t>JUNIN</t>
  </si>
  <si>
    <t>K3JU</t>
  </si>
  <si>
    <t>K1MD</t>
  </si>
  <si>
    <t>ZARATE - CAMPANA III</t>
  </si>
  <si>
    <t>CAMPANA III - MATHEU</t>
  </si>
  <si>
    <t>9 DE JULIO - BRAGADO</t>
  </si>
  <si>
    <t>NORTE II - LOS CHAÑARES</t>
  </si>
  <si>
    <t>CHACABUCO IND. - SALTO B.A.</t>
  </si>
  <si>
    <t>CAMPANA  III - MATHEU</t>
  </si>
  <si>
    <t>RAMALLO - SAN NICOLAS 2</t>
  </si>
  <si>
    <t>VALERIA DEL MAR - V. GESSEL</t>
  </si>
  <si>
    <t>TRES ARROYOS</t>
  </si>
  <si>
    <t>Trafo  2</t>
  </si>
  <si>
    <t>LOS CHAÑARES</t>
  </si>
  <si>
    <t>COLON</t>
  </si>
  <si>
    <t>CAMPANA III</t>
  </si>
  <si>
    <t>220/132/13,2</t>
  </si>
  <si>
    <t>Alimentador C.T. PEHUAJO</t>
  </si>
  <si>
    <t>Alimentador a ROQUE PEREZ</t>
  </si>
  <si>
    <t>P - PROGRAMADA ;   F - FORZADA</t>
  </si>
  <si>
    <t xml:space="preserve">P - PROGRAMADA ;   F - FORZADA </t>
  </si>
  <si>
    <t>P - PROGRAMADA ;   F - FORZADA ;  R - RESTANTE</t>
  </si>
  <si>
    <t>SISTEMA DE TRANSPORTE DE ENERGÍA ELÉCTRICA POR DISTRIBUCIÓN TRONCAL</t>
  </si>
  <si>
    <t>INDISPONIBILIDADES FORZADAS DE LÍNEAS - TASA DE FALLA</t>
  </si>
  <si>
    <t>Tasa de falla correspondiente al mes de enero de 2010 (provisoria)</t>
  </si>
  <si>
    <t>Codigo</t>
  </si>
  <si>
    <t>LOS CHAÑARES - PTQ. BAHIA BLANCA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</si>
  <si>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</si>
  <si>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</si>
  <si>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</si>
  <si>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</si>
  <si>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</si>
  <si>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</si>
  <si>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 xml:space="preserve">ANEXO II al Memorandum D.T.E.E. N°         /             </t>
  </si>
  <si>
    <t>TOTAL DE PENALIZACIONES</t>
  </si>
  <si>
    <t>68a</t>
  </si>
  <si>
    <t>RF</t>
  </si>
  <si>
    <t>NO</t>
  </si>
  <si>
    <t>70a</t>
  </si>
  <si>
    <t>74a</t>
  </si>
  <si>
    <t>96a</t>
  </si>
  <si>
    <t>--</t>
  </si>
  <si>
    <t>FM</t>
  </si>
  <si>
    <t>FM  fuerza mayor</t>
  </si>
  <si>
    <t xml:space="preserve">FORMULAS UTILIZADAS PARA EL CALCULO </t>
  </si>
  <si>
    <t xml:space="preserve">$/100 km-h : LINEAS 220 kV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</si>
  <si>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</si>
  <si>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</si>
  <si>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</si>
  <si>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</si>
  <si>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</si>
  <si>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CL</t>
  </si>
  <si>
    <t>K</t>
  </si>
  <si>
    <t>Hs.
Indisp.</t>
  </si>
  <si>
    <t>Mtos.
Indisp.</t>
  </si>
  <si>
    <t>Rest.
%</t>
  </si>
  <si>
    <t>R.D.</t>
  </si>
  <si>
    <t>PC en Tst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</si>
  <si>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</si>
  <si>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</si>
  <si>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</si>
  <si>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</si>
  <si>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</si>
  <si>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</si>
  <si>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</si>
  <si>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</si>
  <si>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</si>
  <si>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</si>
  <si>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</si>
  <si>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</si>
  <si>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</si>
  <si>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</si>
  <si>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</si>
  <si>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</si>
  <si>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</si>
  <si>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</si>
  <si>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</si>
  <si>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</si>
  <si>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1.2 - Indisponibilidades de LAT causadas por condiciones climáticas extremas. Resolución ENRE 313/01</t>
  </si>
  <si>
    <t xml:space="preserve">$/100 km-h : LINEAS 132 kV </t>
  </si>
  <si>
    <t>PENALIZACIÓN FORZADA
Por Salida    1ras 3 hs.   hs. Restantes</t>
  </si>
  <si>
    <t>1.2.-</t>
  </si>
  <si>
    <t>Cond. Climáticas Res. ENRE N° 313/01</t>
  </si>
  <si>
    <t>Valores remuneratorios según  Acta Instrumental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</si>
</sst>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#,##0.0000"/>
    <numFmt numFmtId="171" formatCode="0.00_)"/>
    <numFmt numFmtId="172" formatCode="&quot;$&quot;\ #,##0.000;&quot;$&quot;\ \-#,##0.000"/>
    <numFmt numFmtId="173" formatCode="#,##0.0"/>
    <numFmt numFmtId="174" formatCode="0.000"/>
    <numFmt numFmtId="175" formatCode="&quot;$&quot;#,##0.00\ ;&quot;$&quot;\-#,##0.00\ "/>
    <numFmt numFmtId="176" formatCode="0.000_)"/>
    <numFmt numFmtId="177" formatCode="0.0000"/>
    <numFmt numFmtId="178" formatCode="0.0"/>
    <numFmt numFmtId="179" formatCode="#,##0;[Red]#,##0"/>
    <numFmt numFmtId="180" formatCode="#,##0.000000"/>
  </numFmts>
  <fonts count="80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5">
    <xf numFmtId="0" fontId="0" fillId="0" borderId="0" xfId="0" applyAlignment="1">
      <alignment/>
    </xf>
    <xf numFmtId="0" fontId="6" fillId="0" borderId="0" xfId="29" applyFont="1">
      <alignment/>
      <protection/>
    </xf>
    <xf numFmtId="0" fontId="6" fillId="0" borderId="0" xfId="29" applyFont="1" applyFill="1" applyBorder="1">
      <alignment/>
      <protection/>
    </xf>
    <xf numFmtId="0" fontId="8" fillId="0" borderId="0" xfId="29" applyFont="1">
      <alignment/>
      <protection/>
    </xf>
    <xf numFmtId="0" fontId="8" fillId="0" borderId="0" xfId="29" applyFont="1" applyAlignment="1">
      <alignment horizontal="centerContinuous"/>
      <protection/>
    </xf>
    <xf numFmtId="0" fontId="1" fillId="0" borderId="0" xfId="29">
      <alignment/>
      <protection/>
    </xf>
    <xf numFmtId="0" fontId="6" fillId="0" borderId="0" xfId="29" applyFont="1" applyAlignment="1">
      <alignment horizontal="centerContinuous"/>
      <protection/>
    </xf>
    <xf numFmtId="0" fontId="6" fillId="0" borderId="0" xfId="29" applyFont="1" applyBorder="1">
      <alignment/>
      <protection/>
    </xf>
    <xf numFmtId="0" fontId="4" fillId="0" borderId="0" xfId="29" applyFont="1" applyFill="1" applyBorder="1" applyAlignment="1" applyProtection="1">
      <alignment horizontal="centerContinuous"/>
      <protection/>
    </xf>
    <xf numFmtId="0" fontId="10" fillId="0" borderId="0" xfId="29" applyFont="1">
      <alignment/>
      <protection/>
    </xf>
    <xf numFmtId="0" fontId="11" fillId="0" borderId="0" xfId="29" applyFont="1">
      <alignment/>
      <protection/>
    </xf>
    <xf numFmtId="0" fontId="13" fillId="0" borderId="1" xfId="29" applyFont="1" applyBorder="1" applyAlignment="1">
      <alignment horizontal="centerContinuous"/>
      <protection/>
    </xf>
    <xf numFmtId="0" fontId="13" fillId="0" borderId="0" xfId="29" applyFont="1" applyBorder="1" applyAlignment="1">
      <alignment horizontal="centerContinuous"/>
      <protection/>
    </xf>
    <xf numFmtId="0" fontId="6" fillId="0" borderId="1" xfId="29" applyFont="1" applyBorder="1">
      <alignment/>
      <protection/>
    </xf>
    <xf numFmtId="0" fontId="6" fillId="0" borderId="2" xfId="29" applyFont="1" applyBorder="1">
      <alignment/>
      <protection/>
    </xf>
    <xf numFmtId="0" fontId="6" fillId="0" borderId="0" xfId="29" applyFont="1" applyBorder="1" applyAlignment="1">
      <alignment horizontal="center"/>
      <protection/>
    </xf>
    <xf numFmtId="0" fontId="9" fillId="0" borderId="0" xfId="29" applyFont="1" applyAlignment="1" applyProtection="1">
      <alignment horizontal="centerContinuous"/>
      <protection locked="0"/>
    </xf>
    <xf numFmtId="0" fontId="12" fillId="0" borderId="0" xfId="29" applyFont="1" applyAlignment="1" applyProtection="1">
      <alignment horizontal="centerContinuous"/>
      <protection locked="0"/>
    </xf>
    <xf numFmtId="0" fontId="4" fillId="0" borderId="0" xfId="29" applyFont="1" applyBorder="1" applyAlignment="1" applyProtection="1">
      <alignment horizontal="centerContinuous"/>
      <protection/>
    </xf>
    <xf numFmtId="0" fontId="6" fillId="0" borderId="3" xfId="29" applyFont="1" applyBorder="1">
      <alignment/>
      <protection/>
    </xf>
    <xf numFmtId="0" fontId="6" fillId="0" borderId="4" xfId="29" applyFont="1" applyBorder="1">
      <alignment/>
      <protection/>
    </xf>
    <xf numFmtId="0" fontId="6" fillId="0" borderId="5" xfId="29" applyFont="1" applyBorder="1">
      <alignment/>
      <protection/>
    </xf>
    <xf numFmtId="0" fontId="15" fillId="0" borderId="0" xfId="29" applyFont="1">
      <alignment/>
      <protection/>
    </xf>
    <xf numFmtId="0" fontId="15" fillId="0" borderId="1" xfId="29" applyFont="1" applyBorder="1">
      <alignment/>
      <protection/>
    </xf>
    <xf numFmtId="0" fontId="16" fillId="0" borderId="0" xfId="29" applyFont="1" applyBorder="1">
      <alignment/>
      <protection/>
    </xf>
    <xf numFmtId="0" fontId="15" fillId="0" borderId="0" xfId="29" applyFont="1" applyBorder="1">
      <alignment/>
      <protection/>
    </xf>
    <xf numFmtId="0" fontId="15" fillId="0" borderId="2" xfId="29" applyFont="1" applyBorder="1">
      <alignment/>
      <protection/>
    </xf>
    <xf numFmtId="0" fontId="3" fillId="0" borderId="0" xfId="29" applyFont="1" applyBorder="1">
      <alignment/>
      <protection/>
    </xf>
    <xf numFmtId="0" fontId="13" fillId="0" borderId="0" xfId="29" applyFont="1" applyFill="1" applyBorder="1" applyAlignment="1" applyProtection="1">
      <alignment horizontal="centerContinuous"/>
      <protection locked="0"/>
    </xf>
    <xf numFmtId="0" fontId="13" fillId="0" borderId="0" xfId="29" applyFont="1" applyAlignment="1">
      <alignment horizontal="centerContinuous"/>
      <protection/>
    </xf>
    <xf numFmtId="0" fontId="13" fillId="0" borderId="0" xfId="29" applyFont="1" applyBorder="1" applyAlignment="1" applyProtection="1">
      <alignment horizontal="centerContinuous"/>
      <protection/>
    </xf>
    <xf numFmtId="0" fontId="13" fillId="0" borderId="2" xfId="29" applyFont="1" applyBorder="1" applyAlignment="1">
      <alignment horizontal="centerContinuous"/>
      <protection/>
    </xf>
    <xf numFmtId="0" fontId="12" fillId="0" borderId="0" xfId="29" applyFont="1" applyBorder="1">
      <alignment/>
      <protection/>
    </xf>
    <xf numFmtId="0" fontId="3" fillId="0" borderId="0" xfId="29" applyFont="1" applyBorder="1" applyProtection="1">
      <alignment/>
      <protection/>
    </xf>
    <xf numFmtId="0" fontId="6" fillId="0" borderId="0" xfId="29" applyFont="1" applyBorder="1" applyProtection="1">
      <alignment/>
      <protection/>
    </xf>
    <xf numFmtId="0" fontId="1" fillId="0" borderId="6" xfId="29" applyFont="1" applyBorder="1" applyAlignment="1" applyProtection="1">
      <alignment horizontal="center"/>
      <protection/>
    </xf>
    <xf numFmtId="174" fontId="1" fillId="0" borderId="6" xfId="29" applyNumberFormat="1" applyFont="1" applyBorder="1" applyAlignment="1">
      <alignment horizontal="centerContinuous"/>
      <protection/>
    </xf>
    <xf numFmtId="0" fontId="3" fillId="0" borderId="7" xfId="29" applyFont="1" applyBorder="1" applyAlignment="1" applyProtection="1">
      <alignment horizontal="centerContinuous"/>
      <protection/>
    </xf>
    <xf numFmtId="0" fontId="3" fillId="0" borderId="0" xfId="29" applyFont="1" applyBorder="1" applyAlignment="1" applyProtection="1">
      <alignment/>
      <protection/>
    </xf>
    <xf numFmtId="0" fontId="1" fillId="0" borderId="0" xfId="29" applyFont="1" applyBorder="1" applyAlignment="1">
      <alignment horizontal="right"/>
      <protection/>
    </xf>
    <xf numFmtId="0" fontId="1" fillId="0" borderId="0" xfId="29" applyFont="1" applyBorder="1" applyAlignment="1" applyProtection="1">
      <alignment horizontal="center"/>
      <protection locked="0"/>
    </xf>
    <xf numFmtId="0" fontId="1" fillId="0" borderId="0" xfId="29" applyFont="1" applyAlignment="1" applyProtection="1">
      <alignment/>
      <protection/>
    </xf>
    <xf numFmtId="170" fontId="6" fillId="0" borderId="7" xfId="29" applyNumberFormat="1" applyFont="1" applyBorder="1" applyAlignment="1">
      <alignment horizontal="centerContinuous"/>
      <protection/>
    </xf>
    <xf numFmtId="170" fontId="6" fillId="0" borderId="0" xfId="29" applyNumberFormat="1" applyFont="1" applyBorder="1" applyAlignment="1">
      <alignment/>
      <protection/>
    </xf>
    <xf numFmtId="0" fontId="1" fillId="0" borderId="0" xfId="29" applyFont="1" applyAlignment="1">
      <alignment horizontal="right"/>
      <protection/>
    </xf>
    <xf numFmtId="0" fontId="6" fillId="0" borderId="0" xfId="29" applyFont="1" applyAlignment="1">
      <alignment horizontal="center" vertical="center"/>
      <protection/>
    </xf>
    <xf numFmtId="0" fontId="6" fillId="0" borderId="1" xfId="29" applyFont="1" applyBorder="1" applyAlignment="1">
      <alignment horizontal="center" vertical="center"/>
      <protection/>
    </xf>
    <xf numFmtId="0" fontId="17" fillId="0" borderId="8" xfId="29" applyFont="1" applyBorder="1" applyAlignment="1" applyProtection="1">
      <alignment horizontal="center" vertical="center"/>
      <protection/>
    </xf>
    <xf numFmtId="0" fontId="17" fillId="0" borderId="8" xfId="29" applyFont="1" applyBorder="1" applyAlignment="1" applyProtection="1">
      <alignment horizontal="center" vertical="center" wrapText="1"/>
      <protection/>
    </xf>
    <xf numFmtId="0" fontId="18" fillId="2" borderId="8" xfId="29" applyFont="1" applyFill="1" applyBorder="1" applyAlignment="1" applyProtection="1">
      <alignment horizontal="center" vertical="center"/>
      <protection/>
    </xf>
    <xf numFmtId="0" fontId="20" fillId="3" borderId="8" xfId="29" applyFont="1" applyFill="1" applyBorder="1" applyAlignment="1" applyProtection="1">
      <alignment horizontal="center" vertical="center" wrapText="1"/>
      <protection/>
    </xf>
    <xf numFmtId="0" fontId="21" fillId="4" borderId="8" xfId="29" applyFont="1" applyFill="1" applyBorder="1" applyAlignment="1">
      <alignment horizontal="center" vertical="center" wrapText="1"/>
      <protection/>
    </xf>
    <xf numFmtId="0" fontId="22" fillId="5" borderId="8" xfId="29" applyFont="1" applyFill="1" applyBorder="1" applyAlignment="1">
      <alignment horizontal="center" vertical="center" wrapText="1"/>
      <protection/>
    </xf>
    <xf numFmtId="0" fontId="23" fillId="2" borderId="6" xfId="29" applyFont="1" applyFill="1" applyBorder="1" applyAlignment="1" applyProtection="1">
      <alignment horizontal="centerContinuous" vertical="center" wrapText="1"/>
      <protection/>
    </xf>
    <xf numFmtId="0" fontId="24" fillId="2" borderId="9" xfId="29" applyFont="1" applyFill="1" applyBorder="1" applyAlignment="1">
      <alignment horizontal="centerContinuous"/>
      <protection/>
    </xf>
    <xf numFmtId="0" fontId="23" fillId="2" borderId="7" xfId="29" applyFont="1" applyFill="1" applyBorder="1" applyAlignment="1">
      <alignment horizontal="centerContinuous" vertical="center"/>
      <protection/>
    </xf>
    <xf numFmtId="0" fontId="21" fillId="6" borderId="6" xfId="29" applyFont="1" applyFill="1" applyBorder="1" applyAlignment="1" applyProtection="1">
      <alignment horizontal="centerContinuous" vertical="center" wrapText="1"/>
      <protection/>
    </xf>
    <xf numFmtId="0" fontId="21" fillId="6" borderId="9" xfId="29" applyFont="1" applyFill="1" applyBorder="1" applyAlignment="1">
      <alignment horizontal="centerContinuous" vertical="center"/>
      <protection/>
    </xf>
    <xf numFmtId="0" fontId="21" fillId="6" borderId="7" xfId="29" applyFont="1" applyFill="1" applyBorder="1" applyAlignment="1">
      <alignment horizontal="centerContinuous" vertical="center"/>
      <protection/>
    </xf>
    <xf numFmtId="0" fontId="25" fillId="7" borderId="8" xfId="29" applyFont="1" applyFill="1" applyBorder="1" applyAlignment="1">
      <alignment horizontal="center" vertical="center" wrapText="1"/>
      <protection/>
    </xf>
    <xf numFmtId="0" fontId="26" fillId="8" borderId="8" xfId="29" applyFont="1" applyFill="1" applyBorder="1" applyAlignment="1">
      <alignment horizontal="center" vertical="center" wrapText="1"/>
      <protection/>
    </xf>
    <xf numFmtId="0" fontId="17" fillId="0" borderId="8" xfId="29" applyFont="1" applyBorder="1" applyAlignment="1">
      <alignment horizontal="center" vertical="center" wrapText="1"/>
      <protection/>
    </xf>
    <xf numFmtId="0" fontId="6" fillId="0" borderId="2" xfId="29" applyFont="1" applyBorder="1" applyAlignment="1">
      <alignment horizontal="center" vertical="center"/>
      <protection/>
    </xf>
    <xf numFmtId="0" fontId="6" fillId="0" borderId="10" xfId="29" applyFont="1" applyBorder="1" applyProtection="1">
      <alignment/>
      <protection locked="0"/>
    </xf>
    <xf numFmtId="0" fontId="6" fillId="0" borderId="10" xfId="29" applyFont="1" applyBorder="1" applyAlignment="1" applyProtection="1">
      <alignment horizontal="center"/>
      <protection locked="0"/>
    </xf>
    <xf numFmtId="0" fontId="27" fillId="2" borderId="10" xfId="29" applyFont="1" applyFill="1" applyBorder="1" applyProtection="1">
      <alignment/>
      <protection locked="0"/>
    </xf>
    <xf numFmtId="0" fontId="6" fillId="0" borderId="10" xfId="29" applyFont="1" applyBorder="1" applyAlignment="1">
      <alignment horizontal="center"/>
      <protection/>
    </xf>
    <xf numFmtId="0" fontId="28" fillId="3" borderId="10" xfId="29" applyFont="1" applyFill="1" applyBorder="1" applyProtection="1">
      <alignment/>
      <protection locked="0"/>
    </xf>
    <xf numFmtId="0" fontId="29" fillId="4" borderId="10" xfId="29" applyFont="1" applyFill="1" applyBorder="1" applyProtection="1">
      <alignment/>
      <protection locked="0"/>
    </xf>
    <xf numFmtId="0" fontId="30" fillId="5" borderId="10" xfId="29" applyFont="1" applyFill="1" applyBorder="1" applyProtection="1">
      <alignment/>
      <protection locked="0"/>
    </xf>
    <xf numFmtId="0" fontId="31" fillId="2" borderId="10" xfId="29" applyFont="1" applyFill="1" applyBorder="1" applyAlignment="1" applyProtection="1">
      <alignment horizontal="center"/>
      <protection locked="0"/>
    </xf>
    <xf numFmtId="0" fontId="31" fillId="2" borderId="10" xfId="29" applyFont="1" applyFill="1" applyBorder="1" applyProtection="1">
      <alignment/>
      <protection locked="0"/>
    </xf>
    <xf numFmtId="0" fontId="29" fillId="6" borderId="10" xfId="29" applyFont="1" applyFill="1" applyBorder="1" applyProtection="1">
      <alignment/>
      <protection locked="0"/>
    </xf>
    <xf numFmtId="0" fontId="32" fillId="7" borderId="10" xfId="29" applyFont="1" applyFill="1" applyBorder="1" applyProtection="1">
      <alignment/>
      <protection locked="0"/>
    </xf>
    <xf numFmtId="0" fontId="33" fillId="8" borderId="10" xfId="29" applyFont="1" applyFill="1" applyBorder="1" applyProtection="1">
      <alignment/>
      <protection locked="0"/>
    </xf>
    <xf numFmtId="175" fontId="34" fillId="0" borderId="10" xfId="29" applyNumberFormat="1" applyFont="1" applyBorder="1" applyAlignment="1">
      <alignment horizontal="right"/>
      <protection/>
    </xf>
    <xf numFmtId="0" fontId="6" fillId="0" borderId="11" xfId="29" applyFont="1" applyBorder="1" applyProtection="1">
      <alignment/>
      <protection locked="0"/>
    </xf>
    <xf numFmtId="0" fontId="6" fillId="0" borderId="12" xfId="29" applyFont="1" applyBorder="1" applyAlignment="1" applyProtection="1">
      <alignment horizontal="center"/>
      <protection locked="0"/>
    </xf>
    <xf numFmtId="0" fontId="27" fillId="2" borderId="11" xfId="29" applyFont="1" applyFill="1" applyBorder="1" applyProtection="1">
      <alignment/>
      <protection locked="0"/>
    </xf>
    <xf numFmtId="0" fontId="6" fillId="0" borderId="11" xfId="29" applyFont="1" applyBorder="1" applyAlignment="1" applyProtection="1">
      <alignment horizontal="center"/>
      <protection locked="0"/>
    </xf>
    <xf numFmtId="0" fontId="6" fillId="0" borderId="11" xfId="29" applyFont="1" applyBorder="1" applyAlignment="1">
      <alignment horizontal="center"/>
      <protection/>
    </xf>
    <xf numFmtId="0" fontId="28" fillId="3" borderId="11" xfId="29" applyFont="1" applyFill="1" applyBorder="1" applyProtection="1">
      <alignment/>
      <protection locked="0"/>
    </xf>
    <xf numFmtId="0" fontId="29" fillId="4" borderId="11" xfId="29" applyFont="1" applyFill="1" applyBorder="1" applyProtection="1">
      <alignment/>
      <protection locked="0"/>
    </xf>
    <xf numFmtId="0" fontId="30" fillId="5" borderId="11" xfId="29" applyFont="1" applyFill="1" applyBorder="1" applyProtection="1">
      <alignment/>
      <protection locked="0"/>
    </xf>
    <xf numFmtId="0" fontId="31" fillId="2" borderId="11" xfId="29" applyFont="1" applyFill="1" applyBorder="1" applyAlignment="1" applyProtection="1">
      <alignment horizontal="center"/>
      <protection locked="0"/>
    </xf>
    <xf numFmtId="0" fontId="31" fillId="2" borderId="11" xfId="29" applyFont="1" applyFill="1" applyBorder="1" applyProtection="1">
      <alignment/>
      <protection locked="0"/>
    </xf>
    <xf numFmtId="0" fontId="29" fillId="6" borderId="11" xfId="29" applyFont="1" applyFill="1" applyBorder="1" applyProtection="1">
      <alignment/>
      <protection locked="0"/>
    </xf>
    <xf numFmtId="0" fontId="32" fillId="7" borderId="11" xfId="29" applyFont="1" applyFill="1" applyBorder="1" applyProtection="1">
      <alignment/>
      <protection locked="0"/>
    </xf>
    <xf numFmtId="0" fontId="33" fillId="8" borderId="11" xfId="29" applyFont="1" applyFill="1" applyBorder="1" applyProtection="1">
      <alignment/>
      <protection locked="0"/>
    </xf>
    <xf numFmtId="0" fontId="34" fillId="0" borderId="11" xfId="29" applyFont="1" applyBorder="1" applyAlignment="1">
      <alignment horizontal="center"/>
      <protection/>
    </xf>
    <xf numFmtId="2" fontId="6" fillId="0" borderId="12" xfId="29" applyNumberFormat="1" applyFont="1" applyBorder="1" applyAlignment="1" applyProtection="1">
      <alignment horizontal="center"/>
      <protection locked="0"/>
    </xf>
    <xf numFmtId="2" fontId="6" fillId="0" borderId="11" xfId="29" applyNumberFormat="1" applyFont="1" applyBorder="1" applyAlignment="1" applyProtection="1">
      <alignment horizontal="center"/>
      <protection locked="0"/>
    </xf>
    <xf numFmtId="171" fontId="27" fillId="2" borderId="11" xfId="29" applyNumberFormat="1" applyFont="1" applyFill="1" applyBorder="1" applyAlignment="1" applyProtection="1">
      <alignment horizontal="center"/>
      <protection locked="0"/>
    </xf>
    <xf numFmtId="22" fontId="6" fillId="0" borderId="11" xfId="29" applyNumberFormat="1" applyFont="1" applyBorder="1" applyAlignment="1" applyProtection="1">
      <alignment horizontal="center"/>
      <protection locked="0"/>
    </xf>
    <xf numFmtId="2" fontId="6" fillId="0" borderId="11" xfId="29" applyNumberFormat="1" applyFont="1" applyBorder="1" applyAlignment="1" applyProtection="1">
      <alignment horizontal="center"/>
      <protection/>
    </xf>
    <xf numFmtId="1" fontId="6" fillId="0" borderId="11" xfId="29" applyNumberFormat="1" applyFont="1" applyBorder="1" applyAlignment="1" applyProtection="1">
      <alignment horizontal="center"/>
      <protection/>
    </xf>
    <xf numFmtId="171" fontId="6" fillId="0" borderId="11" xfId="29" applyNumberFormat="1" applyFont="1" applyBorder="1" applyAlignment="1" applyProtection="1">
      <alignment horizontal="center"/>
      <protection locked="0"/>
    </xf>
    <xf numFmtId="171" fontId="28" fillId="3" borderId="11" xfId="29" applyNumberFormat="1" applyFont="1" applyFill="1" applyBorder="1" applyAlignment="1" applyProtection="1" quotePrefix="1">
      <alignment horizontal="center"/>
      <protection locked="0"/>
    </xf>
    <xf numFmtId="2" fontId="29" fillId="4" borderId="11" xfId="29" applyNumberFormat="1" applyFont="1" applyFill="1" applyBorder="1" applyAlignment="1" applyProtection="1">
      <alignment horizontal="center"/>
      <protection locked="0"/>
    </xf>
    <xf numFmtId="2" fontId="30" fillId="5" borderId="11" xfId="29" applyNumberFormat="1" applyFont="1" applyFill="1" applyBorder="1" applyAlignment="1" applyProtection="1">
      <alignment horizontal="center"/>
      <protection locked="0"/>
    </xf>
    <xf numFmtId="171" fontId="31" fillId="2" borderId="11" xfId="29" applyNumberFormat="1" applyFont="1" applyFill="1" applyBorder="1" applyAlignment="1" applyProtection="1" quotePrefix="1">
      <alignment horizontal="center"/>
      <protection locked="0"/>
    </xf>
    <xf numFmtId="4" fontId="31" fillId="2" borderId="11" xfId="29" applyNumberFormat="1" applyFont="1" applyFill="1" applyBorder="1" applyAlignment="1" applyProtection="1">
      <alignment horizontal="center"/>
      <protection locked="0"/>
    </xf>
    <xf numFmtId="171" fontId="29" fillId="6" borderId="11" xfId="29" applyNumberFormat="1" applyFont="1" applyFill="1" applyBorder="1" applyAlignment="1" applyProtection="1" quotePrefix="1">
      <alignment horizontal="center"/>
      <protection locked="0"/>
    </xf>
    <xf numFmtId="4" fontId="29" fillId="6" borderId="11" xfId="29" applyNumberFormat="1" applyFont="1" applyFill="1" applyBorder="1" applyAlignment="1" applyProtection="1">
      <alignment horizontal="center"/>
      <protection locked="0"/>
    </xf>
    <xf numFmtId="4" fontId="32" fillId="7" borderId="11" xfId="29" applyNumberFormat="1" applyFont="1" applyFill="1" applyBorder="1" applyAlignment="1" applyProtection="1">
      <alignment horizontal="center"/>
      <protection locked="0"/>
    </xf>
    <xf numFmtId="4" fontId="33" fillId="8" borderId="11" xfId="29" applyNumberFormat="1" applyFont="1" applyFill="1" applyBorder="1" applyAlignment="1" applyProtection="1">
      <alignment horizontal="center"/>
      <protection locked="0"/>
    </xf>
    <xf numFmtId="4" fontId="34" fillId="0" borderId="11" xfId="29" applyNumberFormat="1" applyFont="1" applyBorder="1" applyAlignment="1">
      <alignment horizontal="right"/>
      <protection/>
    </xf>
    <xf numFmtId="2" fontId="6" fillId="0" borderId="2" xfId="29" applyNumberFormat="1" applyFont="1" applyBorder="1">
      <alignment/>
      <protection/>
    </xf>
    <xf numFmtId="0" fontId="6" fillId="0" borderId="1" xfId="29" applyFont="1" applyBorder="1" applyAlignment="1">
      <alignment horizontal="center"/>
      <protection/>
    </xf>
    <xf numFmtId="0" fontId="6" fillId="0" borderId="13" xfId="29" applyFont="1" applyBorder="1" applyAlignment="1" applyProtection="1">
      <alignment horizontal="center"/>
      <protection locked="0"/>
    </xf>
    <xf numFmtId="171" fontId="6" fillId="0" borderId="13" xfId="29" applyNumberFormat="1" applyFont="1" applyBorder="1" applyAlignment="1" applyProtection="1">
      <alignment horizontal="center"/>
      <protection/>
    </xf>
    <xf numFmtId="171" fontId="27" fillId="2" borderId="13" xfId="29" applyNumberFormat="1" applyFont="1" applyFill="1" applyBorder="1" applyAlignment="1" applyProtection="1">
      <alignment horizontal="center"/>
      <protection/>
    </xf>
    <xf numFmtId="7" fontId="34" fillId="0" borderId="14" xfId="29" applyNumberFormat="1" applyFont="1" applyBorder="1" applyAlignment="1">
      <alignment horizontal="center"/>
      <protection/>
    </xf>
    <xf numFmtId="0" fontId="36" fillId="0" borderId="15" xfId="29" applyFont="1" applyBorder="1" applyAlignment="1">
      <alignment horizontal="center"/>
      <protection/>
    </xf>
    <xf numFmtId="0" fontId="37" fillId="0" borderId="0" xfId="29" applyFont="1" applyBorder="1" applyAlignment="1" applyProtection="1">
      <alignment horizontal="left"/>
      <protection/>
    </xf>
    <xf numFmtId="0" fontId="6" fillId="0" borderId="0" xfId="29" applyFont="1" applyBorder="1" applyAlignment="1" applyProtection="1">
      <alignment horizontal="center"/>
      <protection/>
    </xf>
    <xf numFmtId="2" fontId="6" fillId="0" borderId="0" xfId="29" applyNumberFormat="1" applyFont="1" applyBorder="1" applyAlignment="1" applyProtection="1">
      <alignment horizontal="center"/>
      <protection/>
    </xf>
    <xf numFmtId="171" fontId="6" fillId="0" borderId="0" xfId="29" applyNumberFormat="1" applyFont="1" applyBorder="1" applyAlignment="1" applyProtection="1">
      <alignment horizontal="center"/>
      <protection/>
    </xf>
    <xf numFmtId="171" fontId="6" fillId="0" borderId="0" xfId="29" applyNumberFormat="1" applyFont="1" applyBorder="1" applyAlignment="1" applyProtection="1" quotePrefix="1">
      <alignment horizontal="center"/>
      <protection/>
    </xf>
    <xf numFmtId="2" fontId="29" fillId="4" borderId="8" xfId="29" applyNumberFormat="1" applyFont="1" applyFill="1" applyBorder="1" applyAlignment="1">
      <alignment horizontal="center"/>
      <protection/>
    </xf>
    <xf numFmtId="2" fontId="30" fillId="5" borderId="8" xfId="29" applyNumberFormat="1" applyFont="1" applyFill="1" applyBorder="1" applyAlignment="1">
      <alignment horizontal="center"/>
      <protection/>
    </xf>
    <xf numFmtId="171" fontId="31" fillId="2" borderId="8" xfId="29" applyNumberFormat="1" applyFont="1" applyFill="1" applyBorder="1" applyAlignment="1" applyProtection="1" quotePrefix="1">
      <alignment horizontal="center"/>
      <protection/>
    </xf>
    <xf numFmtId="171" fontId="29" fillId="6" borderId="8" xfId="29" applyNumberFormat="1" applyFont="1" applyFill="1" applyBorder="1" applyAlignment="1" applyProtection="1" quotePrefix="1">
      <alignment horizontal="center"/>
      <protection/>
    </xf>
    <xf numFmtId="171" fontId="32" fillId="7" borderId="8" xfId="29" applyNumberFormat="1" applyFont="1" applyFill="1" applyBorder="1" applyAlignment="1" applyProtection="1" quotePrefix="1">
      <alignment horizontal="center"/>
      <protection/>
    </xf>
    <xf numFmtId="171" fontId="33" fillId="8" borderId="8" xfId="29" applyNumberFormat="1" applyFont="1" applyFill="1" applyBorder="1" applyAlignment="1" applyProtection="1" quotePrefix="1">
      <alignment horizontal="center"/>
      <protection/>
    </xf>
    <xf numFmtId="4" fontId="7" fillId="0" borderId="0" xfId="29" applyNumberFormat="1" applyFont="1" applyBorder="1" applyAlignment="1">
      <alignment horizontal="center"/>
      <protection/>
    </xf>
    <xf numFmtId="2" fontId="6" fillId="0" borderId="2" xfId="29" applyNumberFormat="1" applyFont="1" applyBorder="1" applyAlignment="1">
      <alignment horizontal="center"/>
      <protection/>
    </xf>
    <xf numFmtId="0" fontId="36" fillId="0" borderId="0" xfId="29" applyFont="1">
      <alignment/>
      <protection/>
    </xf>
    <xf numFmtId="0" fontId="36" fillId="0" borderId="1" xfId="29" applyFont="1" applyBorder="1">
      <alignment/>
      <protection/>
    </xf>
    <xf numFmtId="0" fontId="36" fillId="0" borderId="0" xfId="29" applyFont="1" applyBorder="1" applyAlignment="1">
      <alignment horizontal="center"/>
      <protection/>
    </xf>
    <xf numFmtId="0" fontId="37" fillId="0" borderId="0" xfId="29" applyFont="1" applyBorder="1" applyAlignment="1" applyProtection="1">
      <alignment horizontal="left" vertical="top"/>
      <protection/>
    </xf>
    <xf numFmtId="0" fontId="36" fillId="0" borderId="0" xfId="29" applyFont="1" applyBorder="1" applyAlignment="1" applyProtection="1">
      <alignment horizontal="center"/>
      <protection/>
    </xf>
    <xf numFmtId="2" fontId="36" fillId="0" borderId="0" xfId="29" applyNumberFormat="1" applyFont="1" applyBorder="1" applyAlignment="1" applyProtection="1">
      <alignment horizontal="center"/>
      <protection/>
    </xf>
    <xf numFmtId="171" fontId="36" fillId="0" borderId="0" xfId="29" applyNumberFormat="1" applyFont="1" applyBorder="1" applyAlignment="1" applyProtection="1">
      <alignment horizontal="center"/>
      <protection/>
    </xf>
    <xf numFmtId="171" fontId="36" fillId="0" borderId="0" xfId="29" applyNumberFormat="1" applyFont="1" applyBorder="1" applyAlignment="1" applyProtection="1" quotePrefix="1">
      <alignment horizontal="center"/>
      <protection/>
    </xf>
    <xf numFmtId="2" fontId="38" fillId="0" borderId="0" xfId="29" applyNumberFormat="1" applyFont="1" applyBorder="1" applyAlignment="1">
      <alignment horizontal="center"/>
      <protection/>
    </xf>
    <xf numFmtId="171" fontId="39" fillId="0" borderId="0" xfId="29" applyNumberFormat="1" applyFont="1" applyBorder="1" applyAlignment="1" applyProtection="1" quotePrefix="1">
      <alignment horizontal="center"/>
      <protection/>
    </xf>
    <xf numFmtId="4" fontId="39" fillId="0" borderId="0" xfId="29" applyNumberFormat="1" applyFont="1" applyBorder="1" applyAlignment="1">
      <alignment horizontal="center"/>
      <protection/>
    </xf>
    <xf numFmtId="8" fontId="40" fillId="0" borderId="0" xfId="29" applyNumberFormat="1" applyFont="1" applyBorder="1" applyAlignment="1" applyProtection="1">
      <alignment horizontal="right"/>
      <protection locked="0"/>
    </xf>
    <xf numFmtId="2" fontId="36" fillId="0" borderId="2" xfId="29" applyNumberFormat="1" applyFont="1" applyBorder="1" applyAlignment="1">
      <alignment horizontal="center"/>
      <protection/>
    </xf>
    <xf numFmtId="0" fontId="6" fillId="0" borderId="16" xfId="29" applyFont="1" applyBorder="1">
      <alignment/>
      <protection/>
    </xf>
    <xf numFmtId="0" fontId="6" fillId="0" borderId="17" xfId="29" applyFont="1" applyBorder="1">
      <alignment/>
      <protection/>
    </xf>
    <xf numFmtId="0" fontId="6" fillId="0" borderId="18" xfId="29" applyFont="1" applyBorder="1">
      <alignment/>
      <protection/>
    </xf>
    <xf numFmtId="0" fontId="1" fillId="0" borderId="0" xfId="29" applyBorder="1">
      <alignment/>
      <protection/>
    </xf>
    <xf numFmtId="0" fontId="8" fillId="0" borderId="0" xfId="29" applyFont="1" applyFill="1">
      <alignment/>
      <protection/>
    </xf>
    <xf numFmtId="0" fontId="8" fillId="0" borderId="0" xfId="29" applyFont="1" applyFill="1" applyAlignment="1">
      <alignment horizontal="centerContinuous"/>
      <protection/>
    </xf>
    <xf numFmtId="0" fontId="6" fillId="0" borderId="0" xfId="29" applyFont="1" applyFill="1" applyAlignment="1">
      <alignment horizontal="centerContinuous"/>
      <protection/>
    </xf>
    <xf numFmtId="0" fontId="10" fillId="0" borderId="0" xfId="29" applyFont="1" applyFill="1" applyAlignment="1">
      <alignment horizontal="centerContinuous"/>
      <protection/>
    </xf>
    <xf numFmtId="0" fontId="10" fillId="0" borderId="0" xfId="29" applyFont="1" applyFill="1">
      <alignment/>
      <protection/>
    </xf>
    <xf numFmtId="0" fontId="6" fillId="0" borderId="0" xfId="29" applyFont="1" applyFill="1">
      <alignment/>
      <protection/>
    </xf>
    <xf numFmtId="0" fontId="6" fillId="0" borderId="3" xfId="29" applyFont="1" applyFill="1" applyBorder="1">
      <alignment/>
      <protection/>
    </xf>
    <xf numFmtId="0" fontId="6" fillId="0" borderId="4" xfId="29" applyFont="1" applyFill="1" applyBorder="1">
      <alignment/>
      <protection/>
    </xf>
    <xf numFmtId="0" fontId="6" fillId="0" borderId="5" xfId="29" applyFont="1" applyFill="1" applyBorder="1">
      <alignment/>
      <protection/>
    </xf>
    <xf numFmtId="0" fontId="15" fillId="0" borderId="1" xfId="29" applyFont="1" applyFill="1" applyBorder="1">
      <alignment/>
      <protection/>
    </xf>
    <xf numFmtId="0" fontId="15" fillId="0" borderId="0" xfId="29" applyFont="1" applyFill="1" applyBorder="1">
      <alignment/>
      <protection/>
    </xf>
    <xf numFmtId="0" fontId="16" fillId="0" borderId="0" xfId="29" applyFont="1" applyFill="1" applyBorder="1">
      <alignment/>
      <protection/>
    </xf>
    <xf numFmtId="0" fontId="15" fillId="0" borderId="0" xfId="29" applyFont="1" applyFill="1">
      <alignment/>
      <protection/>
    </xf>
    <xf numFmtId="0" fontId="15" fillId="0" borderId="2" xfId="29" applyFont="1" applyFill="1" applyBorder="1">
      <alignment/>
      <protection/>
    </xf>
    <xf numFmtId="0" fontId="6" fillId="0" borderId="1" xfId="29" applyFont="1" applyFill="1" applyBorder="1">
      <alignment/>
      <protection/>
    </xf>
    <xf numFmtId="0" fontId="6" fillId="0" borderId="2" xfId="29" applyFont="1" applyFill="1" applyBorder="1">
      <alignment/>
      <protection/>
    </xf>
    <xf numFmtId="0" fontId="3" fillId="0" borderId="0" xfId="29" applyFont="1" applyFill="1" applyBorder="1">
      <alignment/>
      <protection/>
    </xf>
    <xf numFmtId="0" fontId="16" fillId="0" borderId="0" xfId="29" applyFont="1" applyFill="1">
      <alignment/>
      <protection/>
    </xf>
    <xf numFmtId="0" fontId="15" fillId="0" borderId="0" xfId="29" applyFont="1" applyFill="1" applyBorder="1" applyProtection="1">
      <alignment/>
      <protection/>
    </xf>
    <xf numFmtId="0" fontId="6" fillId="0" borderId="0" xfId="29" applyFont="1" applyFill="1" applyBorder="1" applyAlignment="1" applyProtection="1">
      <alignment horizontal="left"/>
      <protection/>
    </xf>
    <xf numFmtId="168" fontId="6" fillId="0" borderId="0" xfId="29" applyNumberFormat="1" applyFont="1" applyFill="1" applyBorder="1" applyProtection="1">
      <alignment/>
      <protection/>
    </xf>
    <xf numFmtId="0" fontId="6" fillId="0" borderId="0" xfId="29" applyFont="1" applyFill="1" applyBorder="1" applyProtection="1">
      <alignment/>
      <protection/>
    </xf>
    <xf numFmtId="0" fontId="13" fillId="0" borderId="1" xfId="29" applyFont="1" applyFill="1" applyBorder="1" applyAlignment="1">
      <alignment horizontal="centerContinuous"/>
      <protection/>
    </xf>
    <xf numFmtId="0" fontId="13" fillId="0" borderId="0" xfId="29" applyFont="1" applyFill="1" applyBorder="1" applyAlignment="1">
      <alignment horizontal="centerContinuous"/>
      <protection/>
    </xf>
    <xf numFmtId="0" fontId="13" fillId="0" borderId="2" xfId="29" applyFont="1" applyFill="1" applyBorder="1" applyAlignment="1">
      <alignment horizontal="centerContinuous"/>
      <protection/>
    </xf>
    <xf numFmtId="0" fontId="6" fillId="0" borderId="0" xfId="29" applyFont="1" applyFill="1" applyBorder="1" applyAlignment="1">
      <alignment horizontal="center"/>
      <protection/>
    </xf>
    <xf numFmtId="0" fontId="14" fillId="0" borderId="0" xfId="29" applyFont="1" applyFill="1" applyBorder="1" applyAlignment="1">
      <alignment horizontal="left"/>
      <protection/>
    </xf>
    <xf numFmtId="0" fontId="1" fillId="0" borderId="6" xfId="29" applyFont="1" applyFill="1" applyBorder="1" applyAlignment="1" applyProtection="1">
      <alignment horizontal="left"/>
      <protection/>
    </xf>
    <xf numFmtId="0" fontId="1" fillId="0" borderId="15" xfId="29" applyFont="1" applyFill="1" applyBorder="1" applyAlignment="1" applyProtection="1">
      <alignment horizontal="center"/>
      <protection/>
    </xf>
    <xf numFmtId="0" fontId="1" fillId="0" borderId="15" xfId="29" applyFont="1" applyFill="1" applyBorder="1">
      <alignment/>
      <protection/>
    </xf>
    <xf numFmtId="0" fontId="1" fillId="0" borderId="6" xfId="29" applyFont="1" applyFill="1" applyBorder="1" applyAlignment="1" applyProtection="1" quotePrefix="1">
      <alignment horizontal="left"/>
      <protection/>
    </xf>
    <xf numFmtId="0" fontId="1" fillId="0" borderId="9" xfId="29" applyFont="1" applyFill="1" applyBorder="1" applyAlignment="1" applyProtection="1">
      <alignment horizontal="center"/>
      <protection/>
    </xf>
    <xf numFmtId="168" fontId="1" fillId="0" borderId="8" xfId="29" applyNumberFormat="1" applyFont="1" applyFill="1" applyBorder="1" applyAlignment="1" applyProtection="1">
      <alignment horizontal="center"/>
      <protection/>
    </xf>
    <xf numFmtId="0" fontId="6" fillId="0" borderId="0" xfId="29" applyFont="1" applyAlignment="1" applyProtection="1">
      <alignment/>
      <protection/>
    </xf>
    <xf numFmtId="22" fontId="6" fillId="0" borderId="0" xfId="29" applyNumberFormat="1" applyFont="1" applyFill="1" applyBorder="1">
      <alignment/>
      <protection/>
    </xf>
    <xf numFmtId="0" fontId="6" fillId="0" borderId="0" xfId="29" applyFont="1" applyAlignment="1">
      <alignment vertical="center"/>
      <protection/>
    </xf>
    <xf numFmtId="0" fontId="6" fillId="0" borderId="1" xfId="29" applyFont="1" applyFill="1" applyBorder="1" applyAlignment="1">
      <alignment vertical="center"/>
      <protection/>
    </xf>
    <xf numFmtId="0" fontId="17" fillId="0" borderId="8" xfId="29" applyFont="1" applyFill="1" applyBorder="1" applyAlignment="1" applyProtection="1">
      <alignment horizontal="center" vertical="center" wrapText="1"/>
      <protection/>
    </xf>
    <xf numFmtId="0" fontId="17" fillId="0" borderId="8" xfId="29" applyFont="1" applyFill="1" applyBorder="1" applyAlignment="1" applyProtection="1">
      <alignment horizontal="center" vertical="center"/>
      <protection/>
    </xf>
    <xf numFmtId="0" fontId="17" fillId="0" borderId="8" xfId="29" applyFont="1" applyFill="1" applyBorder="1" applyAlignment="1" applyProtection="1" quotePrefix="1">
      <alignment horizontal="center" vertical="center" wrapText="1"/>
      <protection/>
    </xf>
    <xf numFmtId="0" fontId="17" fillId="0" borderId="8" xfId="29" applyFont="1" applyFill="1" applyBorder="1" applyAlignment="1">
      <alignment horizontal="center" vertical="center" wrapText="1"/>
      <protection/>
    </xf>
    <xf numFmtId="0" fontId="18" fillId="2" borderId="8" xfId="29" applyFont="1" applyFill="1" applyBorder="1" applyAlignment="1" applyProtection="1">
      <alignment horizontal="center" vertical="center"/>
      <protection/>
    </xf>
    <xf numFmtId="0" fontId="26" fillId="8" borderId="8" xfId="29" applyFont="1" applyFill="1" applyBorder="1" applyAlignment="1" applyProtection="1">
      <alignment horizontal="center" vertical="center"/>
      <protection/>
    </xf>
    <xf numFmtId="0" fontId="21" fillId="6" borderId="8" xfId="29" applyFont="1" applyFill="1" applyBorder="1" applyAlignment="1">
      <alignment horizontal="center" vertical="center" wrapText="1"/>
      <protection/>
    </xf>
    <xf numFmtId="0" fontId="20" fillId="9" borderId="8" xfId="29" applyFont="1" applyFill="1" applyBorder="1" applyAlignment="1">
      <alignment horizontal="center" vertical="center" wrapText="1"/>
      <protection/>
    </xf>
    <xf numFmtId="0" fontId="20" fillId="3" borderId="6" xfId="29" applyFont="1" applyFill="1" applyBorder="1" applyAlignment="1" applyProtection="1">
      <alignment horizontal="centerContinuous" vertical="center" wrapText="1"/>
      <protection/>
    </xf>
    <xf numFmtId="0" fontId="20" fillId="3" borderId="7" xfId="29" applyFont="1" applyFill="1" applyBorder="1" applyAlignment="1">
      <alignment horizontal="centerContinuous" vertical="center"/>
      <protection/>
    </xf>
    <xf numFmtId="0" fontId="41" fillId="10" borderId="6" xfId="29" applyFont="1" applyFill="1" applyBorder="1" applyAlignment="1" applyProtection="1">
      <alignment horizontal="centerContinuous" vertical="center" wrapText="1"/>
      <protection/>
    </xf>
    <xf numFmtId="0" fontId="41" fillId="10" borderId="7" xfId="29" applyFont="1" applyFill="1" applyBorder="1" applyAlignment="1">
      <alignment horizontal="centerContinuous" vertical="center"/>
      <protection/>
    </xf>
    <xf numFmtId="0" fontId="25" fillId="11" borderId="8" xfId="29" applyFont="1" applyFill="1" applyBorder="1" applyAlignment="1">
      <alignment horizontal="center" vertical="center" wrapText="1"/>
      <protection/>
    </xf>
    <xf numFmtId="0" fontId="20" fillId="12" borderId="8" xfId="29" applyFont="1" applyFill="1" applyBorder="1" applyAlignment="1">
      <alignment horizontal="center" vertical="center" wrapText="1"/>
      <protection/>
    </xf>
    <xf numFmtId="0" fontId="6" fillId="0" borderId="2" xfId="29" applyFont="1" applyFill="1" applyBorder="1" applyAlignment="1">
      <alignment vertical="center"/>
      <protection/>
    </xf>
    <xf numFmtId="0" fontId="6" fillId="0" borderId="19" xfId="29" applyFont="1" applyFill="1" applyBorder="1" applyAlignment="1" applyProtection="1">
      <alignment horizontal="center"/>
      <protection locked="0"/>
    </xf>
    <xf numFmtId="0" fontId="6" fillId="0" borderId="10" xfId="29" applyFont="1" applyFill="1" applyBorder="1" applyAlignment="1" applyProtection="1">
      <alignment horizontal="center"/>
      <protection locked="0"/>
    </xf>
    <xf numFmtId="0" fontId="6" fillId="0" borderId="10" xfId="29" applyFont="1" applyFill="1" applyBorder="1" applyProtection="1">
      <alignment/>
      <protection locked="0"/>
    </xf>
    <xf numFmtId="0" fontId="42" fillId="2" borderId="10" xfId="29" applyFont="1" applyFill="1" applyBorder="1" applyProtection="1">
      <alignment/>
      <protection locked="0"/>
    </xf>
    <xf numFmtId="0" fontId="6" fillId="0" borderId="10" xfId="29" applyFont="1" applyFill="1" applyBorder="1" applyAlignment="1">
      <alignment horizontal="center"/>
      <protection/>
    </xf>
    <xf numFmtId="0" fontId="5" fillId="9" borderId="10" xfId="29" applyFont="1" applyFill="1" applyBorder="1" applyProtection="1">
      <alignment/>
      <protection locked="0"/>
    </xf>
    <xf numFmtId="0" fontId="5" fillId="3" borderId="20" xfId="29" applyFont="1" applyFill="1" applyBorder="1" applyAlignment="1" applyProtection="1">
      <alignment horizontal="center"/>
      <protection locked="0"/>
    </xf>
    <xf numFmtId="0" fontId="5" fillId="3" borderId="21" xfId="29" applyFont="1" applyFill="1" applyBorder="1" applyProtection="1">
      <alignment/>
      <protection locked="0"/>
    </xf>
    <xf numFmtId="0" fontId="43" fillId="10" borderId="20" xfId="29" applyFont="1" applyFill="1" applyBorder="1" applyAlignment="1" applyProtection="1">
      <alignment horizontal="center"/>
      <protection locked="0"/>
    </xf>
    <xf numFmtId="0" fontId="43" fillId="10" borderId="21" xfId="29" applyFont="1" applyFill="1" applyBorder="1" applyProtection="1">
      <alignment/>
      <protection locked="0"/>
    </xf>
    <xf numFmtId="0" fontId="32" fillId="11" borderId="10" xfId="29" applyFont="1" applyFill="1" applyBorder="1" applyProtection="1">
      <alignment/>
      <protection locked="0"/>
    </xf>
    <xf numFmtId="0" fontId="5" fillId="12" borderId="10" xfId="29" applyFont="1" applyFill="1" applyBorder="1" applyProtection="1">
      <alignment/>
      <protection locked="0"/>
    </xf>
    <xf numFmtId="175" fontId="34" fillId="0" borderId="10" xfId="29" applyNumberFormat="1" applyFont="1" applyFill="1" applyBorder="1" applyAlignment="1">
      <alignment horizontal="right"/>
      <protection/>
    </xf>
    <xf numFmtId="0" fontId="6" fillId="0" borderId="22" xfId="29" applyFont="1" applyFill="1" applyBorder="1" applyAlignment="1" applyProtection="1">
      <alignment horizontal="center"/>
      <protection locked="0"/>
    </xf>
    <xf numFmtId="0" fontId="6" fillId="0" borderId="11" xfId="29" applyFont="1" applyFill="1" applyBorder="1" applyAlignment="1" applyProtection="1">
      <alignment horizontal="center"/>
      <protection locked="0"/>
    </xf>
    <xf numFmtId="0" fontId="6" fillId="0" borderId="11" xfId="29" applyFont="1" applyFill="1" applyBorder="1" applyProtection="1">
      <alignment/>
      <protection locked="0"/>
    </xf>
    <xf numFmtId="0" fontId="42" fillId="2" borderId="11" xfId="29" applyFont="1" applyFill="1" applyBorder="1" applyProtection="1">
      <alignment/>
      <protection locked="0"/>
    </xf>
    <xf numFmtId="0" fontId="6" fillId="0" borderId="11" xfId="29" applyFont="1" applyFill="1" applyBorder="1" applyAlignment="1">
      <alignment horizontal="center"/>
      <protection/>
    </xf>
    <xf numFmtId="0" fontId="5" fillId="9" borderId="11" xfId="29" applyFont="1" applyFill="1" applyBorder="1" applyProtection="1">
      <alignment/>
      <protection locked="0"/>
    </xf>
    <xf numFmtId="0" fontId="5" fillId="3" borderId="23" xfId="29" applyFont="1" applyFill="1" applyBorder="1" applyAlignment="1" applyProtection="1">
      <alignment horizontal="center"/>
      <protection locked="0"/>
    </xf>
    <xf numFmtId="0" fontId="5" fillId="3" borderId="24" xfId="29" applyFont="1" applyFill="1" applyBorder="1" applyProtection="1">
      <alignment/>
      <protection locked="0"/>
    </xf>
    <xf numFmtId="0" fontId="43" fillId="10" borderId="23" xfId="29" applyFont="1" applyFill="1" applyBorder="1" applyAlignment="1" applyProtection="1">
      <alignment horizontal="center"/>
      <protection locked="0"/>
    </xf>
    <xf numFmtId="0" fontId="43" fillId="10" borderId="24" xfId="29" applyFont="1" applyFill="1" applyBorder="1" applyProtection="1">
      <alignment/>
      <protection locked="0"/>
    </xf>
    <xf numFmtId="0" fontId="32" fillId="11" borderId="11" xfId="29" applyFont="1" applyFill="1" applyBorder="1" applyProtection="1">
      <alignment/>
      <protection locked="0"/>
    </xf>
    <xf numFmtId="0" fontId="5" fillId="12" borderId="11" xfId="29" applyFont="1" applyFill="1" applyBorder="1" applyProtection="1">
      <alignment/>
      <protection locked="0"/>
    </xf>
    <xf numFmtId="0" fontId="34" fillId="0" borderId="24" xfId="29" applyFont="1" applyFill="1" applyBorder="1" applyAlignment="1">
      <alignment horizontal="right"/>
      <protection/>
    </xf>
    <xf numFmtId="169" fontId="6" fillId="0" borderId="12" xfId="29" applyNumberFormat="1" applyFont="1" applyBorder="1" applyAlignment="1" applyProtection="1" quotePrefix="1">
      <alignment horizontal="center"/>
      <protection locked="0"/>
    </xf>
    <xf numFmtId="2" fontId="6" fillId="0" borderId="12" xfId="29" applyNumberFormat="1" applyFont="1" applyBorder="1" applyAlignment="1" applyProtection="1" quotePrefix="1">
      <alignment horizontal="center"/>
      <protection locked="0"/>
    </xf>
    <xf numFmtId="171" fontId="42" fillId="2" borderId="11" xfId="29" applyNumberFormat="1" applyFont="1" applyFill="1" applyBorder="1" applyAlignment="1" applyProtection="1">
      <alignment horizontal="center"/>
      <protection locked="0"/>
    </xf>
    <xf numFmtId="2" fontId="6" fillId="0" borderId="11" xfId="29" applyNumberFormat="1" applyFont="1" applyFill="1" applyBorder="1" applyAlignment="1" applyProtection="1">
      <alignment horizontal="center"/>
      <protection/>
    </xf>
    <xf numFmtId="3" fontId="6" fillId="0" borderId="11" xfId="29" applyNumberFormat="1" applyFont="1" applyFill="1" applyBorder="1" applyAlignment="1" applyProtection="1">
      <alignment horizontal="center"/>
      <protection/>
    </xf>
    <xf numFmtId="171" fontId="6" fillId="0" borderId="11" xfId="29" applyNumberFormat="1" applyFont="1" applyFill="1" applyBorder="1" applyAlignment="1" applyProtection="1">
      <alignment horizontal="center"/>
      <protection locked="0"/>
    </xf>
    <xf numFmtId="171" fontId="6" fillId="0" borderId="11" xfId="29" applyNumberFormat="1" applyFont="1" applyFill="1" applyBorder="1" applyAlignment="1" applyProtection="1" quotePrefix="1">
      <alignment horizontal="center"/>
      <protection locked="0"/>
    </xf>
    <xf numFmtId="2" fontId="29" fillId="6" borderId="11" xfId="29" applyNumberFormat="1" applyFont="1" applyFill="1" applyBorder="1" applyAlignment="1" applyProtection="1">
      <alignment horizontal="center"/>
      <protection locked="0"/>
    </xf>
    <xf numFmtId="2" fontId="5" fillId="9" borderId="11" xfId="29" applyNumberFormat="1" applyFont="1" applyFill="1" applyBorder="1" applyAlignment="1" applyProtection="1">
      <alignment horizontal="center"/>
      <protection locked="0"/>
    </xf>
    <xf numFmtId="171" fontId="5" fillId="3" borderId="23" xfId="29" applyNumberFormat="1" applyFont="1" applyFill="1" applyBorder="1" applyAlignment="1" applyProtection="1" quotePrefix="1">
      <alignment horizontal="center"/>
      <protection locked="0"/>
    </xf>
    <xf numFmtId="171" fontId="5" fillId="3" borderId="25" xfId="29" applyNumberFormat="1" applyFont="1" applyFill="1" applyBorder="1" applyAlignment="1" applyProtection="1" quotePrefix="1">
      <alignment horizontal="center"/>
      <protection locked="0"/>
    </xf>
    <xf numFmtId="171" fontId="43" fillId="10" borderId="23" xfId="29" applyNumberFormat="1" applyFont="1" applyFill="1" applyBorder="1" applyAlignment="1" applyProtection="1" quotePrefix="1">
      <alignment horizontal="center"/>
      <protection locked="0"/>
    </xf>
    <xf numFmtId="171" fontId="43" fillId="10" borderId="25" xfId="29" applyNumberFormat="1" applyFont="1" applyFill="1" applyBorder="1" applyAlignment="1" applyProtection="1" quotePrefix="1">
      <alignment horizontal="center"/>
      <protection locked="0"/>
    </xf>
    <xf numFmtId="171" fontId="32" fillId="11" borderId="11" xfId="29" applyNumberFormat="1" applyFont="1" applyFill="1" applyBorder="1" applyAlignment="1" applyProtection="1" quotePrefix="1">
      <alignment horizontal="center"/>
      <protection locked="0"/>
    </xf>
    <xf numFmtId="171" fontId="5" fillId="12" borderId="12" xfId="29" applyNumberFormat="1" applyFont="1" applyFill="1" applyBorder="1" applyAlignment="1" applyProtection="1" quotePrefix="1">
      <alignment horizontal="center"/>
      <protection locked="0"/>
    </xf>
    <xf numFmtId="171" fontId="34" fillId="0" borderId="24" xfId="29" applyNumberFormat="1" applyFont="1" applyFill="1" applyBorder="1" applyAlignment="1">
      <alignment horizontal="right"/>
      <protection/>
    </xf>
    <xf numFmtId="2" fontId="6" fillId="0" borderId="2" xfId="29" applyNumberFormat="1" applyFont="1" applyFill="1" applyBorder="1">
      <alignment/>
      <protection/>
    </xf>
    <xf numFmtId="0" fontId="6" fillId="0" borderId="13" xfId="29" applyFont="1" applyFill="1" applyBorder="1">
      <alignment/>
      <protection/>
    </xf>
    <xf numFmtId="0" fontId="42" fillId="2" borderId="13" xfId="29" applyFont="1" applyFill="1" applyBorder="1">
      <alignment/>
      <protection/>
    </xf>
    <xf numFmtId="0" fontId="34" fillId="0" borderId="26" xfId="29" applyFont="1" applyFill="1" applyBorder="1" applyAlignment="1">
      <alignment horizontal="right"/>
      <protection/>
    </xf>
    <xf numFmtId="7" fontId="29" fillId="6" borderId="8" xfId="29" applyNumberFormat="1" applyFont="1" applyFill="1" applyBorder="1" applyAlignment="1">
      <alignment horizontal="center"/>
      <protection/>
    </xf>
    <xf numFmtId="7" fontId="5" fillId="9" borderId="8" xfId="29" applyNumberFormat="1" applyFont="1" applyFill="1" applyBorder="1" applyAlignment="1">
      <alignment horizontal="center"/>
      <protection/>
    </xf>
    <xf numFmtId="7" fontId="5" fillId="3" borderId="8" xfId="29" applyNumberFormat="1" applyFont="1" applyFill="1" applyBorder="1" applyAlignment="1">
      <alignment horizontal="center"/>
      <protection/>
    </xf>
    <xf numFmtId="7" fontId="5" fillId="3" borderId="27" xfId="29" applyNumberFormat="1" applyFont="1" applyFill="1" applyBorder="1" applyAlignment="1">
      <alignment horizontal="center"/>
      <protection/>
    </xf>
    <xf numFmtId="7" fontId="43" fillId="10" borderId="8" xfId="29" applyNumberFormat="1" applyFont="1" applyFill="1" applyBorder="1" applyAlignment="1">
      <alignment horizontal="center"/>
      <protection/>
    </xf>
    <xf numFmtId="7" fontId="32" fillId="11" borderId="8" xfId="29" applyNumberFormat="1" applyFont="1" applyFill="1" applyBorder="1" applyAlignment="1">
      <alignment horizontal="center"/>
      <protection/>
    </xf>
    <xf numFmtId="7" fontId="5" fillId="12" borderId="8" xfId="29" applyNumberFormat="1" applyFont="1" applyFill="1" applyBorder="1" applyAlignment="1">
      <alignment horizontal="center"/>
      <protection/>
    </xf>
    <xf numFmtId="0" fontId="6" fillId="0" borderId="28" xfId="29" applyFont="1" applyFill="1" applyBorder="1">
      <alignment/>
      <protection/>
    </xf>
    <xf numFmtId="0" fontId="36" fillId="0" borderId="1" xfId="29" applyFont="1" applyFill="1" applyBorder="1">
      <alignment/>
      <protection/>
    </xf>
    <xf numFmtId="0" fontId="36" fillId="0" borderId="0" xfId="29" applyFont="1" applyFill="1" applyBorder="1">
      <alignment/>
      <protection/>
    </xf>
    <xf numFmtId="7" fontId="36" fillId="0" borderId="0" xfId="29" applyNumberFormat="1" applyFont="1" applyFill="1" applyBorder="1" applyAlignment="1">
      <alignment horizontal="center"/>
      <protection/>
    </xf>
    <xf numFmtId="7" fontId="36" fillId="0" borderId="0" xfId="29" applyNumberFormat="1" applyFont="1" applyFill="1" applyBorder="1" applyAlignment="1" applyProtection="1">
      <alignment horizontal="right"/>
      <protection locked="0"/>
    </xf>
    <xf numFmtId="0" fontId="36" fillId="0" borderId="2" xfId="29" applyFont="1" applyFill="1" applyBorder="1">
      <alignment/>
      <protection/>
    </xf>
    <xf numFmtId="0" fontId="6" fillId="0" borderId="16" xfId="29" applyFont="1" applyFill="1" applyBorder="1">
      <alignment/>
      <protection/>
    </xf>
    <xf numFmtId="0" fontId="6" fillId="0" borderId="17" xfId="29" applyFont="1" applyFill="1" applyBorder="1">
      <alignment/>
      <protection/>
    </xf>
    <xf numFmtId="0" fontId="6" fillId="0" borderId="18" xfId="29" applyFont="1" applyFill="1" applyBorder="1">
      <alignment/>
      <protection/>
    </xf>
    <xf numFmtId="0" fontId="1" fillId="0" borderId="0" xfId="29" applyFill="1" applyBorder="1">
      <alignment/>
      <protection/>
    </xf>
    <xf numFmtId="0" fontId="0" fillId="0" borderId="0" xfId="29" applyFont="1" applyFill="1" applyBorder="1">
      <alignment/>
      <protection/>
    </xf>
    <xf numFmtId="0" fontId="8" fillId="0" borderId="0" xfId="29" applyFont="1" applyAlignment="1">
      <alignment horizontal="centerContinuous" vertical="center"/>
      <protection/>
    </xf>
    <xf numFmtId="0" fontId="6" fillId="0" borderId="0" xfId="29" applyFont="1" applyAlignment="1">
      <alignment horizontal="centerContinuous" vertical="center"/>
      <protection/>
    </xf>
    <xf numFmtId="0" fontId="10" fillId="0" borderId="0" xfId="29" applyFont="1" applyAlignment="1">
      <alignment horizontal="centerContinuous"/>
      <protection/>
    </xf>
    <xf numFmtId="0" fontId="44" fillId="0" borderId="0" xfId="29" applyFont="1" applyBorder="1">
      <alignment/>
      <protection/>
    </xf>
    <xf numFmtId="0" fontId="13" fillId="0" borderId="0" xfId="29" applyFont="1" applyFill="1" applyBorder="1" applyAlignment="1" applyProtection="1" quotePrefix="1">
      <alignment horizontal="centerContinuous"/>
      <protection locked="0"/>
    </xf>
    <xf numFmtId="0" fontId="1" fillId="0" borderId="6" xfId="29" applyFont="1" applyBorder="1" applyAlignment="1" applyProtection="1">
      <alignment horizontal="left"/>
      <protection/>
    </xf>
    <xf numFmtId="172" fontId="1" fillId="0" borderId="27" xfId="29" applyNumberFormat="1" applyFont="1" applyBorder="1" applyAlignment="1" applyProtection="1">
      <alignment horizontal="center"/>
      <protection/>
    </xf>
    <xf numFmtId="0" fontId="1" fillId="0" borderId="8" xfId="29" applyFont="1" applyBorder="1" applyAlignment="1">
      <alignment horizontal="center"/>
      <protection/>
    </xf>
    <xf numFmtId="22" fontId="6" fillId="0" borderId="0" xfId="29" applyNumberFormat="1" applyFont="1" applyBorder="1">
      <alignment/>
      <protection/>
    </xf>
    <xf numFmtId="0" fontId="1" fillId="0" borderId="6" xfId="29" applyFont="1" applyBorder="1">
      <alignment/>
      <protection/>
    </xf>
    <xf numFmtId="172" fontId="45" fillId="0" borderId="27" xfId="29" applyNumberFormat="1" applyFont="1" applyBorder="1" applyAlignment="1">
      <alignment horizontal="center"/>
      <protection/>
    </xf>
    <xf numFmtId="0" fontId="1" fillId="0" borderId="13" xfId="29" applyFont="1" applyBorder="1" applyAlignment="1">
      <alignment horizontal="center"/>
      <protection/>
    </xf>
    <xf numFmtId="0" fontId="6" fillId="0" borderId="0" xfId="29" applyFont="1" applyBorder="1" applyAlignment="1">
      <alignment horizontal="left"/>
      <protection/>
    </xf>
    <xf numFmtId="172" fontId="6" fillId="0" borderId="0" xfId="29" applyNumberFormat="1" applyFont="1" applyBorder="1">
      <alignment/>
      <protection/>
    </xf>
    <xf numFmtId="0" fontId="6" fillId="0" borderId="0" xfId="29" applyFont="1" applyBorder="1" applyAlignment="1" quotePrefix="1">
      <alignment horizontal="center"/>
      <protection/>
    </xf>
    <xf numFmtId="0" fontId="1" fillId="0" borderId="6" xfId="29" applyFont="1" applyBorder="1" applyAlignment="1">
      <alignment horizontal="left"/>
      <protection/>
    </xf>
    <xf numFmtId="1" fontId="1" fillId="0" borderId="13" xfId="29" applyNumberFormat="1" applyFont="1" applyBorder="1" applyAlignment="1">
      <alignment horizontal="center"/>
      <protection/>
    </xf>
    <xf numFmtId="0" fontId="17" fillId="0" borderId="0" xfId="29" applyFont="1">
      <alignment/>
      <protection/>
    </xf>
    <xf numFmtId="0" fontId="17" fillId="0" borderId="1" xfId="29" applyFont="1" applyBorder="1">
      <alignment/>
      <protection/>
    </xf>
    <xf numFmtId="0" fontId="20" fillId="12" borderId="8" xfId="29" applyFont="1" applyFill="1" applyBorder="1" applyAlignment="1" applyProtection="1">
      <alignment horizontal="center" vertical="center"/>
      <protection/>
    </xf>
    <xf numFmtId="0" fontId="46" fillId="11" borderId="8" xfId="29" applyFont="1" applyFill="1" applyBorder="1" applyAlignment="1">
      <alignment horizontal="center" vertical="center" wrapText="1"/>
      <protection/>
    </xf>
    <xf numFmtId="0" fontId="20" fillId="10" borderId="6" xfId="29" applyFont="1" applyFill="1" applyBorder="1" applyAlignment="1" applyProtection="1">
      <alignment horizontal="centerContinuous" vertical="center" wrapText="1"/>
      <protection/>
    </xf>
    <xf numFmtId="0" fontId="20" fillId="10" borderId="7" xfId="29" applyFont="1" applyFill="1" applyBorder="1" applyAlignment="1">
      <alignment horizontal="centerContinuous" vertical="center"/>
      <protection/>
    </xf>
    <xf numFmtId="0" fontId="21" fillId="13" borderId="8" xfId="29" applyFont="1" applyFill="1" applyBorder="1" applyAlignment="1">
      <alignment horizontal="center" vertical="center" wrapText="1"/>
      <protection/>
    </xf>
    <xf numFmtId="0" fontId="17" fillId="0" borderId="2" xfId="29" applyFont="1" applyFill="1" applyBorder="1">
      <alignment/>
      <protection/>
    </xf>
    <xf numFmtId="168" fontId="6" fillId="0" borderId="10" xfId="29" applyNumberFormat="1" applyFont="1" applyFill="1" applyBorder="1" applyAlignment="1" applyProtection="1">
      <alignment horizontal="center"/>
      <protection locked="0"/>
    </xf>
    <xf numFmtId="0" fontId="27" fillId="2" borderId="10" xfId="29" applyFont="1" applyFill="1" applyBorder="1" applyAlignment="1" applyProtection="1">
      <alignment horizontal="center"/>
      <protection locked="0"/>
    </xf>
    <xf numFmtId="0" fontId="28" fillId="12" borderId="10" xfId="29" applyFont="1" applyFill="1" applyBorder="1" applyAlignment="1" applyProtection="1">
      <alignment horizontal="center"/>
      <protection locked="0"/>
    </xf>
    <xf numFmtId="0" fontId="47" fillId="11" borderId="10" xfId="29" applyFont="1" applyFill="1" applyBorder="1" applyAlignment="1" applyProtection="1">
      <alignment horizontal="center"/>
      <protection locked="0"/>
    </xf>
    <xf numFmtId="171" fontId="5" fillId="10" borderId="20" xfId="29" applyNumberFormat="1" applyFont="1" applyFill="1" applyBorder="1" applyAlignment="1" applyProtection="1" quotePrefix="1">
      <alignment horizontal="center"/>
      <protection locked="0"/>
    </xf>
    <xf numFmtId="171" fontId="5" fillId="10" borderId="29" xfId="29" applyNumberFormat="1" applyFont="1" applyFill="1" applyBorder="1" applyAlignment="1" applyProtection="1" quotePrefix="1">
      <alignment horizontal="center"/>
      <protection locked="0"/>
    </xf>
    <xf numFmtId="171" fontId="29" fillId="13" borderId="10" xfId="29" applyNumberFormat="1" applyFont="1" applyFill="1" applyBorder="1" applyAlignment="1" applyProtection="1" quotePrefix="1">
      <alignment horizontal="center"/>
      <protection locked="0"/>
    </xf>
    <xf numFmtId="0" fontId="6" fillId="0" borderId="19" xfId="29" applyFont="1" applyFill="1" applyBorder="1" applyAlignment="1" applyProtection="1">
      <alignment horizontal="left"/>
      <protection locked="0"/>
    </xf>
    <xf numFmtId="0" fontId="48" fillId="0" borderId="22" xfId="29" applyFont="1" applyFill="1" applyBorder="1" applyAlignment="1" applyProtection="1">
      <alignment horizontal="center"/>
      <protection locked="0"/>
    </xf>
    <xf numFmtId="173" fontId="7" fillId="0" borderId="11" xfId="29" applyNumberFormat="1" applyFont="1" applyFill="1" applyBorder="1" applyAlignment="1" applyProtection="1">
      <alignment horizontal="center"/>
      <protection locked="0"/>
    </xf>
    <xf numFmtId="172" fontId="27" fillId="2" borderId="11" xfId="29" applyNumberFormat="1" applyFont="1" applyFill="1" applyBorder="1" applyAlignment="1" applyProtection="1">
      <alignment horizontal="center"/>
      <protection locked="0"/>
    </xf>
    <xf numFmtId="168" fontId="6" fillId="0" borderId="11" xfId="29" applyNumberFormat="1" applyFont="1" applyFill="1" applyBorder="1" applyAlignment="1" applyProtection="1" quotePrefix="1">
      <alignment horizontal="center"/>
      <protection/>
    </xf>
    <xf numFmtId="168" fontId="28" fillId="12" borderId="11" xfId="29" applyNumberFormat="1" applyFont="1" applyFill="1" applyBorder="1" applyAlignment="1" applyProtection="1">
      <alignment horizontal="center"/>
      <protection locked="0"/>
    </xf>
    <xf numFmtId="2" fontId="47" fillId="11" borderId="11" xfId="29" applyNumberFormat="1" applyFont="1" applyFill="1" applyBorder="1" applyAlignment="1" applyProtection="1">
      <alignment horizontal="center"/>
      <protection locked="0"/>
    </xf>
    <xf numFmtId="171" fontId="5" fillId="10" borderId="23" xfId="29" applyNumberFormat="1" applyFont="1" applyFill="1" applyBorder="1" applyAlignment="1" applyProtection="1" quotePrefix="1">
      <alignment horizontal="center"/>
      <protection locked="0"/>
    </xf>
    <xf numFmtId="171" fontId="5" fillId="10" borderId="25" xfId="29" applyNumberFormat="1" applyFont="1" applyFill="1" applyBorder="1" applyAlignment="1" applyProtection="1" quotePrefix="1">
      <alignment horizontal="center"/>
      <protection locked="0"/>
    </xf>
    <xf numFmtId="171" fontId="29" fillId="13" borderId="11" xfId="29" applyNumberFormat="1" applyFont="1" applyFill="1" applyBorder="1" applyAlignment="1" applyProtection="1" quotePrefix="1">
      <alignment horizontal="center"/>
      <protection locked="0"/>
    </xf>
    <xf numFmtId="171" fontId="6" fillId="0" borderId="22" xfId="29" applyNumberFormat="1" applyFont="1" applyFill="1" applyBorder="1" applyAlignment="1" applyProtection="1">
      <alignment horizontal="center"/>
      <protection locked="0"/>
    </xf>
    <xf numFmtId="171" fontId="34" fillId="0" borderId="11" xfId="29" applyNumberFormat="1" applyFont="1" applyFill="1" applyBorder="1" applyAlignment="1">
      <alignment horizontal="center"/>
      <protection/>
    </xf>
    <xf numFmtId="173" fontId="7" fillId="0" borderId="11" xfId="29" applyNumberFormat="1" applyFont="1" applyFill="1" applyBorder="1" applyAlignment="1" applyProtection="1" quotePrefix="1">
      <alignment horizontal="center"/>
      <protection locked="0"/>
    </xf>
    <xf numFmtId="171" fontId="34" fillId="0" borderId="11" xfId="29" applyNumberFormat="1" applyFont="1" applyFill="1" applyBorder="1" applyAlignment="1">
      <alignment horizontal="right"/>
      <protection/>
    </xf>
    <xf numFmtId="0" fontId="27" fillId="2" borderId="13" xfId="29" applyFont="1" applyFill="1" applyBorder="1">
      <alignment/>
      <protection/>
    </xf>
    <xf numFmtId="0" fontId="34" fillId="0" borderId="26" xfId="29" applyFont="1" applyFill="1" applyBorder="1">
      <alignment/>
      <protection/>
    </xf>
    <xf numFmtId="2" fontId="47" fillId="11" borderId="8" xfId="29" applyNumberFormat="1" applyFont="1" applyFill="1" applyBorder="1" applyAlignment="1">
      <alignment horizontal="center"/>
      <protection/>
    </xf>
    <xf numFmtId="2" fontId="5" fillId="10" borderId="8" xfId="29" applyNumberFormat="1" applyFont="1" applyFill="1" applyBorder="1" applyAlignment="1">
      <alignment horizontal="center"/>
      <protection/>
    </xf>
    <xf numFmtId="2" fontId="29" fillId="13" borderId="8" xfId="29" applyNumberFormat="1" applyFont="1" applyFill="1" applyBorder="1" applyAlignment="1">
      <alignment horizontal="center"/>
      <protection/>
    </xf>
    <xf numFmtId="7" fontId="6" fillId="0" borderId="0" xfId="29" applyNumberFormat="1" applyFont="1" applyFill="1" applyBorder="1" applyAlignment="1">
      <alignment horizontal="center"/>
      <protection/>
    </xf>
    <xf numFmtId="7" fontId="40" fillId="0" borderId="0" xfId="29" applyNumberFormat="1" applyFont="1" applyFill="1" applyBorder="1" applyAlignment="1" applyProtection="1">
      <alignment horizontal="center"/>
      <protection locked="0"/>
    </xf>
    <xf numFmtId="0" fontId="1" fillId="0" borderId="0" xfId="29" applyFont="1">
      <alignment/>
      <protection/>
    </xf>
    <xf numFmtId="0" fontId="49" fillId="0" borderId="0" xfId="29" applyFont="1" applyAlignment="1">
      <alignment horizontal="right" vertical="top"/>
      <protection/>
    </xf>
    <xf numFmtId="0" fontId="49" fillId="0" borderId="0" xfId="29" applyFont="1" applyFill="1" applyAlignment="1">
      <alignment horizontal="right" vertical="top"/>
      <protection/>
    </xf>
    <xf numFmtId="174" fontId="1" fillId="0" borderId="8" xfId="29" applyNumberFormat="1" applyFont="1" applyFill="1" applyBorder="1" applyAlignment="1">
      <alignment horizontal="center"/>
      <protection/>
    </xf>
    <xf numFmtId="172" fontId="1" fillId="0" borderId="27" xfId="29" applyNumberFormat="1" applyFont="1" applyFill="1" applyBorder="1" applyAlignment="1" applyProtection="1">
      <alignment horizontal="center"/>
      <protection/>
    </xf>
    <xf numFmtId="0" fontId="6" fillId="0" borderId="13" xfId="29" applyFont="1" applyFill="1" applyBorder="1" applyProtection="1">
      <alignment/>
      <protection locked="0"/>
    </xf>
    <xf numFmtId="0" fontId="33" fillId="8" borderId="13" xfId="29" applyFont="1" applyFill="1" applyBorder="1" applyProtection="1">
      <alignment/>
      <protection locked="0"/>
    </xf>
    <xf numFmtId="0" fontId="29" fillId="6" borderId="13" xfId="29" applyFont="1" applyFill="1" applyBorder="1" applyProtection="1">
      <alignment/>
      <protection locked="0"/>
    </xf>
    <xf numFmtId="0" fontId="5" fillId="9" borderId="13" xfId="29" applyFont="1" applyFill="1" applyBorder="1" applyProtection="1">
      <alignment/>
      <protection locked="0"/>
    </xf>
    <xf numFmtId="0" fontId="5" fillId="3" borderId="30" xfId="29" applyFont="1" applyFill="1" applyBorder="1" applyProtection="1">
      <alignment/>
      <protection locked="0"/>
    </xf>
    <xf numFmtId="0" fontId="5" fillId="3" borderId="31" xfId="29" applyFont="1" applyFill="1" applyBorder="1" applyProtection="1">
      <alignment/>
      <protection locked="0"/>
    </xf>
    <xf numFmtId="0" fontId="43" fillId="10" borderId="30" xfId="29" applyFont="1" applyFill="1" applyBorder="1" applyProtection="1">
      <alignment/>
      <protection locked="0"/>
    </xf>
    <xf numFmtId="0" fontId="43" fillId="10" borderId="31" xfId="29" applyFont="1" applyFill="1" applyBorder="1" applyProtection="1">
      <alignment/>
      <protection locked="0"/>
    </xf>
    <xf numFmtId="0" fontId="32" fillId="11" borderId="13" xfId="29" applyFont="1" applyFill="1" applyBorder="1" applyProtection="1">
      <alignment/>
      <protection locked="0"/>
    </xf>
    <xf numFmtId="0" fontId="5" fillId="12" borderId="13" xfId="29" applyFont="1" applyFill="1" applyBorder="1" applyProtection="1">
      <alignment/>
      <protection locked="0"/>
    </xf>
    <xf numFmtId="0" fontId="28" fillId="12" borderId="13" xfId="29" applyFont="1" applyFill="1" applyBorder="1" applyProtection="1">
      <alignment/>
      <protection locked="0"/>
    </xf>
    <xf numFmtId="0" fontId="47" fillId="11" borderId="13" xfId="29" applyFont="1" applyFill="1" applyBorder="1" applyProtection="1">
      <alignment/>
      <protection locked="0"/>
    </xf>
    <xf numFmtId="0" fontId="5" fillId="10" borderId="30" xfId="29" applyFont="1" applyFill="1" applyBorder="1" applyProtection="1">
      <alignment/>
      <protection locked="0"/>
    </xf>
    <xf numFmtId="0" fontId="5" fillId="10" borderId="31" xfId="29" applyFont="1" applyFill="1" applyBorder="1" applyProtection="1">
      <alignment/>
      <protection locked="0"/>
    </xf>
    <xf numFmtId="0" fontId="29" fillId="13" borderId="13" xfId="29" applyFont="1" applyFill="1" applyBorder="1" applyProtection="1">
      <alignment/>
      <protection locked="0"/>
    </xf>
    <xf numFmtId="0" fontId="6" fillId="0" borderId="32" xfId="29" applyFont="1" applyBorder="1" applyAlignment="1" applyProtection="1">
      <alignment horizontal="center"/>
      <protection locked="0"/>
    </xf>
    <xf numFmtId="2" fontId="6" fillId="0" borderId="32" xfId="29" applyNumberFormat="1" applyFont="1" applyBorder="1" applyAlignment="1" applyProtection="1">
      <alignment horizontal="center"/>
      <protection locked="0"/>
    </xf>
    <xf numFmtId="171" fontId="6" fillId="0" borderId="13" xfId="29" applyNumberFormat="1" applyFont="1" applyBorder="1" applyAlignment="1" applyProtection="1">
      <alignment horizontal="center"/>
      <protection locked="0"/>
    </xf>
    <xf numFmtId="22" fontId="6" fillId="0" borderId="13" xfId="29" applyNumberFormat="1" applyFont="1" applyBorder="1" applyAlignment="1" applyProtection="1">
      <alignment horizontal="center"/>
      <protection locked="0"/>
    </xf>
    <xf numFmtId="22" fontId="28" fillId="3" borderId="13" xfId="29" applyNumberFormat="1" applyFont="1" applyFill="1" applyBorder="1" applyAlignment="1" applyProtection="1">
      <alignment horizontal="center"/>
      <protection locked="0"/>
    </xf>
    <xf numFmtId="171" fontId="29" fillId="4" borderId="13" xfId="29" applyNumberFormat="1" applyFont="1" applyFill="1" applyBorder="1" applyAlignment="1" applyProtection="1" quotePrefix="1">
      <alignment horizontal="center"/>
      <protection locked="0"/>
    </xf>
    <xf numFmtId="171" fontId="30" fillId="5" borderId="13" xfId="29" applyNumberFormat="1" applyFont="1" applyFill="1" applyBorder="1" applyAlignment="1" applyProtection="1" quotePrefix="1">
      <alignment horizontal="center"/>
      <protection locked="0"/>
    </xf>
    <xf numFmtId="171" fontId="31" fillId="2" borderId="13" xfId="29" applyNumberFormat="1" applyFont="1" applyFill="1" applyBorder="1" applyAlignment="1" applyProtection="1" quotePrefix="1">
      <alignment horizontal="center"/>
      <protection locked="0"/>
    </xf>
    <xf numFmtId="4" fontId="31" fillId="2" borderId="13" xfId="29" applyNumberFormat="1" applyFont="1" applyFill="1" applyBorder="1" applyAlignment="1" applyProtection="1">
      <alignment horizontal="center"/>
      <protection locked="0"/>
    </xf>
    <xf numFmtId="4" fontId="29" fillId="6" borderId="13" xfId="29" applyNumberFormat="1" applyFont="1" applyFill="1" applyBorder="1" applyAlignment="1" applyProtection="1">
      <alignment horizontal="center"/>
      <protection locked="0"/>
    </xf>
    <xf numFmtId="4" fontId="32" fillId="7" borderId="13" xfId="29" applyNumberFormat="1" applyFont="1" applyFill="1" applyBorder="1" applyAlignment="1" applyProtection="1">
      <alignment horizontal="center"/>
      <protection locked="0"/>
    </xf>
    <xf numFmtId="4" fontId="33" fillId="8" borderId="13" xfId="29" applyNumberFormat="1" applyFont="1" applyFill="1" applyBorder="1" applyAlignment="1" applyProtection="1">
      <alignment horizontal="center"/>
      <protection locked="0"/>
    </xf>
    <xf numFmtId="4" fontId="6" fillId="0" borderId="13" xfId="29" applyNumberFormat="1" applyFont="1" applyBorder="1" applyAlignment="1" applyProtection="1">
      <alignment horizontal="center"/>
      <protection locked="0"/>
    </xf>
    <xf numFmtId="0" fontId="8" fillId="0" borderId="0" xfId="26" applyFont="1">
      <alignment/>
      <protection/>
    </xf>
    <xf numFmtId="0" fontId="9" fillId="0" borderId="0" xfId="26" applyFont="1" applyAlignment="1">
      <alignment horizontal="centerContinuous"/>
      <protection/>
    </xf>
    <xf numFmtId="0" fontId="49" fillId="0" borderId="0" xfId="26" applyFont="1" applyAlignment="1">
      <alignment horizontal="right" vertical="top"/>
      <protection/>
    </xf>
    <xf numFmtId="0" fontId="50" fillId="0" borderId="0" xfId="26" applyFont="1" applyAlignment="1">
      <alignment horizontal="centerContinuous"/>
      <protection/>
    </xf>
    <xf numFmtId="0" fontId="8" fillId="0" borderId="0" xfId="26" applyFont="1" applyAlignment="1">
      <alignment horizontal="centerContinuous"/>
      <protection/>
    </xf>
    <xf numFmtId="0" fontId="6" fillId="0" borderId="0" xfId="26" applyFont="1">
      <alignment/>
      <protection/>
    </xf>
    <xf numFmtId="0" fontId="1" fillId="0" borderId="0" xfId="26">
      <alignment/>
      <protection/>
    </xf>
    <xf numFmtId="0" fontId="6" fillId="0" borderId="0" xfId="26" applyFont="1" applyAlignment="1">
      <alignment horizontal="centerContinuous"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NumberFormat="1" applyFont="1" applyAlignment="1">
      <alignment horizontal="left"/>
      <protection/>
    </xf>
    <xf numFmtId="0" fontId="10" fillId="0" borderId="0" xfId="26" applyFont="1">
      <alignment/>
      <protection/>
    </xf>
    <xf numFmtId="0" fontId="10" fillId="0" borderId="0" xfId="26" applyFont="1" applyBorder="1">
      <alignment/>
      <protection/>
    </xf>
    <xf numFmtId="0" fontId="51" fillId="0" borderId="0" xfId="26" applyFont="1" applyFill="1" applyBorder="1" applyAlignment="1" applyProtection="1">
      <alignment horizontal="left"/>
      <protection/>
    </xf>
    <xf numFmtId="0" fontId="8" fillId="0" borderId="0" xfId="26" applyFont="1" applyBorder="1">
      <alignment/>
      <protection/>
    </xf>
    <xf numFmtId="0" fontId="15" fillId="0" borderId="0" xfId="26" applyFont="1">
      <alignment/>
      <protection/>
    </xf>
    <xf numFmtId="0" fontId="52" fillId="0" borderId="0" xfId="26" applyFont="1" applyBorder="1" applyAlignment="1">
      <alignment horizontal="centerContinuous"/>
      <protection/>
    </xf>
    <xf numFmtId="0" fontId="53" fillId="0" borderId="0" xfId="26" applyFont="1" applyAlignment="1">
      <alignment horizontal="centerContinuous"/>
      <protection/>
    </xf>
    <xf numFmtId="0" fontId="15" fillId="0" borderId="0" xfId="26" applyFont="1" applyAlignment="1">
      <alignment horizontal="centerContinuous"/>
      <protection/>
    </xf>
    <xf numFmtId="0" fontId="15" fillId="0" borderId="0" xfId="26" applyFont="1" applyBorder="1" applyAlignment="1">
      <alignment horizontal="centerContinuous"/>
      <protection/>
    </xf>
    <xf numFmtId="0" fontId="15" fillId="0" borderId="0" xfId="26" applyFont="1" applyBorder="1">
      <alignment/>
      <protection/>
    </xf>
    <xf numFmtId="0" fontId="6" fillId="0" borderId="0" xfId="26" applyFont="1" applyBorder="1">
      <alignment/>
      <protection/>
    </xf>
    <xf numFmtId="0" fontId="12" fillId="0" borderId="0" xfId="26" applyFont="1">
      <alignment/>
      <protection/>
    </xf>
    <xf numFmtId="0" fontId="16" fillId="0" borderId="0" xfId="26" applyFont="1" applyAlignment="1">
      <alignment horizontal="centerContinuous"/>
      <protection/>
    </xf>
    <xf numFmtId="0" fontId="54" fillId="0" borderId="0" xfId="26" applyFont="1">
      <alignment/>
      <protection/>
    </xf>
    <xf numFmtId="0" fontId="55" fillId="0" borderId="0" xfId="26" applyFont="1" applyBorder="1">
      <alignment/>
      <protection/>
    </xf>
    <xf numFmtId="0" fontId="54" fillId="0" borderId="0" xfId="26" applyFont="1" applyBorder="1">
      <alignment/>
      <protection/>
    </xf>
    <xf numFmtId="0" fontId="56" fillId="0" borderId="3" xfId="26" applyFont="1" applyBorder="1">
      <alignment/>
      <protection/>
    </xf>
    <xf numFmtId="0" fontId="56" fillId="0" borderId="4" xfId="23" applyFont="1" applyBorder="1">
      <alignment/>
      <protection/>
    </xf>
    <xf numFmtId="0" fontId="54" fillId="0" borderId="4" xfId="26" applyFont="1" applyBorder="1">
      <alignment/>
      <protection/>
    </xf>
    <xf numFmtId="0" fontId="54" fillId="0" borderId="5" xfId="26" applyFont="1" applyBorder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horizontal="centerContinuous"/>
      <protection/>
    </xf>
    <xf numFmtId="0" fontId="1" fillId="0" borderId="0" xfId="26" applyNumberFormat="1" applyAlignment="1">
      <alignment horizontal="centerContinuous"/>
      <protection/>
    </xf>
    <xf numFmtId="0" fontId="11" fillId="0" borderId="0" xfId="26" applyNumberFormat="1" applyFont="1" applyAlignment="1">
      <alignment horizontal="centerContinuous"/>
      <protection/>
    </xf>
    <xf numFmtId="0" fontId="13" fillId="0" borderId="0" xfId="26" applyFont="1" applyBorder="1" applyAlignment="1">
      <alignment horizontal="centerContinuous"/>
      <protection/>
    </xf>
    <xf numFmtId="0" fontId="11" fillId="0" borderId="0" xfId="26" applyFont="1" applyBorder="1" applyAlignment="1">
      <alignment horizontal="centerContinuous"/>
      <protection/>
    </xf>
    <xf numFmtId="0" fontId="11" fillId="0" borderId="2" xfId="26" applyFont="1" applyBorder="1" applyAlignment="1">
      <alignment horizontal="centerContinuous"/>
      <protection/>
    </xf>
    <xf numFmtId="0" fontId="11" fillId="0" borderId="0" xfId="26" applyFont="1" applyBorder="1">
      <alignment/>
      <protection/>
    </xf>
    <xf numFmtId="0" fontId="11" fillId="0" borderId="1" xfId="26" applyFont="1" applyBorder="1">
      <alignment/>
      <protection/>
    </xf>
    <xf numFmtId="0" fontId="57" fillId="0" borderId="0" xfId="26" applyNumberFormat="1" applyFont="1" applyBorder="1" applyAlignment="1">
      <alignment horizontal="right"/>
      <protection/>
    </xf>
    <xf numFmtId="0" fontId="13" fillId="0" borderId="0" xfId="26" applyFont="1" applyBorder="1">
      <alignment/>
      <protection/>
    </xf>
    <xf numFmtId="0" fontId="11" fillId="0" borderId="2" xfId="26" applyFont="1" applyBorder="1">
      <alignment/>
      <protection/>
    </xf>
    <xf numFmtId="0" fontId="57" fillId="0" borderId="0" xfId="26" applyNumberFormat="1" applyFont="1" applyBorder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57" fillId="0" borderId="0" xfId="26" applyNumberFormat="1" applyFont="1" applyBorder="1" applyAlignment="1">
      <alignment horizontal="right"/>
      <protection/>
    </xf>
    <xf numFmtId="0" fontId="57" fillId="0" borderId="0" xfId="26" applyNumberFormat="1" applyFont="1" applyBorder="1" applyAlignment="1">
      <alignment/>
      <protection/>
    </xf>
    <xf numFmtId="0" fontId="6" fillId="0" borderId="1" xfId="26" applyFont="1" applyBorder="1">
      <alignment/>
      <protection/>
    </xf>
    <xf numFmtId="0" fontId="3" fillId="0" borderId="0" xfId="26" applyNumberFormat="1" applyFont="1" applyBorder="1" applyAlignment="1">
      <alignment horizontal="right"/>
      <protection/>
    </xf>
    <xf numFmtId="0" fontId="3" fillId="0" borderId="0" xfId="26" applyNumberFormat="1" applyFont="1" applyBorder="1" applyAlignment="1">
      <alignment/>
      <protection/>
    </xf>
    <xf numFmtId="0" fontId="14" fillId="0" borderId="0" xfId="26" applyFont="1" applyBorder="1">
      <alignment/>
      <protection/>
    </xf>
    <xf numFmtId="0" fontId="6" fillId="0" borderId="2" xfId="26" applyFont="1" applyBorder="1">
      <alignment/>
      <protection/>
    </xf>
    <xf numFmtId="0" fontId="57" fillId="0" borderId="0" xfId="26" applyFont="1" applyBorder="1">
      <alignment/>
      <protection/>
    </xf>
    <xf numFmtId="0" fontId="57" fillId="0" borderId="6" xfId="26" applyFont="1" applyBorder="1" applyAlignment="1">
      <alignment horizontal="center"/>
      <protection/>
    </xf>
    <xf numFmtId="7" fontId="57" fillId="0" borderId="7" xfId="26" applyNumberFormat="1" applyFont="1" applyBorder="1" applyAlignment="1">
      <alignment horizontal="center"/>
      <protection/>
    </xf>
    <xf numFmtId="0" fontId="57" fillId="0" borderId="0" xfId="26" applyFont="1" applyBorder="1" applyAlignment="1">
      <alignment horizontal="center"/>
      <protection/>
    </xf>
    <xf numFmtId="7" fontId="57" fillId="0" borderId="0" xfId="26" applyNumberFormat="1" applyFont="1" applyBorder="1" applyAlignment="1">
      <alignment horizontal="center"/>
      <protection/>
    </xf>
    <xf numFmtId="0" fontId="58" fillId="0" borderId="0" xfId="26" applyNumberFormat="1" applyFont="1" applyBorder="1" applyAlignment="1">
      <alignment horizontal="left"/>
      <protection/>
    </xf>
    <xf numFmtId="0" fontId="54" fillId="0" borderId="16" xfId="26" applyFont="1" applyBorder="1">
      <alignment/>
      <protection/>
    </xf>
    <xf numFmtId="0" fontId="54" fillId="0" borderId="17" xfId="26" applyFont="1" applyBorder="1">
      <alignment/>
      <protection/>
    </xf>
    <xf numFmtId="0" fontId="54" fillId="0" borderId="18" xfId="26" applyFont="1" applyBorder="1">
      <alignment/>
      <protection/>
    </xf>
    <xf numFmtId="49" fontId="6" fillId="0" borderId="10" xfId="29" applyNumberFormat="1" applyFont="1" applyFill="1" applyBorder="1" applyAlignment="1" applyProtection="1">
      <alignment horizontal="center"/>
      <protection locked="0"/>
    </xf>
    <xf numFmtId="49" fontId="6" fillId="0" borderId="10" xfId="29" applyNumberFormat="1" applyFont="1" applyFill="1" applyBorder="1" applyProtection="1">
      <alignment/>
      <protection locked="0"/>
    </xf>
    <xf numFmtId="49" fontId="6" fillId="0" borderId="13" xfId="29" applyNumberFormat="1" applyFont="1" applyFill="1" applyBorder="1" applyProtection="1">
      <alignment/>
      <protection locked="0"/>
    </xf>
    <xf numFmtId="49" fontId="6" fillId="0" borderId="21" xfId="29" applyNumberFormat="1" applyFont="1" applyFill="1" applyBorder="1" applyAlignment="1" applyProtection="1">
      <alignment horizontal="center"/>
      <protection locked="0"/>
    </xf>
    <xf numFmtId="7" fontId="57" fillId="0" borderId="0" xfId="26" applyNumberFormat="1" applyFont="1" applyBorder="1">
      <alignment/>
      <protection/>
    </xf>
    <xf numFmtId="0" fontId="16" fillId="0" borderId="0" xfId="24" applyFont="1" applyBorder="1">
      <alignment/>
      <protection/>
    </xf>
    <xf numFmtId="177" fontId="6" fillId="0" borderId="10" xfId="29" applyNumberFormat="1" applyFont="1" applyFill="1" applyBorder="1" applyProtection="1">
      <alignment/>
      <protection locked="0"/>
    </xf>
    <xf numFmtId="177" fontId="6" fillId="0" borderId="12" xfId="29" applyNumberFormat="1" applyFont="1" applyBorder="1" applyAlignment="1" applyProtection="1" quotePrefix="1">
      <alignment horizontal="center"/>
      <protection locked="0"/>
    </xf>
    <xf numFmtId="7" fontId="2" fillId="0" borderId="33" xfId="29" applyNumberFormat="1" applyFont="1" applyFill="1" applyBorder="1" applyAlignment="1" applyProtection="1">
      <alignment horizontal="right"/>
      <protection locked="0"/>
    </xf>
    <xf numFmtId="0" fontId="6" fillId="0" borderId="34" xfId="29" applyFont="1" applyFill="1" applyBorder="1" applyAlignment="1" applyProtection="1">
      <alignment horizontal="center"/>
      <protection locked="0"/>
    </xf>
    <xf numFmtId="171" fontId="42" fillId="2" borderId="12" xfId="29" applyNumberFormat="1" applyFont="1" applyFill="1" applyBorder="1" applyAlignment="1" applyProtection="1">
      <alignment horizontal="center"/>
      <protection locked="0"/>
    </xf>
    <xf numFmtId="8" fontId="2" fillId="0" borderId="8" xfId="29" applyNumberFormat="1" applyFont="1" applyBorder="1" applyAlignment="1" applyProtection="1">
      <alignment horizontal="right"/>
      <protection/>
    </xf>
    <xf numFmtId="7" fontId="2" fillId="0" borderId="8" xfId="29" applyNumberFormat="1" applyFont="1" applyFill="1" applyBorder="1" applyAlignment="1" applyProtection="1">
      <alignment horizontal="right"/>
      <protection/>
    </xf>
    <xf numFmtId="7" fontId="2" fillId="0" borderId="8" xfId="29" applyNumberFormat="1" applyFont="1" applyFill="1" applyBorder="1" applyAlignment="1" applyProtection="1">
      <alignment horizontal="right"/>
      <protection/>
    </xf>
    <xf numFmtId="0" fontId="6" fillId="0" borderId="19" xfId="29" applyFont="1" applyFill="1" applyBorder="1" applyProtection="1">
      <alignment/>
      <protection locked="0"/>
    </xf>
    <xf numFmtId="0" fontId="17" fillId="0" borderId="8" xfId="0" applyFont="1" applyBorder="1" applyAlignment="1">
      <alignment horizontal="center" vertical="center"/>
    </xf>
    <xf numFmtId="0" fontId="28" fillId="0" borderId="0" xfId="29" applyFont="1" applyBorder="1">
      <alignment/>
      <protection/>
    </xf>
    <xf numFmtId="0" fontId="28" fillId="0" borderId="0" xfId="29" applyFont="1" applyFill="1" applyBorder="1">
      <alignment/>
      <protection/>
    </xf>
    <xf numFmtId="171" fontId="6" fillId="0" borderId="11" xfId="0" applyNumberFormat="1" applyFont="1" applyFill="1" applyBorder="1" applyAlignment="1" applyProtection="1">
      <alignment horizontal="center"/>
      <protection/>
    </xf>
    <xf numFmtId="171" fontId="6" fillId="0" borderId="11" xfId="0" applyNumberFormat="1" applyFont="1" applyFill="1" applyBorder="1" applyAlignment="1" applyProtection="1" quotePrefix="1">
      <alignment horizontal="center"/>
      <protection/>
    </xf>
    <xf numFmtId="171" fontId="6" fillId="0" borderId="11" xfId="0" applyNumberFormat="1" applyFont="1" applyBorder="1" applyAlignment="1" applyProtection="1" quotePrefix="1">
      <alignment horizontal="center"/>
      <protection/>
    </xf>
    <xf numFmtId="4" fontId="6" fillId="0" borderId="24" xfId="0" applyNumberFormat="1" applyFont="1" applyBorder="1" applyAlignment="1" applyProtection="1">
      <alignment horizontal="center"/>
      <protection/>
    </xf>
    <xf numFmtId="171" fontId="6" fillId="0" borderId="12" xfId="0" applyNumberFormat="1" applyFont="1" applyFill="1" applyBorder="1" applyAlignment="1" applyProtection="1" quotePrefix="1">
      <alignment horizontal="center"/>
      <protection/>
    </xf>
    <xf numFmtId="171" fontId="6" fillId="0" borderId="12" xfId="0" applyNumberFormat="1" applyFont="1" applyFill="1" applyBorder="1" applyAlignment="1" applyProtection="1">
      <alignment horizontal="center"/>
      <protection/>
    </xf>
    <xf numFmtId="171" fontId="6" fillId="0" borderId="11" xfId="0" applyNumberFormat="1" applyFont="1" applyBorder="1" applyAlignment="1" applyProtection="1">
      <alignment horizontal="center"/>
      <protection/>
    </xf>
    <xf numFmtId="176" fontId="6" fillId="0" borderId="24" xfId="0" applyNumberFormat="1" applyFont="1" applyBorder="1" applyAlignment="1" applyProtection="1" quotePrefix="1">
      <alignment horizontal="center"/>
      <protection/>
    </xf>
    <xf numFmtId="22" fontId="6" fillId="0" borderId="11" xfId="29" applyNumberFormat="1" applyFont="1" applyFill="1" applyBorder="1" applyAlignment="1" applyProtection="1">
      <alignment horizontal="center"/>
      <protection locked="0"/>
    </xf>
    <xf numFmtId="22" fontId="6" fillId="0" borderId="11" xfId="29" applyNumberFormat="1" applyFont="1" applyFill="1" applyBorder="1" applyProtection="1">
      <alignment/>
      <protection locked="0"/>
    </xf>
    <xf numFmtId="22" fontId="6" fillId="0" borderId="12" xfId="29" applyNumberFormat="1" applyFont="1" applyFill="1" applyBorder="1" applyAlignment="1" applyProtection="1">
      <alignment horizontal="center"/>
      <protection locked="0"/>
    </xf>
    <xf numFmtId="22" fontId="6" fillId="0" borderId="25" xfId="29" applyNumberFormat="1" applyFont="1" applyFill="1" applyBorder="1" applyAlignment="1" applyProtection="1">
      <alignment horizontal="center"/>
      <protection locked="0"/>
    </xf>
    <xf numFmtId="0" fontId="61" fillId="0" borderId="0" xfId="29" applyFont="1" applyBorder="1" applyAlignment="1">
      <alignment horizontal="left"/>
      <protection/>
    </xf>
    <xf numFmtId="0" fontId="61" fillId="0" borderId="15" xfId="29" applyFont="1" applyBorder="1" applyAlignment="1" applyProtection="1">
      <alignment horizontal="left"/>
      <protection locked="0"/>
    </xf>
    <xf numFmtId="0" fontId="1" fillId="0" borderId="0" xfId="29" applyAlignment="1">
      <alignment horizontal="left"/>
      <protection/>
    </xf>
    <xf numFmtId="0" fontId="1" fillId="0" borderId="0" xfId="27">
      <alignment/>
      <protection/>
    </xf>
    <xf numFmtId="0" fontId="49" fillId="0" borderId="0" xfId="27" applyFont="1" applyAlignment="1">
      <alignment horizontal="right" vertical="top"/>
      <protection/>
    </xf>
    <xf numFmtId="0" fontId="8" fillId="0" borderId="0" xfId="27" applyFont="1">
      <alignment/>
      <protection/>
    </xf>
    <xf numFmtId="0" fontId="62" fillId="0" borderId="0" xfId="27" applyFont="1" applyAlignment="1">
      <alignment horizontal="centerContinuous"/>
      <protection/>
    </xf>
    <xf numFmtId="0" fontId="4" fillId="0" borderId="0" xfId="27" applyFont="1" applyFill="1" applyBorder="1" applyAlignment="1" applyProtection="1">
      <alignment horizontal="centerContinuous"/>
      <protection/>
    </xf>
    <xf numFmtId="0" fontId="10" fillId="0" borderId="0" xfId="27" applyFont="1" applyAlignment="1">
      <alignment horizontal="centerContinuous"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/>
      <protection/>
    </xf>
    <xf numFmtId="0" fontId="16" fillId="0" borderId="0" xfId="27" applyFont="1">
      <alignment/>
      <protection/>
    </xf>
    <xf numFmtId="0" fontId="16" fillId="0" borderId="0" xfId="27" applyFont="1" applyAlignment="1">
      <alignment horizontal="centerContinuous"/>
      <protection/>
    </xf>
    <xf numFmtId="0" fontId="16" fillId="0" borderId="0" xfId="27" applyFont="1" applyAlignment="1">
      <alignment/>
      <protection/>
    </xf>
    <xf numFmtId="0" fontId="11" fillId="0" borderId="0" xfId="27" applyFont="1">
      <alignment/>
      <protection/>
    </xf>
    <xf numFmtId="0" fontId="11" fillId="0" borderId="0" xfId="27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1" fillId="0" borderId="0" xfId="27" applyAlignment="1">
      <alignment/>
      <protection/>
    </xf>
    <xf numFmtId="0" fontId="54" fillId="0" borderId="0" xfId="27" applyFont="1">
      <alignment/>
      <protection/>
    </xf>
    <xf numFmtId="0" fontId="54" fillId="0" borderId="0" xfId="27" applyFont="1" applyAlignment="1">
      <alignment horizontal="centerContinuous"/>
      <protection/>
    </xf>
    <xf numFmtId="0" fontId="1" fillId="0" borderId="3" xfId="27" applyBorder="1" applyAlignment="1">
      <alignment horizontal="centerContinuous"/>
      <protection/>
    </xf>
    <xf numFmtId="0" fontId="1" fillId="0" borderId="4" xfId="27" applyBorder="1" applyAlignment="1">
      <alignment horizontal="centerContinuous"/>
      <protection/>
    </xf>
    <xf numFmtId="0" fontId="1" fillId="0" borderId="5" xfId="27" applyBorder="1" applyAlignment="1">
      <alignment/>
      <protection/>
    </xf>
    <xf numFmtId="0" fontId="1" fillId="0" borderId="1" xfId="27" applyBorder="1">
      <alignment/>
      <protection/>
    </xf>
    <xf numFmtId="0" fontId="1" fillId="0" borderId="0" xfId="27" applyBorder="1">
      <alignment/>
      <protection/>
    </xf>
    <xf numFmtId="0" fontId="1" fillId="0" borderId="2" xfId="27" applyBorder="1" applyAlignment="1">
      <alignment/>
      <protection/>
    </xf>
    <xf numFmtId="0" fontId="17" fillId="0" borderId="0" xfId="27" applyFont="1" applyAlignment="1">
      <alignment horizontal="center" vertical="center"/>
      <protection/>
    </xf>
    <xf numFmtId="167" fontId="17" fillId="0" borderId="1" xfId="17" applyFont="1" applyBorder="1" applyAlignment="1" quotePrefix="1">
      <alignment horizontal="center" vertical="center"/>
    </xf>
    <xf numFmtId="0" fontId="17" fillId="0" borderId="8" xfId="27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7" applyNumberFormat="1" applyFont="1" applyBorder="1" applyAlignment="1">
      <alignment horizontal="center" vertical="center"/>
      <protection/>
    </xf>
    <xf numFmtId="0" fontId="17" fillId="0" borderId="2" xfId="27" applyFont="1" applyBorder="1" applyAlignment="1">
      <alignment horizontal="center" vertical="center"/>
      <protection/>
    </xf>
    <xf numFmtId="0" fontId="64" fillId="0" borderId="0" xfId="27" applyFont="1" applyAlignment="1">
      <alignment vertical="center"/>
      <protection/>
    </xf>
    <xf numFmtId="0" fontId="64" fillId="0" borderId="1" xfId="27" applyFont="1" applyBorder="1" applyAlignment="1">
      <alignment vertical="center"/>
      <protection/>
    </xf>
    <xf numFmtId="0" fontId="64" fillId="0" borderId="22" xfId="27" applyFont="1" applyBorder="1" applyAlignment="1">
      <alignment vertical="center"/>
      <protection/>
    </xf>
    <xf numFmtId="0" fontId="64" fillId="0" borderId="11" xfId="27" applyFont="1" applyBorder="1" applyAlignment="1">
      <alignment vertical="center"/>
      <protection/>
    </xf>
    <xf numFmtId="0" fontId="64" fillId="2" borderId="22" xfId="27" applyFont="1" applyFill="1" applyBorder="1" applyAlignment="1">
      <alignment vertical="center"/>
      <protection/>
    </xf>
    <xf numFmtId="0" fontId="64" fillId="0" borderId="35" xfId="27" applyFont="1" applyFill="1" applyBorder="1" applyAlignment="1">
      <alignment vertical="center"/>
      <protection/>
    </xf>
    <xf numFmtId="0" fontId="64" fillId="0" borderId="2" xfId="27" applyFont="1" applyBorder="1" applyAlignment="1">
      <alignment vertical="center"/>
      <protection/>
    </xf>
    <xf numFmtId="0" fontId="64" fillId="1" borderId="23" xfId="27" applyFont="1" applyFill="1" applyBorder="1" applyAlignment="1">
      <alignment horizontal="center" vertical="center"/>
      <protection/>
    </xf>
    <xf numFmtId="0" fontId="64" fillId="1" borderId="11" xfId="27" applyFont="1" applyFill="1" applyBorder="1" applyAlignment="1">
      <alignment horizontal="center" vertical="center"/>
      <protection/>
    </xf>
    <xf numFmtId="0" fontId="64" fillId="1" borderId="11" xfId="0" applyFont="1" applyFill="1" applyBorder="1" applyAlignment="1">
      <alignment horizontal="center" vertical="center"/>
    </xf>
    <xf numFmtId="0" fontId="64" fillId="2" borderId="34" xfId="27" applyFont="1" applyFill="1" applyBorder="1" applyAlignment="1">
      <alignment horizontal="center" vertical="center"/>
      <protection/>
    </xf>
    <xf numFmtId="0" fontId="64" fillId="0" borderId="26" xfId="27" applyFont="1" applyFill="1" applyBorder="1" applyAlignment="1">
      <alignment horizontal="center" vertical="center"/>
      <protection/>
    </xf>
    <xf numFmtId="0" fontId="64" fillId="0" borderId="36" xfId="27" applyFont="1" applyBorder="1" applyAlignment="1">
      <alignment horizontal="center" vertical="center"/>
      <protection/>
    </xf>
    <xf numFmtId="0" fontId="64" fillId="0" borderId="12" xfId="27" applyFont="1" applyBorder="1" applyAlignment="1">
      <alignment horizontal="center" vertical="center"/>
      <protection/>
    </xf>
    <xf numFmtId="0" fontId="64" fillId="1" borderId="36" xfId="27" applyFont="1" applyFill="1" applyBorder="1" applyAlignment="1">
      <alignment horizontal="center" vertical="center"/>
      <protection/>
    </xf>
    <xf numFmtId="0" fontId="64" fillId="1" borderId="12" xfId="27" applyFont="1" applyFill="1" applyBorder="1" applyAlignment="1">
      <alignment horizontal="center" vertical="center"/>
      <protection/>
    </xf>
    <xf numFmtId="0" fontId="64" fillId="0" borderId="36" xfId="27" applyFont="1" applyFill="1" applyBorder="1" applyAlignment="1">
      <alignment horizontal="center" vertical="center"/>
      <protection/>
    </xf>
    <xf numFmtId="0" fontId="64" fillId="14" borderId="36" xfId="27" applyFont="1" applyFill="1" applyBorder="1" applyAlignment="1">
      <alignment horizontal="center" vertical="center"/>
      <protection/>
    </xf>
    <xf numFmtId="0" fontId="64" fillId="15" borderId="36" xfId="27" applyFont="1" applyFill="1" applyBorder="1" applyAlignment="1">
      <alignment horizontal="center" vertical="center"/>
      <protection/>
    </xf>
    <xf numFmtId="0" fontId="64" fillId="1" borderId="12" xfId="0" applyFont="1" applyFill="1" applyBorder="1" applyAlignment="1">
      <alignment horizontal="center" vertical="center"/>
    </xf>
    <xf numFmtId="0" fontId="64" fillId="14" borderId="12" xfId="27" applyFont="1" applyFill="1" applyBorder="1" applyAlignment="1">
      <alignment horizontal="center" vertical="center"/>
      <protection/>
    </xf>
    <xf numFmtId="0" fontId="64" fillId="15" borderId="12" xfId="27" applyFont="1" applyFill="1" applyBorder="1" applyAlignment="1">
      <alignment horizontal="center" vertical="center"/>
      <protection/>
    </xf>
    <xf numFmtId="0" fontId="64" fillId="0" borderId="37" xfId="27" applyFont="1" applyBorder="1" applyAlignment="1">
      <alignment horizontal="center" vertical="center"/>
      <protection/>
    </xf>
    <xf numFmtId="0" fontId="64" fillId="0" borderId="32" xfId="27" applyFont="1" applyBorder="1" applyAlignment="1">
      <alignment horizontal="center" vertical="center"/>
      <protection/>
    </xf>
    <xf numFmtId="0" fontId="64" fillId="0" borderId="38" xfId="27" applyFont="1" applyBorder="1" applyAlignment="1">
      <alignment horizontal="center" vertical="center"/>
      <protection/>
    </xf>
    <xf numFmtId="0" fontId="64" fillId="2" borderId="38" xfId="27" applyFont="1" applyFill="1" applyBorder="1" applyAlignment="1">
      <alignment horizontal="center" vertical="center"/>
      <protection/>
    </xf>
    <xf numFmtId="0" fontId="64" fillId="0" borderId="0" xfId="27" applyFont="1" applyBorder="1" applyAlignment="1">
      <alignment horizontal="center" vertical="center"/>
      <protection/>
    </xf>
    <xf numFmtId="0" fontId="65" fillId="0" borderId="15" xfId="27" applyFont="1" applyBorder="1" applyAlignment="1" applyProtection="1">
      <alignment horizontal="right" vertical="center"/>
      <protection/>
    </xf>
    <xf numFmtId="178" fontId="66" fillId="0" borderId="8" xfId="27" applyNumberFormat="1" applyFont="1" applyBorder="1" applyAlignment="1">
      <alignment horizontal="center" vertical="center"/>
      <protection/>
    </xf>
    <xf numFmtId="0" fontId="67" fillId="0" borderId="0" xfId="27" applyFont="1" applyBorder="1" applyAlignment="1">
      <alignment horizontal="center" vertical="center"/>
      <protection/>
    </xf>
    <xf numFmtId="0" fontId="64" fillId="0" borderId="9" xfId="27" applyFont="1" applyFill="1" applyBorder="1" applyAlignment="1">
      <alignment horizontal="center" vertical="center"/>
      <protection/>
    </xf>
    <xf numFmtId="0" fontId="64" fillId="0" borderId="0" xfId="27" applyFont="1" applyBorder="1" applyAlignment="1">
      <alignment vertical="center"/>
      <protection/>
    </xf>
    <xf numFmtId="0" fontId="65" fillId="0" borderId="0" xfId="27" applyFont="1" applyAlignment="1">
      <alignment horizontal="right" vertical="center"/>
      <protection/>
    </xf>
    <xf numFmtId="0" fontId="64" fillId="0" borderId="8" xfId="27" applyFont="1" applyBorder="1" applyAlignment="1">
      <alignment horizontal="center" vertical="center"/>
      <protection/>
    </xf>
    <xf numFmtId="0" fontId="64" fillId="0" borderId="13" xfId="27" applyFont="1" applyFill="1" applyBorder="1" applyAlignment="1">
      <alignment horizontal="center" vertical="center"/>
      <protection/>
    </xf>
    <xf numFmtId="0" fontId="66" fillId="0" borderId="0" xfId="27" applyFont="1" applyBorder="1" applyAlignment="1">
      <alignment horizontal="center" vertical="center"/>
      <protection/>
    </xf>
    <xf numFmtId="17" fontId="65" fillId="0" borderId="0" xfId="27" applyNumberFormat="1" applyFont="1" applyBorder="1" applyAlignment="1">
      <alignment horizontal="right" vertical="center"/>
      <protection/>
    </xf>
    <xf numFmtId="2" fontId="65" fillId="16" borderId="8" xfId="27" applyNumberFormat="1" applyFont="1" applyFill="1" applyBorder="1" applyAlignment="1">
      <alignment horizontal="center" vertical="center"/>
      <protection/>
    </xf>
    <xf numFmtId="0" fontId="6" fillId="0" borderId="0" xfId="27" applyFont="1" applyBorder="1">
      <alignment/>
      <protection/>
    </xf>
    <xf numFmtId="0" fontId="3" fillId="0" borderId="0" xfId="27" applyFont="1" applyBorder="1" applyAlignment="1" applyProtection="1">
      <alignment horizontal="center"/>
      <protection/>
    </xf>
    <xf numFmtId="171" fontId="3" fillId="0" borderId="0" xfId="27" applyNumberFormat="1" applyFont="1" applyBorder="1" applyAlignment="1" applyProtection="1">
      <alignment horizontal="right"/>
      <protection/>
    </xf>
    <xf numFmtId="0" fontId="1" fillId="0" borderId="0" xfId="27" applyBorder="1" applyAlignment="1">
      <alignment horizontal="center"/>
      <protection/>
    </xf>
    <xf numFmtId="2" fontId="1" fillId="0" borderId="0" xfId="27" applyNumberFormat="1" applyBorder="1" applyAlignment="1">
      <alignment horizontal="center"/>
      <protection/>
    </xf>
    <xf numFmtId="2" fontId="1" fillId="0" borderId="2" xfId="27" applyNumberFormat="1" applyBorder="1" applyAlignment="1">
      <alignment horizontal="center"/>
      <protection/>
    </xf>
    <xf numFmtId="0" fontId="68" fillId="0" borderId="1" xfId="27" applyFont="1" applyBorder="1">
      <alignment/>
      <protection/>
    </xf>
    <xf numFmtId="0" fontId="69" fillId="0" borderId="0" xfId="27" applyFont="1" applyBorder="1" applyAlignment="1">
      <alignment horizontal="center" vertical="center"/>
      <protection/>
    </xf>
    <xf numFmtId="0" fontId="1" fillId="0" borderId="6" xfId="27" applyFont="1" applyBorder="1">
      <alignment/>
      <protection/>
    </xf>
    <xf numFmtId="0" fontId="1" fillId="0" borderId="9" xfId="27" applyBorder="1">
      <alignment/>
      <protection/>
    </xf>
    <xf numFmtId="2" fontId="70" fillId="0" borderId="9" xfId="27" applyNumberFormat="1" applyFont="1" applyBorder="1" applyAlignment="1">
      <alignment horizontal="center"/>
      <protection/>
    </xf>
    <xf numFmtId="0" fontId="71" fillId="0" borderId="9" xfId="27" applyFont="1" applyBorder="1">
      <alignment/>
      <protection/>
    </xf>
    <xf numFmtId="0" fontId="1" fillId="0" borderId="7" xfId="27" applyBorder="1">
      <alignment/>
      <protection/>
    </xf>
    <xf numFmtId="0" fontId="1" fillId="0" borderId="2" xfId="27" applyBorder="1">
      <alignment/>
      <protection/>
    </xf>
    <xf numFmtId="0" fontId="68" fillId="0" borderId="16" xfId="27" applyFont="1" applyBorder="1">
      <alignment/>
      <protection/>
    </xf>
    <xf numFmtId="0" fontId="3" fillId="0" borderId="17" xfId="27" applyFont="1" applyBorder="1" applyAlignment="1" applyProtection="1">
      <alignment horizontal="left"/>
      <protection/>
    </xf>
    <xf numFmtId="0" fontId="6" fillId="0" borderId="17" xfId="27" applyFont="1" applyBorder="1">
      <alignment/>
      <protection/>
    </xf>
    <xf numFmtId="0" fontId="3" fillId="0" borderId="17" xfId="27" applyFont="1" applyBorder="1" applyAlignment="1">
      <alignment horizontal="center"/>
      <protection/>
    </xf>
    <xf numFmtId="1" fontId="72" fillId="0" borderId="17" xfId="27" applyNumberFormat="1" applyFont="1" applyBorder="1" applyAlignment="1" applyProtection="1">
      <alignment horizontal="center"/>
      <protection/>
    </xf>
    <xf numFmtId="0" fontId="1" fillId="0" borderId="17" xfId="27" applyBorder="1">
      <alignment/>
      <protection/>
    </xf>
    <xf numFmtId="0" fontId="1" fillId="0" borderId="18" xfId="27" applyBorder="1">
      <alignment/>
      <protection/>
    </xf>
    <xf numFmtId="0" fontId="1" fillId="0" borderId="0" xfId="27" applyAlignment="1">
      <alignment horizontal="center"/>
      <protection/>
    </xf>
    <xf numFmtId="174" fontId="1" fillId="0" borderId="0" xfId="27" applyNumberFormat="1" applyBorder="1" applyAlignment="1">
      <alignment horizontal="center"/>
      <protection/>
    </xf>
    <xf numFmtId="0" fontId="1" fillId="0" borderId="0" xfId="27" applyAlignment="1">
      <alignment horizontal="right"/>
      <protection/>
    </xf>
    <xf numFmtId="0" fontId="7" fillId="0" borderId="12" xfId="29" applyFont="1" applyBorder="1" applyAlignment="1" applyProtection="1">
      <alignment horizontal="center"/>
      <protection locked="0"/>
    </xf>
    <xf numFmtId="2" fontId="7" fillId="0" borderId="12" xfId="29" applyNumberFormat="1" applyFont="1" applyBorder="1" applyAlignment="1" applyProtection="1">
      <alignment horizontal="center"/>
      <protection locked="0"/>
    </xf>
    <xf numFmtId="22" fontId="7" fillId="0" borderId="11" xfId="29" applyNumberFormat="1" applyFont="1" applyFill="1" applyBorder="1" applyAlignment="1" applyProtection="1">
      <alignment horizontal="center"/>
      <protection locked="0"/>
    </xf>
    <xf numFmtId="0" fontId="6" fillId="7" borderId="1" xfId="29" applyFont="1" applyFill="1" applyBorder="1">
      <alignment/>
      <protection/>
    </xf>
    <xf numFmtId="0" fontId="6" fillId="7" borderId="11" xfId="29" applyFont="1" applyFill="1" applyBorder="1" applyAlignment="1" applyProtection="1">
      <alignment horizontal="center"/>
      <protection locked="0"/>
    </xf>
    <xf numFmtId="0" fontId="6" fillId="7" borderId="12" xfId="29" applyFont="1" applyFill="1" applyBorder="1" applyAlignment="1" applyProtection="1">
      <alignment horizontal="center"/>
      <protection locked="0"/>
    </xf>
    <xf numFmtId="22" fontId="6" fillId="7" borderId="11" xfId="29" applyNumberFormat="1" applyFont="1" applyFill="1" applyBorder="1" applyAlignment="1" applyProtection="1">
      <alignment horizontal="center"/>
      <protection locked="0"/>
    </xf>
    <xf numFmtId="2" fontId="6" fillId="7" borderId="11" xfId="29" applyNumberFormat="1" applyFont="1" applyFill="1" applyBorder="1" applyAlignment="1" applyProtection="1">
      <alignment horizontal="center"/>
      <protection/>
    </xf>
    <xf numFmtId="171" fontId="6" fillId="7" borderId="11" xfId="0" applyNumberFormat="1" applyFont="1" applyFill="1" applyBorder="1" applyAlignment="1" applyProtection="1" quotePrefix="1">
      <alignment horizontal="center"/>
      <protection/>
    </xf>
    <xf numFmtId="2" fontId="29" fillId="7" borderId="11" xfId="29" applyNumberFormat="1" applyFont="1" applyFill="1" applyBorder="1" applyAlignment="1" applyProtection="1">
      <alignment horizontal="center"/>
      <protection locked="0"/>
    </xf>
    <xf numFmtId="4" fontId="33" fillId="7" borderId="11" xfId="29" applyNumberFormat="1" applyFont="1" applyFill="1" applyBorder="1" applyAlignment="1" applyProtection="1">
      <alignment horizontal="center"/>
      <protection locked="0"/>
    </xf>
    <xf numFmtId="0" fontId="6" fillId="7" borderId="0" xfId="29" applyFont="1" applyFill="1">
      <alignment/>
      <protection/>
    </xf>
    <xf numFmtId="0" fontId="6" fillId="7" borderId="22" xfId="29" applyFont="1" applyFill="1" applyBorder="1" applyAlignment="1" applyProtection="1">
      <alignment horizontal="center"/>
      <protection locked="0"/>
    </xf>
    <xf numFmtId="169" fontId="6" fillId="7" borderId="12" xfId="29" applyNumberFormat="1" applyFont="1" applyFill="1" applyBorder="1" applyAlignment="1" applyProtection="1" quotePrefix="1">
      <alignment horizontal="center"/>
      <protection locked="0"/>
    </xf>
    <xf numFmtId="2" fontId="6" fillId="7" borderId="12" xfId="29" applyNumberFormat="1" applyFont="1" applyFill="1" applyBorder="1" applyAlignment="1" applyProtection="1" quotePrefix="1">
      <alignment horizontal="center"/>
      <protection locked="0"/>
    </xf>
    <xf numFmtId="171" fontId="42" fillId="7" borderId="11" xfId="29" applyNumberFormat="1" applyFont="1" applyFill="1" applyBorder="1" applyAlignment="1" applyProtection="1">
      <alignment horizontal="center"/>
      <protection locked="0"/>
    </xf>
    <xf numFmtId="3" fontId="6" fillId="7" borderId="11" xfId="29" applyNumberFormat="1" applyFont="1" applyFill="1" applyBorder="1" applyAlignment="1" applyProtection="1">
      <alignment horizontal="center"/>
      <protection/>
    </xf>
    <xf numFmtId="171" fontId="6" fillId="7" borderId="11" xfId="29" applyNumberFormat="1" applyFont="1" applyFill="1" applyBorder="1" applyAlignment="1" applyProtection="1">
      <alignment horizontal="center"/>
      <protection locked="0"/>
    </xf>
    <xf numFmtId="171" fontId="6" fillId="7" borderId="11" xfId="0" applyNumberFormat="1" applyFont="1" applyFill="1" applyBorder="1" applyAlignment="1" applyProtection="1">
      <alignment horizontal="center"/>
      <protection/>
    </xf>
    <xf numFmtId="2" fontId="5" fillId="7" borderId="11" xfId="29" applyNumberFormat="1" applyFont="1" applyFill="1" applyBorder="1" applyAlignment="1" applyProtection="1">
      <alignment horizontal="center"/>
      <protection locked="0"/>
    </xf>
    <xf numFmtId="171" fontId="5" fillId="7" borderId="23" xfId="29" applyNumberFormat="1" applyFont="1" applyFill="1" applyBorder="1" applyAlignment="1" applyProtection="1" quotePrefix="1">
      <alignment horizontal="center"/>
      <protection locked="0"/>
    </xf>
    <xf numFmtId="171" fontId="5" fillId="7" borderId="25" xfId="29" applyNumberFormat="1" applyFont="1" applyFill="1" applyBorder="1" applyAlignment="1" applyProtection="1" quotePrefix="1">
      <alignment horizontal="center"/>
      <protection locked="0"/>
    </xf>
    <xf numFmtId="171" fontId="43" fillId="7" borderId="23" xfId="29" applyNumberFormat="1" applyFont="1" applyFill="1" applyBorder="1" applyAlignment="1" applyProtection="1" quotePrefix="1">
      <alignment horizontal="center"/>
      <protection locked="0"/>
    </xf>
    <xf numFmtId="171" fontId="43" fillId="7" borderId="25" xfId="29" applyNumberFormat="1" applyFont="1" applyFill="1" applyBorder="1" applyAlignment="1" applyProtection="1" quotePrefix="1">
      <alignment horizontal="center"/>
      <protection locked="0"/>
    </xf>
    <xf numFmtId="171" fontId="32" fillId="7" borderId="11" xfId="29" applyNumberFormat="1" applyFont="1" applyFill="1" applyBorder="1" applyAlignment="1" applyProtection="1" quotePrefix="1">
      <alignment horizontal="center"/>
      <protection locked="0"/>
    </xf>
    <xf numFmtId="171" fontId="5" fillId="7" borderId="12" xfId="29" applyNumberFormat="1" applyFont="1" applyFill="1" applyBorder="1" applyAlignment="1" applyProtection="1" quotePrefix="1">
      <alignment horizontal="center"/>
      <protection locked="0"/>
    </xf>
    <xf numFmtId="171" fontId="34" fillId="7" borderId="24" xfId="29" applyNumberFormat="1" applyFont="1" applyFill="1" applyBorder="1" applyAlignment="1">
      <alignment horizontal="right"/>
      <protection/>
    </xf>
    <xf numFmtId="0" fontId="6" fillId="7" borderId="2" xfId="29" applyFont="1" applyFill="1" applyBorder="1">
      <alignment/>
      <protection/>
    </xf>
    <xf numFmtId="0" fontId="8" fillId="0" borderId="0" xfId="28" applyFont="1" applyFill="1">
      <alignment/>
      <protection/>
    </xf>
    <xf numFmtId="0" fontId="8" fillId="0" borderId="0" xfId="28" applyFont="1">
      <alignment/>
      <protection/>
    </xf>
    <xf numFmtId="0" fontId="9" fillId="0" borderId="0" xfId="28" applyFont="1" applyAlignment="1">
      <alignment horizontal="centerContinuous"/>
      <protection/>
    </xf>
    <xf numFmtId="0" fontId="9" fillId="0" borderId="0" xfId="28" applyFont="1" applyFill="1" applyAlignment="1">
      <alignment horizontal="centerContinuous"/>
      <protection/>
    </xf>
    <xf numFmtId="0" fontId="6" fillId="0" borderId="0" xfId="28" applyFont="1" applyFill="1">
      <alignment/>
      <protection/>
    </xf>
    <xf numFmtId="0" fontId="6" fillId="0" borderId="0" xfId="28" applyFont="1">
      <alignment/>
      <protection/>
    </xf>
    <xf numFmtId="0" fontId="4" fillId="0" borderId="0" xfId="28" applyFont="1" applyFill="1" applyBorder="1" applyAlignment="1" applyProtection="1">
      <alignment horizontal="centerContinuous"/>
      <protection/>
    </xf>
    <xf numFmtId="0" fontId="10" fillId="0" borderId="0" xfId="28" applyFont="1" applyAlignment="1">
      <alignment horizontal="centerContinuous"/>
      <protection/>
    </xf>
    <xf numFmtId="0" fontId="10" fillId="0" borderId="0" xfId="28" applyFont="1">
      <alignment/>
      <protection/>
    </xf>
    <xf numFmtId="0" fontId="10" fillId="0" borderId="0" xfId="28" applyFont="1" applyFill="1">
      <alignment/>
      <protection/>
    </xf>
    <xf numFmtId="0" fontId="15" fillId="0" borderId="0" xfId="28" applyFont="1">
      <alignment/>
      <protection/>
    </xf>
    <xf numFmtId="0" fontId="15" fillId="0" borderId="0" xfId="28" applyFont="1" applyBorder="1">
      <alignment/>
      <protection/>
    </xf>
    <xf numFmtId="0" fontId="15" fillId="0" borderId="0" xfId="28" applyFont="1" applyFill="1" applyBorder="1">
      <alignment/>
      <protection/>
    </xf>
    <xf numFmtId="0" fontId="16" fillId="0" borderId="0" xfId="28" applyFont="1" applyBorder="1">
      <alignment/>
      <protection/>
    </xf>
    <xf numFmtId="0" fontId="6" fillId="0" borderId="0" xfId="28" applyFont="1" applyBorder="1">
      <alignment/>
      <protection/>
    </xf>
    <xf numFmtId="0" fontId="6" fillId="0" borderId="0" xfId="28" applyFont="1" applyFill="1" applyBorder="1">
      <alignment/>
      <protection/>
    </xf>
    <xf numFmtId="0" fontId="16" fillId="0" borderId="0" xfId="28" applyFont="1" applyBorder="1" applyProtection="1">
      <alignment/>
      <protection locked="0"/>
    </xf>
    <xf numFmtId="0" fontId="11" fillId="0" borderId="0" xfId="28" applyFont="1">
      <alignment/>
      <protection/>
    </xf>
    <xf numFmtId="0" fontId="13" fillId="0" borderId="0" xfId="28" applyFont="1" applyBorder="1" applyAlignment="1">
      <alignment horizontal="centerContinuous"/>
      <protection/>
    </xf>
    <xf numFmtId="0" fontId="13" fillId="0" borderId="0" xfId="28" applyFont="1" applyFill="1" applyBorder="1" applyAlignment="1">
      <alignment horizontal="centerContinuous"/>
      <protection/>
    </xf>
    <xf numFmtId="0" fontId="6" fillId="0" borderId="0" xfId="28" applyFont="1" applyBorder="1" applyAlignment="1">
      <alignment horizontal="center"/>
      <protection/>
    </xf>
    <xf numFmtId="0" fontId="14" fillId="0" borderId="0" xfId="28" applyFont="1" applyBorder="1" applyAlignment="1">
      <alignment horizontal="left"/>
      <protection/>
    </xf>
    <xf numFmtId="0" fontId="1" fillId="0" borderId="6" xfId="28" applyFont="1" applyBorder="1" applyAlignment="1" applyProtection="1">
      <alignment horizontal="center"/>
      <protection/>
    </xf>
    <xf numFmtId="174" fontId="34" fillId="0" borderId="0" xfId="21" applyNumberFormat="1" applyFont="1" applyBorder="1" applyAlignment="1">
      <alignment horizontal="center"/>
      <protection/>
    </xf>
    <xf numFmtId="0" fontId="3" fillId="17" borderId="3" xfId="28" applyFont="1" applyFill="1" applyBorder="1" applyAlignment="1">
      <alignment horizontal="left"/>
      <protection/>
    </xf>
    <xf numFmtId="2" fontId="6" fillId="17" borderId="4" xfId="28" applyNumberFormat="1" applyFont="1" applyFill="1" applyBorder="1" applyAlignment="1">
      <alignment horizontal="left"/>
      <protection/>
    </xf>
    <xf numFmtId="0" fontId="6" fillId="17" borderId="5" xfId="28" applyFont="1" applyFill="1" applyBorder="1" applyAlignment="1">
      <alignment horizontal="left"/>
      <protection/>
    </xf>
    <xf numFmtId="0" fontId="3" fillId="18" borderId="39" xfId="28" applyFont="1" applyFill="1" applyBorder="1">
      <alignment/>
      <protection/>
    </xf>
    <xf numFmtId="0" fontId="3" fillId="18" borderId="40" xfId="28" applyFont="1" applyFill="1" applyBorder="1">
      <alignment/>
      <protection/>
    </xf>
    <xf numFmtId="0" fontId="3" fillId="18" borderId="41" xfId="28" applyFont="1" applyFill="1" applyBorder="1">
      <alignment/>
      <protection/>
    </xf>
    <xf numFmtId="174" fontId="1" fillId="0" borderId="0" xfId="28" applyNumberFormat="1" applyFont="1" applyBorder="1" applyAlignment="1">
      <alignment horizontal="centerContinuous"/>
      <protection/>
    </xf>
    <xf numFmtId="0" fontId="6" fillId="17" borderId="1" xfId="28" applyFont="1" applyFill="1" applyBorder="1" applyAlignment="1">
      <alignment horizontal="left"/>
      <protection/>
    </xf>
    <xf numFmtId="0" fontId="6" fillId="17" borderId="0" xfId="28" applyFont="1" applyFill="1" applyBorder="1" applyAlignment="1">
      <alignment horizontal="left"/>
      <protection/>
    </xf>
    <xf numFmtId="22" fontId="6" fillId="17" borderId="2" xfId="28" applyNumberFormat="1" applyFont="1" applyFill="1" applyBorder="1" applyAlignment="1">
      <alignment horizontal="left"/>
      <protection/>
    </xf>
    <xf numFmtId="22" fontId="6" fillId="0" borderId="0" xfId="28" applyNumberFormat="1" applyFont="1" applyBorder="1">
      <alignment/>
      <protection/>
    </xf>
    <xf numFmtId="0" fontId="3" fillId="18" borderId="42" xfId="28" applyFont="1" applyFill="1" applyBorder="1">
      <alignment/>
      <protection/>
    </xf>
    <xf numFmtId="0" fontId="3" fillId="18" borderId="0" xfId="28" applyFont="1" applyFill="1" applyBorder="1">
      <alignment/>
      <protection/>
    </xf>
    <xf numFmtId="0" fontId="3" fillId="18" borderId="43" xfId="28" applyFont="1" applyFill="1" applyBorder="1">
      <alignment/>
      <protection/>
    </xf>
    <xf numFmtId="0" fontId="3" fillId="0" borderId="0" xfId="28" applyFont="1" applyFill="1" applyBorder="1">
      <alignment/>
      <protection/>
    </xf>
    <xf numFmtId="0" fontId="6" fillId="0" borderId="0" xfId="28" applyFont="1" applyBorder="1" applyAlignment="1" applyProtection="1">
      <alignment horizontal="center"/>
      <protection/>
    </xf>
    <xf numFmtId="0" fontId="6" fillId="0" borderId="44" xfId="28" applyFont="1" applyBorder="1">
      <alignment/>
      <protection/>
    </xf>
    <xf numFmtId="0" fontId="6" fillId="17" borderId="16" xfId="28" applyFont="1" applyFill="1" applyBorder="1" applyAlignment="1">
      <alignment horizontal="left"/>
      <protection/>
    </xf>
    <xf numFmtId="0" fontId="3" fillId="17" borderId="17" xfId="28" applyFont="1" applyFill="1" applyBorder="1" applyAlignment="1">
      <alignment horizontal="left"/>
      <protection/>
    </xf>
    <xf numFmtId="0" fontId="3" fillId="17" borderId="18" xfId="28" applyFont="1" applyFill="1" applyBorder="1" applyAlignment="1">
      <alignment horizontal="left"/>
      <protection/>
    </xf>
    <xf numFmtId="0" fontId="3" fillId="18" borderId="45" xfId="28" applyFont="1" applyFill="1" applyBorder="1">
      <alignment/>
      <protection/>
    </xf>
    <xf numFmtId="0" fontId="3" fillId="18" borderId="46" xfId="28" applyFont="1" applyFill="1" applyBorder="1">
      <alignment/>
      <protection/>
    </xf>
    <xf numFmtId="0" fontId="3" fillId="18" borderId="47" xfId="28" applyFont="1" applyFill="1" applyBorder="1">
      <alignment/>
      <protection/>
    </xf>
    <xf numFmtId="0" fontId="17" fillId="0" borderId="8" xfId="28" applyFont="1" applyBorder="1" applyAlignment="1" applyProtection="1">
      <alignment horizontal="center" vertical="center" textRotation="90" wrapText="1"/>
      <protection/>
    </xf>
    <xf numFmtId="0" fontId="17" fillId="0" borderId="8" xfId="28" applyFont="1" applyBorder="1" applyAlignment="1">
      <alignment horizontal="center" vertical="center" wrapText="1"/>
      <protection/>
    </xf>
    <xf numFmtId="0" fontId="17" fillId="0" borderId="8" xfId="28" applyFont="1" applyBorder="1" applyAlignment="1" applyProtection="1">
      <alignment horizontal="center" vertical="center" wrapText="1"/>
      <protection/>
    </xf>
    <xf numFmtId="168" fontId="17" fillId="0" borderId="8" xfId="28" applyNumberFormat="1" applyFont="1" applyBorder="1" applyAlignment="1" applyProtection="1">
      <alignment horizontal="center" vertical="center" wrapText="1"/>
      <protection/>
    </xf>
    <xf numFmtId="0" fontId="17" fillId="0" borderId="6" xfId="28" applyFont="1" applyBorder="1" applyAlignment="1" applyProtection="1">
      <alignment horizontal="center" vertical="center" wrapText="1"/>
      <protection/>
    </xf>
    <xf numFmtId="0" fontId="17" fillId="0" borderId="6" xfId="28" applyFont="1" applyFill="1" applyBorder="1" applyAlignment="1" applyProtection="1">
      <alignment horizontal="center" vertical="center" wrapText="1"/>
      <protection/>
    </xf>
    <xf numFmtId="0" fontId="17" fillId="0" borderId="8" xfId="28" applyFont="1" applyFill="1" applyBorder="1" applyAlignment="1" applyProtection="1">
      <alignment horizontal="center" vertical="center" wrapText="1"/>
      <protection/>
    </xf>
    <xf numFmtId="0" fontId="23" fillId="2" borderId="48" xfId="28" applyFont="1" applyFill="1" applyBorder="1" applyAlignment="1" applyProtection="1">
      <alignment horizontal="centerContinuous" vertical="center" wrapText="1"/>
      <protection/>
    </xf>
    <xf numFmtId="0" fontId="17" fillId="0" borderId="8" xfId="28" applyFont="1" applyFill="1" applyBorder="1" applyAlignment="1">
      <alignment horizontal="center" vertical="center" wrapText="1"/>
      <protection/>
    </xf>
    <xf numFmtId="0" fontId="17" fillId="17" borderId="8" xfId="28" applyFont="1" applyFill="1" applyBorder="1" applyAlignment="1">
      <alignment horizontal="center" vertical="center" wrapText="1"/>
      <protection/>
    </xf>
    <xf numFmtId="0" fontId="6" fillId="0" borderId="10" xfId="28" applyFont="1" applyBorder="1">
      <alignment/>
      <protection/>
    </xf>
    <xf numFmtId="0" fontId="6" fillId="0" borderId="10" xfId="28" applyFont="1" applyBorder="1" applyAlignment="1">
      <alignment horizontal="center"/>
      <protection/>
    </xf>
    <xf numFmtId="0" fontId="73" fillId="19" borderId="10" xfId="28" applyFont="1" applyFill="1" applyBorder="1">
      <alignment/>
      <protection/>
    </xf>
    <xf numFmtId="0" fontId="74" fillId="5" borderId="10" xfId="28" applyFont="1" applyFill="1" applyBorder="1">
      <alignment/>
      <protection/>
    </xf>
    <xf numFmtId="0" fontId="6" fillId="0" borderId="10" xfId="28" applyFont="1" applyFill="1" applyBorder="1">
      <alignment/>
      <protection/>
    </xf>
    <xf numFmtId="0" fontId="6" fillId="20" borderId="10" xfId="28" applyFont="1" applyFill="1" applyBorder="1">
      <alignment/>
      <protection/>
    </xf>
    <xf numFmtId="0" fontId="6" fillId="2" borderId="20" xfId="28" applyFont="1" applyFill="1" applyBorder="1">
      <alignment/>
      <protection/>
    </xf>
    <xf numFmtId="0" fontId="6" fillId="2" borderId="49" xfId="28" applyFont="1" applyFill="1" applyBorder="1">
      <alignment/>
      <protection/>
    </xf>
    <xf numFmtId="0" fontId="6" fillId="2" borderId="29" xfId="28" applyFont="1" applyFill="1" applyBorder="1">
      <alignment/>
      <protection/>
    </xf>
    <xf numFmtId="7" fontId="34" fillId="0" borderId="10" xfId="28" applyNumberFormat="1" applyFont="1" applyFill="1" applyBorder="1" applyAlignment="1">
      <alignment/>
      <protection/>
    </xf>
    <xf numFmtId="7" fontId="34" fillId="0" borderId="0" xfId="28" applyNumberFormat="1" applyFont="1" applyBorder="1" applyAlignment="1">
      <alignment/>
      <protection/>
    </xf>
    <xf numFmtId="7" fontId="34" fillId="0" borderId="0" xfId="28" applyNumberFormat="1" applyFont="1" applyFill="1" applyBorder="1" applyAlignment="1">
      <alignment/>
      <protection/>
    </xf>
    <xf numFmtId="7" fontId="34" fillId="0" borderId="42" xfId="28" applyNumberFormat="1" applyFont="1" applyFill="1" applyBorder="1" applyAlignment="1">
      <alignment/>
      <protection/>
    </xf>
    <xf numFmtId="7" fontId="34" fillId="17" borderId="0" xfId="28" applyNumberFormat="1" applyFont="1" applyFill="1" applyBorder="1" applyAlignment="1">
      <alignment/>
      <protection/>
    </xf>
    <xf numFmtId="0" fontId="6" fillId="15" borderId="35" xfId="28" applyFont="1" applyFill="1" applyBorder="1">
      <alignment/>
      <protection/>
    </xf>
    <xf numFmtId="0" fontId="6" fillId="0" borderId="26" xfId="28" applyFont="1" applyBorder="1">
      <alignment/>
      <protection/>
    </xf>
    <xf numFmtId="0" fontId="6" fillId="0" borderId="50" xfId="28" applyFont="1" applyBorder="1">
      <alignment/>
      <protection/>
    </xf>
    <xf numFmtId="0" fontId="6" fillId="0" borderId="26" xfId="28" applyFont="1" applyFill="1" applyBorder="1">
      <alignment/>
      <protection/>
    </xf>
    <xf numFmtId="0" fontId="34" fillId="0" borderId="50" xfId="28" applyFont="1" applyFill="1" applyBorder="1">
      <alignment/>
      <protection/>
    </xf>
    <xf numFmtId="0" fontId="34" fillId="0" borderId="51" xfId="28" applyFont="1" applyFill="1" applyBorder="1">
      <alignment/>
      <protection/>
    </xf>
    <xf numFmtId="0" fontId="34" fillId="0" borderId="50" xfId="28" applyFont="1" applyBorder="1">
      <alignment/>
      <protection/>
    </xf>
    <xf numFmtId="0" fontId="6" fillId="0" borderId="52" xfId="28" applyFont="1" applyFill="1" applyBorder="1" applyAlignment="1">
      <alignment horizontal="center"/>
      <protection/>
    </xf>
    <xf numFmtId="4" fontId="6" fillId="0" borderId="52" xfId="28" applyNumberFormat="1" applyFont="1" applyFill="1" applyBorder="1" applyAlignment="1" applyProtection="1" quotePrefix="1">
      <alignment horizontal="center"/>
      <protection/>
    </xf>
    <xf numFmtId="168" fontId="6" fillId="0" borderId="52" xfId="28" applyNumberFormat="1" applyFont="1" applyFill="1" applyBorder="1" applyAlignment="1" applyProtection="1" quotePrefix="1">
      <alignment horizontal="center"/>
      <protection/>
    </xf>
    <xf numFmtId="176" fontId="6" fillId="0" borderId="52" xfId="28" applyNumberFormat="1" applyFont="1" applyFill="1" applyBorder="1" applyAlignment="1" applyProtection="1" quotePrefix="1">
      <alignment horizontal="center"/>
      <protection/>
    </xf>
    <xf numFmtId="171" fontId="6" fillId="0" borderId="52" xfId="28" applyNumberFormat="1" applyFont="1" applyFill="1" applyBorder="1" applyAlignment="1" applyProtection="1">
      <alignment horizontal="center"/>
      <protection/>
    </xf>
    <xf numFmtId="4" fontId="34" fillId="0" borderId="52" xfId="28" applyNumberFormat="1" applyFont="1" applyFill="1" applyBorder="1" applyAlignment="1">
      <alignment horizontal="right"/>
      <protection/>
    </xf>
    <xf numFmtId="4" fontId="7" fillId="0" borderId="52" xfId="28" applyNumberFormat="1" applyFont="1" applyFill="1" applyBorder="1" applyAlignment="1" applyProtection="1">
      <alignment horizontal="center"/>
      <protection/>
    </xf>
    <xf numFmtId="178" fontId="34" fillId="0" borderId="52" xfId="28" applyNumberFormat="1" applyFont="1" applyFill="1" applyBorder="1" applyAlignment="1">
      <alignment horizontal="center"/>
      <protection/>
    </xf>
    <xf numFmtId="0" fontId="6" fillId="0" borderId="12" xfId="28" applyFont="1" applyFill="1" applyBorder="1" applyAlignment="1">
      <alignment horizontal="center"/>
      <protection/>
    </xf>
    <xf numFmtId="4" fontId="6" fillId="0" borderId="12" xfId="28" applyNumberFormat="1" applyFont="1" applyFill="1" applyBorder="1" applyAlignment="1" applyProtection="1" quotePrefix="1">
      <alignment horizontal="center"/>
      <protection/>
    </xf>
    <xf numFmtId="168" fontId="6" fillId="0" borderId="12" xfId="28" applyNumberFormat="1" applyFont="1" applyFill="1" applyBorder="1" applyAlignment="1" applyProtection="1" quotePrefix="1">
      <alignment horizontal="center"/>
      <protection/>
    </xf>
    <xf numFmtId="176" fontId="6" fillId="0" borderId="12" xfId="28" applyNumberFormat="1" applyFont="1" applyFill="1" applyBorder="1" applyAlignment="1" applyProtection="1" quotePrefix="1">
      <alignment horizontal="center"/>
      <protection/>
    </xf>
    <xf numFmtId="171" fontId="6" fillId="0" borderId="12" xfId="28" applyNumberFormat="1" applyFont="1" applyFill="1" applyBorder="1" applyAlignment="1" applyProtection="1">
      <alignment horizontal="center"/>
      <protection/>
    </xf>
    <xf numFmtId="4" fontId="34" fillId="0" borderId="12" xfId="28" applyNumberFormat="1" applyFont="1" applyFill="1" applyBorder="1" applyAlignment="1">
      <alignment horizontal="right"/>
      <protection/>
    </xf>
    <xf numFmtId="4" fontId="7" fillId="0" borderId="12" xfId="28" applyNumberFormat="1" applyFont="1" applyFill="1" applyBorder="1" applyAlignment="1" applyProtection="1">
      <alignment horizontal="center"/>
      <protection/>
    </xf>
    <xf numFmtId="3" fontId="34" fillId="0" borderId="12" xfId="28" applyNumberFormat="1" applyFont="1" applyFill="1" applyBorder="1" applyAlignment="1">
      <alignment horizontal="right"/>
      <protection/>
    </xf>
    <xf numFmtId="0" fontId="6" fillId="0" borderId="53" xfId="28" applyFont="1" applyFill="1" applyBorder="1" applyAlignment="1">
      <alignment horizontal="center"/>
      <protection/>
    </xf>
    <xf numFmtId="4" fontId="6" fillId="0" borderId="53" xfId="28" applyNumberFormat="1" applyFont="1" applyFill="1" applyBorder="1" applyAlignment="1" applyProtection="1" quotePrefix="1">
      <alignment horizontal="center"/>
      <protection/>
    </xf>
    <xf numFmtId="168" fontId="6" fillId="0" borderId="53" xfId="28" applyNumberFormat="1" applyFont="1" applyFill="1" applyBorder="1" applyAlignment="1" applyProtection="1" quotePrefix="1">
      <alignment horizontal="center"/>
      <protection/>
    </xf>
    <xf numFmtId="176" fontId="6" fillId="0" borderId="53" xfId="28" applyNumberFormat="1" applyFont="1" applyFill="1" applyBorder="1" applyAlignment="1" applyProtection="1" quotePrefix="1">
      <alignment horizontal="center"/>
      <protection/>
    </xf>
    <xf numFmtId="171" fontId="6" fillId="0" borderId="53" xfId="28" applyNumberFormat="1" applyFont="1" applyFill="1" applyBorder="1" applyAlignment="1" applyProtection="1">
      <alignment horizontal="center"/>
      <protection/>
    </xf>
    <xf numFmtId="4" fontId="34" fillId="0" borderId="53" xfId="28" applyNumberFormat="1" applyFont="1" applyFill="1" applyBorder="1" applyAlignment="1">
      <alignment horizontal="right"/>
      <protection/>
    </xf>
    <xf numFmtId="4" fontId="7" fillId="0" borderId="53" xfId="28" applyNumberFormat="1" applyFont="1" applyFill="1" applyBorder="1" applyAlignment="1" applyProtection="1">
      <alignment horizontal="center"/>
      <protection/>
    </xf>
    <xf numFmtId="3" fontId="34" fillId="0" borderId="53" xfId="28" applyNumberFormat="1" applyFont="1" applyFill="1" applyBorder="1" applyAlignment="1">
      <alignment horizontal="right"/>
      <protection/>
    </xf>
    <xf numFmtId="178" fontId="34" fillId="0" borderId="53" xfId="28" applyNumberFormat="1" applyFont="1" applyFill="1" applyBorder="1" applyAlignment="1">
      <alignment horizontal="center"/>
      <protection/>
    </xf>
    <xf numFmtId="0" fontId="6" fillId="15" borderId="13" xfId="28" applyFont="1" applyFill="1" applyBorder="1">
      <alignment/>
      <protection/>
    </xf>
    <xf numFmtId="0" fontId="6" fillId="0" borderId="13" xfId="28" applyFont="1" applyBorder="1" applyAlignment="1">
      <alignment horizontal="center"/>
      <protection/>
    </xf>
    <xf numFmtId="0" fontId="6" fillId="0" borderId="54" xfId="28" applyFont="1" applyBorder="1" applyAlignment="1">
      <alignment horizontal="center"/>
      <protection/>
    </xf>
    <xf numFmtId="171" fontId="6" fillId="0" borderId="13" xfId="28" applyNumberFormat="1" applyFont="1" applyFill="1" applyBorder="1" applyAlignment="1" applyProtection="1">
      <alignment horizontal="center"/>
      <protection/>
    </xf>
    <xf numFmtId="176" fontId="6" fillId="0" borderId="13" xfId="28" applyNumberFormat="1" applyFont="1" applyFill="1" applyBorder="1" applyAlignment="1" applyProtection="1" quotePrefix="1">
      <alignment horizontal="center"/>
      <protection/>
    </xf>
    <xf numFmtId="2" fontId="34" fillId="0" borderId="13" xfId="28" applyNumberFormat="1" applyFont="1" applyFill="1" applyBorder="1" applyAlignment="1">
      <alignment horizontal="right"/>
      <protection/>
    </xf>
    <xf numFmtId="0" fontId="34" fillId="0" borderId="13" xfId="28" applyFont="1" applyFill="1" applyBorder="1">
      <alignment/>
      <protection/>
    </xf>
    <xf numFmtId="178" fontId="34" fillId="0" borderId="13" xfId="28" applyNumberFormat="1" applyFont="1" applyFill="1" applyBorder="1" applyAlignment="1">
      <alignment horizontal="center"/>
      <protection/>
    </xf>
    <xf numFmtId="0" fontId="34" fillId="0" borderId="26" xfId="28" applyFont="1" applyBorder="1">
      <alignment/>
      <protection/>
    </xf>
    <xf numFmtId="0" fontId="36" fillId="0" borderId="15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/>
      <protection/>
    </xf>
    <xf numFmtId="168" fontId="7" fillId="0" borderId="0" xfId="28" applyNumberFormat="1" applyFont="1" applyBorder="1" applyAlignment="1" applyProtection="1">
      <alignment horizontal="center"/>
      <protection/>
    </xf>
    <xf numFmtId="169" fontId="6" fillId="0" borderId="0" xfId="28" applyNumberFormat="1" applyFont="1" applyBorder="1" applyAlignment="1" applyProtection="1">
      <alignment horizontal="center"/>
      <protection/>
    </xf>
    <xf numFmtId="171" fontId="6" fillId="0" borderId="0" xfId="28" applyNumberFormat="1" applyFont="1" applyBorder="1" applyAlignment="1" applyProtection="1">
      <alignment horizontal="center"/>
      <protection/>
    </xf>
    <xf numFmtId="171" fontId="6" fillId="0" borderId="0" xfId="28" applyNumberFormat="1" applyFont="1" applyFill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 quotePrefix="1">
      <alignment horizontal="center"/>
      <protection/>
    </xf>
    <xf numFmtId="2" fontId="31" fillId="2" borderId="13" xfId="28" applyNumberFormat="1" applyFont="1" applyFill="1" applyBorder="1" applyAlignment="1" applyProtection="1">
      <alignment horizontal="center"/>
      <protection/>
    </xf>
    <xf numFmtId="7" fontId="2" fillId="0" borderId="0" xfId="28" applyNumberFormat="1" applyFont="1" applyFill="1" applyBorder="1" applyAlignment="1" applyProtection="1">
      <alignment horizontal="right"/>
      <protection/>
    </xf>
    <xf numFmtId="2" fontId="76" fillId="0" borderId="0" xfId="28" applyNumberFormat="1" applyFont="1" applyBorder="1" applyAlignment="1" applyProtection="1">
      <alignment horizontal="center"/>
      <protection/>
    </xf>
    <xf numFmtId="7" fontId="2" fillId="0" borderId="33" xfId="28" applyNumberFormat="1" applyFont="1" applyFill="1" applyBorder="1" applyAlignment="1" applyProtection="1">
      <alignment horizontal="right"/>
      <protection/>
    </xf>
    <xf numFmtId="0" fontId="1" fillId="0" borderId="0" xfId="28" applyBorder="1">
      <alignment/>
      <protection/>
    </xf>
    <xf numFmtId="0" fontId="1" fillId="0" borderId="0" xfId="28">
      <alignment/>
      <protection/>
    </xf>
    <xf numFmtId="0" fontId="1" fillId="0" borderId="0" xfId="28" applyFont="1" applyFill="1">
      <alignment/>
      <protection/>
    </xf>
    <xf numFmtId="0" fontId="1" fillId="0" borderId="0" xfId="28" applyFill="1">
      <alignment/>
      <protection/>
    </xf>
    <xf numFmtId="0" fontId="49" fillId="0" borderId="0" xfId="28" applyFont="1" applyAlignment="1">
      <alignment horizontal="right" vertical="top"/>
      <protection/>
    </xf>
    <xf numFmtId="0" fontId="6" fillId="0" borderId="3" xfId="28" applyFont="1" applyBorder="1">
      <alignment/>
      <protection/>
    </xf>
    <xf numFmtId="0" fontId="6" fillId="0" borderId="4" xfId="28" applyFont="1" applyBorder="1">
      <alignment/>
      <protection/>
    </xf>
    <xf numFmtId="0" fontId="6" fillId="0" borderId="4" xfId="28" applyFont="1" applyBorder="1" applyAlignment="1" applyProtection="1">
      <alignment horizontal="left"/>
      <protection/>
    </xf>
    <xf numFmtId="0" fontId="6" fillId="0" borderId="4" xfId="28" applyFont="1" applyFill="1" applyBorder="1">
      <alignment/>
      <protection/>
    </xf>
    <xf numFmtId="0" fontId="6" fillId="0" borderId="5" xfId="28" applyFont="1" applyFill="1" applyBorder="1">
      <alignment/>
      <protection/>
    </xf>
    <xf numFmtId="0" fontId="15" fillId="0" borderId="1" xfId="28" applyFont="1" applyBorder="1">
      <alignment/>
      <protection/>
    </xf>
    <xf numFmtId="0" fontId="15" fillId="0" borderId="0" xfId="28" applyFont="1" applyFill="1">
      <alignment/>
      <protection/>
    </xf>
    <xf numFmtId="0" fontId="15" fillId="0" borderId="2" xfId="28" applyFont="1" applyFill="1" applyBorder="1">
      <alignment/>
      <protection/>
    </xf>
    <xf numFmtId="0" fontId="6" fillId="0" borderId="1" xfId="28" applyFont="1" applyBorder="1">
      <alignment/>
      <protection/>
    </xf>
    <xf numFmtId="0" fontId="6" fillId="0" borderId="2" xfId="28" applyFont="1" applyFill="1" applyBorder="1">
      <alignment/>
      <protection/>
    </xf>
    <xf numFmtId="0" fontId="13" fillId="0" borderId="1" xfId="22" applyFont="1" applyBorder="1" applyAlignment="1">
      <alignment horizontal="centerContinuous"/>
      <protection/>
    </xf>
    <xf numFmtId="0" fontId="13" fillId="0" borderId="0" xfId="28" applyFont="1" applyAlignment="1">
      <alignment horizontal="centerContinuous"/>
      <protection/>
    </xf>
    <xf numFmtId="0" fontId="13" fillId="0" borderId="2" xfId="28" applyFont="1" applyFill="1" applyBorder="1" applyAlignment="1">
      <alignment horizontal="centerContinuous"/>
      <protection/>
    </xf>
    <xf numFmtId="174" fontId="34" fillId="0" borderId="6" xfId="21" applyNumberFormat="1" applyFont="1" applyBorder="1" applyAlignment="1" applyProtection="1">
      <alignment horizontal="centerContinuous"/>
      <protection locked="0"/>
    </xf>
    <xf numFmtId="0" fontId="1" fillId="0" borderId="7" xfId="28" applyBorder="1" applyAlignment="1">
      <alignment horizontal="centerContinuous"/>
      <protection/>
    </xf>
    <xf numFmtId="0" fontId="3" fillId="0" borderId="2" xfId="28" applyFont="1" applyFill="1" applyBorder="1">
      <alignment/>
      <protection/>
    </xf>
    <xf numFmtId="0" fontId="17" fillId="0" borderId="8" xfId="28" applyFont="1" applyBorder="1" applyAlignment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/>
      <protection/>
    </xf>
    <xf numFmtId="171" fontId="17" fillId="0" borderId="8" xfId="28" applyNumberFormat="1" applyFont="1" applyBorder="1" applyAlignment="1" applyProtection="1">
      <alignment horizontal="center" vertical="center"/>
      <protection/>
    </xf>
    <xf numFmtId="171" fontId="22" fillId="19" borderId="8" xfId="28" applyNumberFormat="1" applyFont="1" applyFill="1" applyBorder="1" applyAlignment="1" applyProtection="1">
      <alignment horizontal="center" vertical="center"/>
      <protection/>
    </xf>
    <xf numFmtId="0" fontId="26" fillId="5" borderId="8" xfId="28" applyFont="1" applyFill="1" applyBorder="1" applyAlignment="1" applyProtection="1">
      <alignment horizontal="center" vertical="center"/>
      <protection/>
    </xf>
    <xf numFmtId="0" fontId="17" fillId="0" borderId="6" xfId="28" applyFont="1" applyBorder="1" applyAlignment="1" applyProtection="1">
      <alignment horizontal="center" vertical="center"/>
      <protection/>
    </xf>
    <xf numFmtId="0" fontId="24" fillId="2" borderId="44" xfId="28" applyFont="1" applyFill="1" applyBorder="1" applyAlignment="1">
      <alignment horizontal="centerContinuous"/>
      <protection/>
    </xf>
    <xf numFmtId="0" fontId="23" fillId="2" borderId="54" xfId="28" applyFont="1" applyFill="1" applyBorder="1" applyAlignment="1">
      <alignment horizontal="centerContinuous" vertical="center"/>
      <protection/>
    </xf>
    <xf numFmtId="0" fontId="6" fillId="0" borderId="2" xfId="28" applyFont="1" applyFill="1" applyBorder="1" applyAlignment="1">
      <alignment horizontal="center"/>
      <protection/>
    </xf>
    <xf numFmtId="0" fontId="6" fillId="0" borderId="26" xfId="28" applyFont="1" applyFill="1" applyBorder="1" applyProtection="1">
      <alignment/>
      <protection locked="0"/>
    </xf>
    <xf numFmtId="0" fontId="6" fillId="0" borderId="26" xfId="28" applyFont="1" applyFill="1" applyBorder="1" applyAlignment="1" applyProtection="1">
      <alignment horizontal="center"/>
      <protection locked="0"/>
    </xf>
    <xf numFmtId="0" fontId="73" fillId="0" borderId="26" xfId="28" applyFont="1" applyFill="1" applyBorder="1" applyProtection="1">
      <alignment/>
      <protection locked="0"/>
    </xf>
    <xf numFmtId="0" fontId="74" fillId="0" borderId="26" xfId="28" applyFont="1" applyFill="1" applyBorder="1" applyProtection="1">
      <alignment/>
      <protection locked="0"/>
    </xf>
    <xf numFmtId="22" fontId="6" fillId="0" borderId="50" xfId="28" applyNumberFormat="1" applyFont="1" applyFill="1" applyBorder="1" applyAlignment="1" applyProtection="1">
      <alignment horizontal="center"/>
      <protection locked="0"/>
    </xf>
    <xf numFmtId="0" fontId="6" fillId="0" borderId="0" xfId="28" applyFont="1" applyFill="1" applyBorder="1" applyProtection="1">
      <alignment/>
      <protection locked="0"/>
    </xf>
    <xf numFmtId="0" fontId="6" fillId="0" borderId="50" xfId="28" applyFont="1" applyFill="1" applyBorder="1" applyProtection="1">
      <alignment/>
      <protection locked="0"/>
    </xf>
    <xf numFmtId="171" fontId="7" fillId="0" borderId="53" xfId="28" applyNumberFormat="1" applyFont="1" applyFill="1" applyBorder="1" applyAlignment="1" applyProtection="1" quotePrefix="1">
      <alignment horizontal="center"/>
      <protection/>
    </xf>
    <xf numFmtId="0" fontId="34" fillId="0" borderId="50" xfId="28" applyFont="1" applyFill="1" applyBorder="1" applyProtection="1">
      <alignment/>
      <protection locked="0"/>
    </xf>
    <xf numFmtId="0" fontId="6" fillId="0" borderId="1" xfId="28" applyFont="1" applyFill="1" applyBorder="1">
      <alignment/>
      <protection/>
    </xf>
    <xf numFmtId="0" fontId="6" fillId="0" borderId="52" xfId="29" applyFont="1" applyBorder="1" applyAlignment="1" applyProtection="1">
      <alignment horizontal="center"/>
      <protection locked="0"/>
    </xf>
    <xf numFmtId="0" fontId="6" fillId="0" borderId="12" xfId="21" applyFont="1" applyFill="1" applyBorder="1" applyAlignment="1" applyProtection="1">
      <alignment horizontal="center"/>
      <protection locked="0"/>
    </xf>
    <xf numFmtId="0" fontId="73" fillId="0" borderId="52" xfId="28" applyFont="1" applyFill="1" applyBorder="1" applyProtection="1">
      <alignment/>
      <protection locked="0"/>
    </xf>
    <xf numFmtId="0" fontId="74" fillId="0" borderId="52" xfId="28" applyFont="1" applyFill="1" applyBorder="1" applyProtection="1">
      <alignment/>
      <protection locked="0"/>
    </xf>
    <xf numFmtId="171" fontId="6" fillId="0" borderId="55" xfId="28" applyNumberFormat="1" applyFont="1" applyFill="1" applyBorder="1" applyAlignment="1" applyProtection="1">
      <alignment horizontal="center"/>
      <protection locked="0"/>
    </xf>
    <xf numFmtId="171" fontId="7" fillId="0" borderId="52" xfId="28" applyNumberFormat="1" applyFont="1" applyFill="1" applyBorder="1" applyAlignment="1" applyProtection="1" quotePrefix="1">
      <alignment horizontal="center"/>
      <protection/>
    </xf>
    <xf numFmtId="4" fontId="34" fillId="0" borderId="55" xfId="28" applyNumberFormat="1" applyFont="1" applyFill="1" applyBorder="1" applyAlignment="1">
      <alignment horizontal="right"/>
      <protection/>
    </xf>
    <xf numFmtId="4" fontId="6" fillId="0" borderId="52" xfId="28" applyNumberFormat="1" applyFont="1" applyFill="1" applyBorder="1" applyAlignment="1" applyProtection="1">
      <alignment horizontal="center"/>
      <protection/>
    </xf>
    <xf numFmtId="179" fontId="34" fillId="0" borderId="55" xfId="28" applyNumberFormat="1" applyFont="1" applyFill="1" applyBorder="1" applyAlignment="1" applyProtection="1">
      <alignment horizontal="right"/>
      <protection locked="0"/>
    </xf>
    <xf numFmtId="3" fontId="34" fillId="0" borderId="56" xfId="28" applyNumberFormat="1" applyFont="1" applyFill="1" applyBorder="1" applyAlignment="1">
      <alignment horizontal="right"/>
      <protection/>
    </xf>
    <xf numFmtId="4" fontId="34" fillId="0" borderId="57" xfId="28" applyNumberFormat="1" applyFont="1" applyFill="1" applyBorder="1" applyAlignment="1" applyProtection="1">
      <alignment horizontal="center"/>
      <protection locked="0"/>
    </xf>
    <xf numFmtId="178" fontId="34" fillId="0" borderId="57" xfId="28" applyNumberFormat="1" applyFont="1" applyFill="1" applyBorder="1" applyAlignment="1">
      <alignment horizontal="center"/>
      <protection/>
    </xf>
    <xf numFmtId="4" fontId="34" fillId="0" borderId="56" xfId="28" applyNumberFormat="1" applyFont="1" applyFill="1" applyBorder="1" applyAlignment="1">
      <alignment horizontal="right"/>
      <protection/>
    </xf>
    <xf numFmtId="4" fontId="34" fillId="0" borderId="58" xfId="28" applyNumberFormat="1" applyFont="1" applyFill="1" applyBorder="1" applyAlignment="1">
      <alignment horizontal="right"/>
      <protection/>
    </xf>
    <xf numFmtId="4" fontId="75" fillId="0" borderId="55" xfId="28" applyNumberFormat="1" applyFont="1" applyFill="1" applyBorder="1" applyAlignment="1">
      <alignment horizontal="right"/>
      <protection/>
    </xf>
    <xf numFmtId="180" fontId="75" fillId="0" borderId="55" xfId="28" applyNumberFormat="1" applyFont="1" applyFill="1" applyBorder="1" applyAlignment="1">
      <alignment horizontal="right"/>
      <protection/>
    </xf>
    <xf numFmtId="2" fontId="6" fillId="0" borderId="2" xfId="28" applyNumberFormat="1" applyFont="1" applyFill="1" applyBorder="1" applyAlignment="1">
      <alignment horizontal="center"/>
      <protection/>
    </xf>
    <xf numFmtId="0" fontId="6" fillId="0" borderId="59" xfId="28" applyFont="1" applyFill="1" applyBorder="1" applyAlignment="1">
      <alignment horizontal="center"/>
      <protection/>
    </xf>
    <xf numFmtId="168" fontId="6" fillId="0" borderId="12" xfId="21" applyNumberFormat="1" applyFont="1" applyFill="1" applyBorder="1" applyAlignment="1" applyProtection="1">
      <alignment horizontal="center"/>
      <protection locked="0"/>
    </xf>
    <xf numFmtId="169" fontId="6" fillId="0" borderId="12" xfId="21" applyNumberFormat="1" applyFont="1" applyFill="1" applyBorder="1" applyAlignment="1" applyProtection="1">
      <alignment horizontal="center"/>
      <protection locked="0"/>
    </xf>
    <xf numFmtId="0" fontId="73" fillId="0" borderId="12" xfId="28" applyFont="1" applyFill="1" applyBorder="1" applyProtection="1">
      <alignment/>
      <protection locked="0"/>
    </xf>
    <xf numFmtId="22" fontId="6" fillId="0" borderId="12" xfId="21" applyNumberFormat="1" applyFont="1" applyFill="1" applyBorder="1" applyAlignment="1" applyProtection="1">
      <alignment horizontal="center"/>
      <protection locked="0"/>
    </xf>
    <xf numFmtId="171" fontId="6" fillId="0" borderId="12" xfId="28" applyNumberFormat="1" applyFont="1" applyFill="1" applyBorder="1" applyAlignment="1" applyProtection="1">
      <alignment horizontal="center"/>
      <protection locked="0"/>
    </xf>
    <xf numFmtId="171" fontId="7" fillId="0" borderId="12" xfId="28" applyNumberFormat="1" applyFont="1" applyFill="1" applyBorder="1" applyAlignment="1" applyProtection="1" quotePrefix="1">
      <alignment horizontal="center"/>
      <protection/>
    </xf>
    <xf numFmtId="179" fontId="34" fillId="0" borderId="12" xfId="28" applyNumberFormat="1" applyFont="1" applyFill="1" applyBorder="1" applyAlignment="1" applyProtection="1">
      <alignment horizontal="right"/>
      <protection locked="0"/>
    </xf>
    <xf numFmtId="3" fontId="34" fillId="0" borderId="59" xfId="28" applyNumberFormat="1" applyFont="1" applyFill="1" applyBorder="1" applyAlignment="1">
      <alignment horizontal="right"/>
      <protection/>
    </xf>
    <xf numFmtId="4" fontId="34" fillId="0" borderId="12" xfId="28" applyNumberFormat="1" applyFont="1" applyFill="1" applyBorder="1" applyAlignment="1" applyProtection="1">
      <alignment horizontal="center"/>
      <protection locked="0"/>
    </xf>
    <xf numFmtId="178" fontId="34" fillId="0" borderId="24" xfId="28" applyNumberFormat="1" applyFont="1" applyFill="1" applyBorder="1" applyAlignment="1">
      <alignment horizontal="center"/>
      <protection/>
    </xf>
    <xf numFmtId="4" fontId="34" fillId="0" borderId="59" xfId="28" applyNumberFormat="1" applyFont="1" applyFill="1" applyBorder="1" applyAlignment="1">
      <alignment horizontal="right"/>
      <protection/>
    </xf>
    <xf numFmtId="180" fontId="34" fillId="0" borderId="12" xfId="28" applyNumberFormat="1" applyFont="1" applyFill="1" applyBorder="1" applyAlignment="1">
      <alignment horizontal="right"/>
      <protection/>
    </xf>
    <xf numFmtId="0" fontId="6" fillId="0" borderId="60" xfId="28" applyFont="1" applyFill="1" applyBorder="1" applyAlignment="1">
      <alignment horizontal="center"/>
      <protection/>
    </xf>
    <xf numFmtId="0" fontId="6" fillId="0" borderId="53" xfId="21" applyFont="1" applyFill="1" applyBorder="1" applyAlignment="1" applyProtection="1">
      <alignment horizontal="center"/>
      <protection locked="0"/>
    </xf>
    <xf numFmtId="168" fontId="6" fillId="0" borderId="53" xfId="21" applyNumberFormat="1" applyFont="1" applyFill="1" applyBorder="1" applyAlignment="1" applyProtection="1">
      <alignment horizontal="center"/>
      <protection locked="0"/>
    </xf>
    <xf numFmtId="169" fontId="6" fillId="0" borderId="53" xfId="21" applyNumberFormat="1" applyFont="1" applyFill="1" applyBorder="1" applyAlignment="1" applyProtection="1">
      <alignment horizontal="center"/>
      <protection locked="0"/>
    </xf>
    <xf numFmtId="0" fontId="73" fillId="0" borderId="53" xfId="28" applyFont="1" applyFill="1" applyBorder="1" applyProtection="1">
      <alignment/>
      <protection locked="0"/>
    </xf>
    <xf numFmtId="22" fontId="6" fillId="0" borderId="53" xfId="21" applyNumberFormat="1" applyFont="1" applyFill="1" applyBorder="1" applyAlignment="1" applyProtection="1">
      <alignment horizontal="center"/>
      <protection locked="0"/>
    </xf>
    <xf numFmtId="171" fontId="6" fillId="0" borderId="53" xfId="28" applyNumberFormat="1" applyFont="1" applyFill="1" applyBorder="1" applyAlignment="1" applyProtection="1">
      <alignment horizontal="center"/>
      <protection locked="0"/>
    </xf>
    <xf numFmtId="179" fontId="34" fillId="0" borderId="53" xfId="28" applyNumberFormat="1" applyFont="1" applyFill="1" applyBorder="1" applyAlignment="1" applyProtection="1">
      <alignment horizontal="right"/>
      <protection locked="0"/>
    </xf>
    <xf numFmtId="4" fontId="34" fillId="0" borderId="53" xfId="28" applyNumberFormat="1" applyFont="1" applyFill="1" applyBorder="1" applyAlignment="1" applyProtection="1">
      <alignment horizontal="center"/>
      <protection locked="0"/>
    </xf>
    <xf numFmtId="180" fontId="34" fillId="0" borderId="53" xfId="28" applyNumberFormat="1" applyFont="1" applyFill="1" applyBorder="1" applyAlignment="1">
      <alignment horizontal="right"/>
      <protection/>
    </xf>
    <xf numFmtId="0" fontId="6" fillId="0" borderId="55" xfId="28" applyFont="1" applyFill="1" applyBorder="1" applyAlignment="1">
      <alignment horizontal="center"/>
      <protection/>
    </xf>
    <xf numFmtId="0" fontId="6" fillId="0" borderId="14" xfId="25" applyFont="1" applyFill="1" applyBorder="1" applyAlignment="1" applyProtection="1">
      <alignment horizontal="center"/>
      <protection locked="0"/>
    </xf>
    <xf numFmtId="168" fontId="6" fillId="0" borderId="14" xfId="25" applyNumberFormat="1" applyFont="1" applyFill="1" applyBorder="1" applyAlignment="1" applyProtection="1">
      <alignment horizontal="center"/>
      <protection locked="0"/>
    </xf>
    <xf numFmtId="169" fontId="6" fillId="0" borderId="14" xfId="25" applyNumberFormat="1" applyFont="1" applyFill="1" applyBorder="1" applyAlignment="1" applyProtection="1">
      <alignment horizontal="center"/>
      <protection locked="0"/>
    </xf>
    <xf numFmtId="22" fontId="6" fillId="0" borderId="61" xfId="25" applyNumberFormat="1" applyFont="1" applyFill="1" applyBorder="1" applyAlignment="1" applyProtection="1">
      <alignment horizontal="center"/>
      <protection locked="0"/>
    </xf>
    <xf numFmtId="22" fontId="6" fillId="0" borderId="62" xfId="25" applyNumberFormat="1" applyFont="1" applyFill="1" applyBorder="1" applyAlignment="1" applyProtection="1">
      <alignment horizontal="center"/>
      <protection locked="0"/>
    </xf>
    <xf numFmtId="3" fontId="34" fillId="0" borderId="55" xfId="28" applyNumberFormat="1" applyFont="1" applyFill="1" applyBorder="1" applyAlignment="1">
      <alignment horizontal="right"/>
      <protection/>
    </xf>
    <xf numFmtId="4" fontId="34" fillId="0" borderId="52" xfId="28" applyNumberFormat="1" applyFont="1" applyFill="1" applyBorder="1" applyAlignment="1" applyProtection="1">
      <alignment horizontal="center"/>
      <protection locked="0"/>
    </xf>
    <xf numFmtId="22" fontId="6" fillId="0" borderId="59" xfId="21" applyNumberFormat="1" applyFont="1" applyFill="1" applyBorder="1" applyAlignment="1" applyProtection="1">
      <alignment horizontal="center"/>
      <protection locked="0"/>
    </xf>
    <xf numFmtId="22" fontId="6" fillId="0" borderId="63" xfId="21" applyNumberFormat="1" applyFont="1" applyFill="1" applyBorder="1" applyAlignment="1" applyProtection="1">
      <alignment horizontal="center"/>
      <protection locked="0"/>
    </xf>
    <xf numFmtId="171" fontId="6" fillId="0" borderId="59" xfId="28" applyNumberFormat="1" applyFont="1" applyFill="1" applyBorder="1" applyAlignment="1" applyProtection="1">
      <alignment horizontal="center"/>
      <protection locked="0"/>
    </xf>
    <xf numFmtId="179" fontId="34" fillId="0" borderId="59" xfId="28" applyNumberFormat="1" applyFont="1" applyFill="1" applyBorder="1" applyAlignment="1" applyProtection="1">
      <alignment horizontal="right"/>
      <protection locked="0"/>
    </xf>
    <xf numFmtId="4" fontId="34" fillId="0" borderId="24" xfId="28" applyNumberFormat="1" applyFont="1" applyFill="1" applyBorder="1" applyAlignment="1" applyProtection="1">
      <alignment horizontal="center"/>
      <protection locked="0"/>
    </xf>
    <xf numFmtId="4" fontId="34" fillId="0" borderId="64" xfId="28" applyNumberFormat="1" applyFont="1" applyFill="1" applyBorder="1" applyAlignment="1">
      <alignment horizontal="right"/>
      <protection/>
    </xf>
    <xf numFmtId="4" fontId="34" fillId="0" borderId="24" xfId="28" applyNumberFormat="1" applyFont="1" applyFill="1" applyBorder="1" applyAlignment="1">
      <alignment horizontal="right"/>
      <protection/>
    </xf>
    <xf numFmtId="180" fontId="34" fillId="0" borderId="59" xfId="28" applyNumberFormat="1" applyFont="1" applyFill="1" applyBorder="1" applyAlignment="1">
      <alignment horizontal="right"/>
      <protection/>
    </xf>
    <xf numFmtId="4" fontId="34" fillId="0" borderId="11" xfId="28" applyNumberFormat="1" applyFont="1" applyFill="1" applyBorder="1" applyAlignment="1">
      <alignment horizontal="right"/>
      <protection/>
    </xf>
    <xf numFmtId="4" fontId="34" fillId="0" borderId="60" xfId="28" applyNumberFormat="1" applyFont="1" applyFill="1" applyBorder="1" applyAlignment="1">
      <alignment horizontal="right"/>
      <protection/>
    </xf>
    <xf numFmtId="0" fontId="6" fillId="0" borderId="13" xfId="28" applyFont="1" applyFill="1" applyBorder="1" applyAlignment="1" applyProtection="1">
      <alignment horizontal="center"/>
      <protection locked="0"/>
    </xf>
    <xf numFmtId="168" fontId="7" fillId="0" borderId="13" xfId="28" applyNumberFormat="1" applyFont="1" applyFill="1" applyBorder="1" applyAlignment="1" applyProtection="1">
      <alignment horizontal="center"/>
      <protection locked="0"/>
    </xf>
    <xf numFmtId="169" fontId="6" fillId="0" borderId="13" xfId="28" applyNumberFormat="1" applyFont="1" applyFill="1" applyBorder="1" applyAlignment="1" applyProtection="1">
      <alignment horizontal="center"/>
      <protection locked="0"/>
    </xf>
    <xf numFmtId="0" fontId="73" fillId="0" borderId="13" xfId="28" applyFont="1" applyFill="1" applyBorder="1" applyAlignment="1" applyProtection="1">
      <alignment horizontal="center"/>
      <protection locked="0"/>
    </xf>
    <xf numFmtId="174" fontId="74" fillId="0" borderId="13" xfId="28" applyNumberFormat="1" applyFont="1" applyFill="1" applyBorder="1" applyAlignment="1" applyProtection="1">
      <alignment horizontal="center"/>
      <protection locked="0"/>
    </xf>
    <xf numFmtId="171" fontId="6" fillId="0" borderId="13" xfId="28" applyNumberFormat="1" applyFont="1" applyFill="1" applyBorder="1" applyAlignment="1" applyProtection="1">
      <alignment horizontal="center"/>
      <protection locked="0"/>
    </xf>
    <xf numFmtId="171" fontId="31" fillId="0" borderId="32" xfId="28" applyNumberFormat="1" applyFont="1" applyFill="1" applyBorder="1" applyAlignment="1" applyProtection="1" quotePrefix="1">
      <alignment horizontal="center"/>
      <protection/>
    </xf>
    <xf numFmtId="4" fontId="31" fillId="0" borderId="32" xfId="28" applyNumberFormat="1" applyFont="1" applyFill="1" applyBorder="1" applyAlignment="1" applyProtection="1">
      <alignment horizontal="center"/>
      <protection/>
    </xf>
    <xf numFmtId="4" fontId="7" fillId="0" borderId="13" xfId="28" applyNumberFormat="1" applyFont="1" applyFill="1" applyBorder="1" applyAlignment="1" applyProtection="1">
      <alignment horizontal="center"/>
      <protection/>
    </xf>
    <xf numFmtId="0" fontId="34" fillId="0" borderId="13" xfId="28" applyFont="1" applyFill="1" applyBorder="1" applyProtection="1">
      <alignment/>
      <protection locked="0"/>
    </xf>
    <xf numFmtId="0" fontId="34" fillId="0" borderId="13" xfId="28" applyFont="1" applyFill="1" applyBorder="1" applyAlignment="1" applyProtection="1">
      <alignment horizontal="center"/>
      <protection locked="0"/>
    </xf>
    <xf numFmtId="4" fontId="34" fillId="0" borderId="13" xfId="28" applyNumberFormat="1" applyFont="1" applyFill="1" applyBorder="1" applyAlignment="1">
      <alignment horizontal="right"/>
      <protection/>
    </xf>
    <xf numFmtId="171" fontId="31" fillId="0" borderId="13" xfId="28" applyNumberFormat="1" applyFont="1" applyFill="1" applyBorder="1" applyAlignment="1" applyProtection="1" quotePrefix="1">
      <alignment horizontal="center"/>
      <protection/>
    </xf>
    <xf numFmtId="4" fontId="31" fillId="0" borderId="13" xfId="28" applyNumberFormat="1" applyFont="1" applyFill="1" applyBorder="1" applyAlignment="1" applyProtection="1">
      <alignment horizontal="center"/>
      <protection/>
    </xf>
    <xf numFmtId="0" fontId="1" fillId="0" borderId="1" xfId="28" applyBorder="1">
      <alignment/>
      <protection/>
    </xf>
    <xf numFmtId="0" fontId="1" fillId="0" borderId="0" xfId="28" applyFont="1">
      <alignment/>
      <protection/>
    </xf>
    <xf numFmtId="0" fontId="1" fillId="0" borderId="2" xfId="28" applyBorder="1">
      <alignment/>
      <protection/>
    </xf>
    <xf numFmtId="0" fontId="6" fillId="0" borderId="16" xfId="28" applyFont="1" applyBorder="1">
      <alignment/>
      <protection/>
    </xf>
    <xf numFmtId="0" fontId="6" fillId="0" borderId="1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17" xfId="28" applyFont="1" applyFill="1" applyBorder="1">
      <alignment/>
      <protection/>
    </xf>
    <xf numFmtId="0" fontId="6" fillId="0" borderId="18" xfId="28" applyFont="1" applyBorder="1">
      <alignment/>
      <protection/>
    </xf>
    <xf numFmtId="0" fontId="69" fillId="0" borderId="0" xfId="28" applyFont="1">
      <alignment/>
      <protection/>
    </xf>
    <xf numFmtId="0" fontId="69" fillId="0" borderId="0" xfId="28" applyFont="1" applyFill="1">
      <alignment/>
      <protection/>
    </xf>
    <xf numFmtId="0" fontId="6" fillId="0" borderId="52" xfId="28" applyFont="1" applyFill="1" applyBorder="1" applyProtection="1">
      <alignment/>
      <protection locked="0"/>
    </xf>
    <xf numFmtId="0" fontId="6" fillId="0" borderId="12" xfId="29" applyFont="1" applyFill="1" applyBorder="1" applyAlignment="1" applyProtection="1">
      <alignment horizontal="center"/>
      <protection locked="0"/>
    </xf>
    <xf numFmtId="2" fontId="6" fillId="0" borderId="12" xfId="29" applyNumberFormat="1" applyFont="1" applyFill="1" applyBorder="1" applyAlignment="1" applyProtection="1">
      <alignment horizontal="center"/>
      <protection locked="0"/>
    </xf>
    <xf numFmtId="2" fontId="6" fillId="0" borderId="11" xfId="29" applyNumberFormat="1" applyFont="1" applyFill="1" applyBorder="1" applyAlignment="1" applyProtection="1">
      <alignment horizontal="center"/>
      <protection locked="0"/>
    </xf>
    <xf numFmtId="1" fontId="6" fillId="0" borderId="11" xfId="29" applyNumberFormat="1" applyFont="1" applyFill="1" applyBorder="1" applyAlignment="1" applyProtection="1">
      <alignment horizontal="center"/>
      <protection/>
    </xf>
    <xf numFmtId="4" fontId="6" fillId="0" borderId="24" xfId="0" applyNumberFormat="1" applyFont="1" applyFill="1" applyBorder="1" applyAlignment="1" applyProtection="1">
      <alignment horizontal="center"/>
      <protection/>
    </xf>
    <xf numFmtId="4" fontId="34" fillId="0" borderId="11" xfId="29" applyNumberFormat="1" applyFont="1" applyFill="1" applyBorder="1" applyAlignment="1">
      <alignment horizontal="right"/>
      <protection/>
    </xf>
    <xf numFmtId="0" fontId="6" fillId="0" borderId="1" xfId="29" applyFont="1" applyFill="1" applyBorder="1" applyAlignment="1">
      <alignment horizontal="center"/>
      <protection/>
    </xf>
    <xf numFmtId="2" fontId="3" fillId="0" borderId="11" xfId="29" applyNumberFormat="1" applyFont="1" applyFill="1" applyBorder="1" applyAlignment="1" applyProtection="1">
      <alignment horizontal="center"/>
      <protection locked="0"/>
    </xf>
    <xf numFmtId="171" fontId="3" fillId="0" borderId="11" xfId="29" applyNumberFormat="1" applyFont="1" applyFill="1" applyBorder="1" applyAlignment="1" applyProtection="1" quotePrefix="1">
      <alignment horizontal="center"/>
      <protection locked="0"/>
    </xf>
    <xf numFmtId="4" fontId="3" fillId="0" borderId="11" xfId="29" applyNumberFormat="1" applyFont="1" applyFill="1" applyBorder="1" applyAlignment="1" applyProtection="1">
      <alignment horizontal="center"/>
      <protection locked="0"/>
    </xf>
    <xf numFmtId="0" fontId="6" fillId="15" borderId="57" xfId="28" applyFont="1" applyFill="1" applyBorder="1" applyAlignment="1">
      <alignment horizontal="center" vertical="center" textRotation="90"/>
      <protection/>
    </xf>
    <xf numFmtId="0" fontId="6" fillId="15" borderId="26" xfId="28" applyFont="1" applyFill="1" applyBorder="1" applyAlignment="1">
      <alignment horizontal="center" vertical="center" textRotation="90"/>
      <protection/>
    </xf>
    <xf numFmtId="0" fontId="6" fillId="15" borderId="65" xfId="28" applyFont="1" applyFill="1" applyBorder="1" applyAlignment="1">
      <alignment horizontal="center" vertical="center" textRotation="90"/>
      <protection/>
    </xf>
    <xf numFmtId="0" fontId="63" fillId="0" borderId="1" xfId="27" applyFont="1" applyBorder="1" applyAlignment="1">
      <alignment horizontal="center"/>
      <protection/>
    </xf>
    <xf numFmtId="0" fontId="63" fillId="0" borderId="0" xfId="27" applyFont="1" applyBorder="1" applyAlignment="1">
      <alignment horizontal="center"/>
      <protection/>
    </xf>
    <xf numFmtId="0" fontId="63" fillId="0" borderId="2" xfId="27" applyFont="1" applyBorder="1" applyAlignment="1">
      <alignment horizontal="center"/>
      <protection/>
    </xf>
    <xf numFmtId="0" fontId="16" fillId="0" borderId="0" xfId="27" applyFont="1" applyAlignment="1">
      <alignment horizontal="center"/>
      <protection/>
    </xf>
    <xf numFmtId="0" fontId="52" fillId="0" borderId="0" xfId="27" applyFont="1" applyAlignment="1">
      <alignment horizontal="center"/>
      <protection/>
    </xf>
    <xf numFmtId="0" fontId="55" fillId="0" borderId="0" xfId="27" applyFont="1" applyAlignment="1">
      <alignment horizontal="center"/>
      <protection/>
    </xf>
    <xf numFmtId="0" fontId="52" fillId="0" borderId="0" xfId="26" applyFont="1" applyBorder="1" applyAlignment="1">
      <alignment horizontal="centerContinuous" wrapText="1"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TEMPORAL" xfId="21"/>
    <cellStyle name="Normal_a0401NER Anexo I1" xfId="22"/>
    <cellStyle name="Normal_EDN-EDS-ELP-SGE" xfId="23"/>
    <cellStyle name="Normal_F0407NER" xfId="24"/>
    <cellStyle name="Normal_info-penalizaciones-iii" xfId="25"/>
    <cellStyle name="Normal_PAFTT Anexo 28" xfId="26"/>
    <cellStyle name="Normal_T0002TBA" xfId="27"/>
    <cellStyle name="Normal_TRANS" xfId="28"/>
    <cellStyle name="Normal_TRANSBA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266700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EN17">
            <v>1</v>
          </cell>
          <cell r="EV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EM18" t="str">
            <v>XXXX</v>
          </cell>
          <cell r="EN18" t="str">
            <v>XXXX</v>
          </cell>
          <cell r="EO18" t="str">
            <v>XXXX</v>
          </cell>
          <cell r="EP18" t="str">
            <v>XXXX</v>
          </cell>
          <cell r="EQ18" t="str">
            <v>XXXX</v>
          </cell>
          <cell r="ER18" t="str">
            <v>XXXX</v>
          </cell>
          <cell r="ES18" t="str">
            <v>XXXX</v>
          </cell>
          <cell r="ET18" t="str">
            <v>XXXX</v>
          </cell>
          <cell r="EU18" t="str">
            <v>XXXX</v>
          </cell>
          <cell r="EV18" t="str">
            <v>XXXX</v>
          </cell>
          <cell r="EW18" t="str">
            <v>XXXX</v>
          </cell>
          <cell r="EX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EM20">
            <v>1</v>
          </cell>
          <cell r="EN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EO22">
            <v>1</v>
          </cell>
          <cell r="EP22">
            <v>1</v>
          </cell>
          <cell r="ET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EM23">
            <v>1</v>
          </cell>
          <cell r="ET23">
            <v>2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EX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EQ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EM29" t="str">
            <v>XXXX</v>
          </cell>
          <cell r="EN29" t="str">
            <v>XXXX</v>
          </cell>
          <cell r="EO29" t="str">
            <v>XXXX</v>
          </cell>
          <cell r="EP29" t="str">
            <v>XXXX</v>
          </cell>
          <cell r="EQ29" t="str">
            <v>XXXX</v>
          </cell>
          <cell r="ER29" t="str">
            <v>XXXX</v>
          </cell>
          <cell r="ES29" t="str">
            <v>XXXX</v>
          </cell>
          <cell r="ET29" t="str">
            <v>XXXX</v>
          </cell>
          <cell r="EU29" t="str">
            <v>XXXX</v>
          </cell>
          <cell r="EV29" t="str">
            <v>XXXX</v>
          </cell>
          <cell r="EW29" t="str">
            <v>XXXX</v>
          </cell>
          <cell r="EX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EM32">
            <v>2</v>
          </cell>
          <cell r="ET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EU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ES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EM38" t="str">
            <v>XXXX</v>
          </cell>
          <cell r="EN38" t="str">
            <v>XXXX</v>
          </cell>
          <cell r="EO38" t="str">
            <v>XXXX</v>
          </cell>
          <cell r="EP38" t="str">
            <v>XXXX</v>
          </cell>
          <cell r="EQ38" t="str">
            <v>XXXX</v>
          </cell>
          <cell r="ER38" t="str">
            <v>XXXX</v>
          </cell>
          <cell r="ES38" t="str">
            <v>XXXX</v>
          </cell>
          <cell r="ET38" t="str">
            <v>XXXX</v>
          </cell>
          <cell r="EU38" t="str">
            <v>XXXX</v>
          </cell>
          <cell r="EV38" t="str">
            <v>XXXX</v>
          </cell>
          <cell r="EW38" t="str">
            <v>XXXX</v>
          </cell>
          <cell r="EX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  <cell r="EQ39">
            <v>1</v>
          </cell>
          <cell r="ER39">
            <v>2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  <cell r="ET40">
            <v>2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EP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EV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ES44">
            <v>2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EM47" t="str">
            <v>XXXX</v>
          </cell>
          <cell r="EN47" t="str">
            <v>XXXX</v>
          </cell>
          <cell r="EO47" t="str">
            <v>XXXX</v>
          </cell>
          <cell r="EP47" t="str">
            <v>XXXX</v>
          </cell>
          <cell r="EQ47" t="str">
            <v>XXXX</v>
          </cell>
          <cell r="ER47" t="str">
            <v>XXXX</v>
          </cell>
          <cell r="ES47" t="str">
            <v>XXXX</v>
          </cell>
          <cell r="ET47" t="str">
            <v>XXXX</v>
          </cell>
          <cell r="EU47" t="str">
            <v>XXXX</v>
          </cell>
          <cell r="EV47" t="str">
            <v>XXXX</v>
          </cell>
          <cell r="EW47" t="str">
            <v>XXXX</v>
          </cell>
          <cell r="EX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ET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  <cell r="ER50">
            <v>2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43</v>
          </cell>
          <cell r="H51" t="str">
            <v>A</v>
          </cell>
          <cell r="EX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43</v>
          </cell>
          <cell r="H52" t="str">
            <v>A</v>
          </cell>
          <cell r="EV52">
            <v>1</v>
          </cell>
          <cell r="EW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EM53">
            <v>2</v>
          </cell>
          <cell r="EP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ET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EW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EO57">
            <v>1</v>
          </cell>
          <cell r="EQ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EO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EX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EM61" t="str">
            <v>XXXX</v>
          </cell>
          <cell r="EN61" t="str">
            <v>XXXX</v>
          </cell>
          <cell r="EO61" t="str">
            <v>XXXX</v>
          </cell>
          <cell r="EP61" t="str">
            <v>XXXX</v>
          </cell>
          <cell r="EQ61" t="str">
            <v>XXXX</v>
          </cell>
          <cell r="ER61" t="str">
            <v>XXXX</v>
          </cell>
          <cell r="ES61" t="str">
            <v>XXXX</v>
          </cell>
          <cell r="ET61" t="str">
            <v>XXXX</v>
          </cell>
          <cell r="EU61" t="str">
            <v>XXXX</v>
          </cell>
          <cell r="EV61" t="str">
            <v>XXXX</v>
          </cell>
          <cell r="EW61" t="str">
            <v>XXXX</v>
          </cell>
          <cell r="EX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EM64" t="str">
            <v>XXXX</v>
          </cell>
          <cell r="EN64" t="str">
            <v>XXXX</v>
          </cell>
          <cell r="EO64" t="str">
            <v>XXXX</v>
          </cell>
          <cell r="EP64" t="str">
            <v>XXXX</v>
          </cell>
          <cell r="EQ64" t="str">
            <v>XXXX</v>
          </cell>
          <cell r="ER64" t="str">
            <v>XXXX</v>
          </cell>
          <cell r="ES64" t="str">
            <v>XXXX</v>
          </cell>
          <cell r="ET64" t="str">
            <v>XXXX</v>
          </cell>
          <cell r="EU64" t="str">
            <v>XXXX</v>
          </cell>
          <cell r="EV64" t="str">
            <v>XXXX</v>
          </cell>
          <cell r="EW64" t="str">
            <v>XXXX</v>
          </cell>
          <cell r="EX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  <cell r="EM68">
            <v>1</v>
          </cell>
          <cell r="EW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EN69">
            <v>1</v>
          </cell>
          <cell r="EO69">
            <v>3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ET70">
            <v>1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EV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ET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ER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EN76">
            <v>1</v>
          </cell>
          <cell r="EO76">
            <v>2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  <cell r="EN78">
            <v>1</v>
          </cell>
          <cell r="EO78">
            <v>1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EN79">
            <v>1</v>
          </cell>
          <cell r="EO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  <cell r="EU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EQ82">
            <v>1</v>
          </cell>
          <cell r="ER82">
            <v>1</v>
          </cell>
          <cell r="ET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EM84" t="str">
            <v>XXXX</v>
          </cell>
          <cell r="EN84" t="str">
            <v>XXXX</v>
          </cell>
          <cell r="EO84" t="str">
            <v>XXXX</v>
          </cell>
          <cell r="EP84" t="str">
            <v>XXXX</v>
          </cell>
          <cell r="EQ84" t="str">
            <v>XXXX</v>
          </cell>
          <cell r="ER84" t="str">
            <v>XXXX</v>
          </cell>
          <cell r="ES84" t="str">
            <v>XXXX</v>
          </cell>
          <cell r="ET84" t="str">
            <v>XXXX</v>
          </cell>
          <cell r="EU84" t="str">
            <v>XXXX</v>
          </cell>
          <cell r="EV84" t="str">
            <v>XXXX</v>
          </cell>
          <cell r="EW84" t="str">
            <v>XXXX</v>
          </cell>
          <cell r="EX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ES87">
            <v>1</v>
          </cell>
          <cell r="EV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EM89" t="str">
            <v>XXXX</v>
          </cell>
          <cell r="EN89" t="str">
            <v>XXXX</v>
          </cell>
          <cell r="EO89" t="str">
            <v>XXXX</v>
          </cell>
          <cell r="EP89" t="str">
            <v>XXXX</v>
          </cell>
          <cell r="EQ89" t="str">
            <v>XXXX</v>
          </cell>
          <cell r="ER89" t="str">
            <v>XXXX</v>
          </cell>
          <cell r="ES89" t="str">
            <v>XXXX</v>
          </cell>
          <cell r="ET89" t="str">
            <v>XXXX</v>
          </cell>
          <cell r="EU89" t="str">
            <v>XXXX</v>
          </cell>
          <cell r="EV89" t="str">
            <v>XXXX</v>
          </cell>
          <cell r="EW89" t="str">
            <v>XXXX</v>
          </cell>
          <cell r="EX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EN90">
            <v>1</v>
          </cell>
          <cell r="ES90">
            <v>1</v>
          </cell>
          <cell r="EX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EM92" t="str">
            <v>XXXX</v>
          </cell>
          <cell r="EN92" t="str">
            <v>XXXX</v>
          </cell>
          <cell r="EO92" t="str">
            <v>XXXX</v>
          </cell>
          <cell r="EP92" t="str">
            <v>XXXX</v>
          </cell>
          <cell r="EQ92" t="str">
            <v>XXXX</v>
          </cell>
          <cell r="ER92" t="str">
            <v>XXXX</v>
          </cell>
          <cell r="ES92" t="str">
            <v>XXXX</v>
          </cell>
          <cell r="ET92" t="str">
            <v>XXXX</v>
          </cell>
          <cell r="EU92" t="str">
            <v>XXXX</v>
          </cell>
          <cell r="EV92" t="str">
            <v>XXXX</v>
          </cell>
          <cell r="EW92" t="str">
            <v>XXXX</v>
          </cell>
          <cell r="EX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EN93">
            <v>1</v>
          </cell>
          <cell r="ES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  <cell r="EX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EW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EN96">
            <v>1</v>
          </cell>
          <cell r="EO96">
            <v>2</v>
          </cell>
          <cell r="EW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EN102">
            <v>1</v>
          </cell>
          <cell r="EQ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  <cell r="ER103">
            <v>1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ER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  <cell r="ER105">
            <v>1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EN106">
            <v>1</v>
          </cell>
          <cell r="EV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EN107">
            <v>1</v>
          </cell>
          <cell r="EQ107">
            <v>1</v>
          </cell>
          <cell r="ES107">
            <v>1</v>
          </cell>
          <cell r="EX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EM108">
            <v>1</v>
          </cell>
          <cell r="EN108">
            <v>1</v>
          </cell>
          <cell r="EX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  <cell r="EN109">
            <v>1</v>
          </cell>
          <cell r="EX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EM110" t="str">
            <v>XXXX</v>
          </cell>
          <cell r="EN110" t="str">
            <v>XXXX</v>
          </cell>
          <cell r="EO110" t="str">
            <v>XXXX</v>
          </cell>
          <cell r="EP110" t="str">
            <v>XXXX</v>
          </cell>
          <cell r="EQ110" t="str">
            <v>XXXX</v>
          </cell>
          <cell r="ER110" t="str">
            <v>XXXX</v>
          </cell>
          <cell r="ES110" t="str">
            <v>XXXX</v>
          </cell>
          <cell r="ET110" t="str">
            <v>XXXX</v>
          </cell>
          <cell r="EU110" t="str">
            <v>XXXX</v>
          </cell>
          <cell r="EV110" t="str">
            <v>XXXX</v>
          </cell>
          <cell r="EW110" t="str">
            <v>XXXX</v>
          </cell>
          <cell r="EX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EV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ES113">
            <v>2</v>
          </cell>
          <cell r="ET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EO114">
            <v>1</v>
          </cell>
          <cell r="EX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EW115">
            <v>1</v>
          </cell>
          <cell r="EX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  <cell r="EN116">
            <v>2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EX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  <cell r="EW123">
            <v>2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  <cell r="EW124">
            <v>1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EQ127">
            <v>1</v>
          </cell>
          <cell r="EX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ES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  <cell r="EQ134">
            <v>1</v>
          </cell>
          <cell r="ET134">
            <v>1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ER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  <cell r="EX140">
            <v>1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  <cell r="EN141">
            <v>1</v>
          </cell>
          <cell r="EQ141">
            <v>1</v>
          </cell>
          <cell r="EX141">
            <v>2</v>
          </cell>
        </row>
        <row r="164">
          <cell r="EM164">
            <v>1.42</v>
          </cell>
          <cell r="EN164">
            <v>1.39</v>
          </cell>
          <cell r="EO164">
            <v>1.55</v>
          </cell>
          <cell r="EP164">
            <v>1.7</v>
          </cell>
          <cell r="EQ164">
            <v>1.65</v>
          </cell>
          <cell r="ER164">
            <v>1.62</v>
          </cell>
          <cell r="ES164">
            <v>1.72</v>
          </cell>
          <cell r="ET164">
            <v>1.76</v>
          </cell>
          <cell r="EU164">
            <v>1.85</v>
          </cell>
          <cell r="EV164">
            <v>1.8</v>
          </cell>
          <cell r="EW164">
            <v>1.8</v>
          </cell>
          <cell r="EX164">
            <v>1.76</v>
          </cell>
          <cell r="EY164">
            <v>1.73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2"/>
  <sheetViews>
    <sheetView tabSelected="1" zoomScale="70" zoomScaleNormal="70" workbookViewId="0" topLeftCell="A1">
      <selection activeCell="A10" sqref="A10"/>
    </sheetView>
  </sheetViews>
  <sheetFormatPr defaultColWidth="11.421875" defaultRowHeight="12.75"/>
  <cols>
    <col min="1" max="1" width="25.7109375" style="351" customWidth="1"/>
    <col min="2" max="2" width="7.7109375" style="351" customWidth="1"/>
    <col min="3" max="3" width="10.8515625" style="351" customWidth="1"/>
    <col min="4" max="4" width="6.7109375" style="351" customWidth="1"/>
    <col min="5" max="5" width="17.8515625" style="351" customWidth="1"/>
    <col min="6" max="7" width="16.7109375" style="351" customWidth="1"/>
    <col min="8" max="8" width="6.28125" style="351" customWidth="1"/>
    <col min="9" max="9" width="19.8515625" style="351" customWidth="1"/>
    <col min="10" max="10" width="14.28125" style="351" customWidth="1"/>
    <col min="11" max="11" width="15.7109375" style="351" customWidth="1"/>
    <col min="12" max="16384" width="11.421875" style="351" customWidth="1"/>
  </cols>
  <sheetData>
    <row r="1" spans="2:11" s="346" customFormat="1" ht="26.25">
      <c r="B1" s="347"/>
      <c r="K1" s="348"/>
    </row>
    <row r="2" spans="2:10" s="346" customFormat="1" ht="26.25">
      <c r="B2" s="347" t="s">
        <v>204</v>
      </c>
      <c r="C2" s="349"/>
      <c r="D2" s="350"/>
      <c r="E2" s="350"/>
      <c r="F2" s="350"/>
      <c r="G2" s="350"/>
      <c r="H2" s="350"/>
      <c r="I2" s="350"/>
      <c r="J2" s="350"/>
    </row>
    <row r="3" spans="3:10" ht="12.75">
      <c r="C3" s="352"/>
      <c r="D3" s="353"/>
      <c r="E3" s="353"/>
      <c r="F3" s="353"/>
      <c r="G3" s="353"/>
      <c r="H3" s="353"/>
      <c r="I3" s="353"/>
      <c r="J3" s="353"/>
    </row>
    <row r="4" spans="1:11" s="356" customFormat="1" ht="11.25">
      <c r="A4" s="354" t="s">
        <v>3</v>
      </c>
      <c r="B4" s="355"/>
      <c r="D4" s="357"/>
      <c r="E4" s="357"/>
      <c r="F4" s="357"/>
      <c r="G4" s="357"/>
      <c r="H4" s="357"/>
      <c r="I4" s="357"/>
      <c r="J4" s="357"/>
      <c r="K4" s="357"/>
    </row>
    <row r="5" spans="1:11" s="356" customFormat="1" ht="11.25">
      <c r="A5" s="354" t="s">
        <v>4</v>
      </c>
      <c r="B5" s="355"/>
      <c r="D5" s="357"/>
      <c r="E5" s="357"/>
      <c r="F5" s="357"/>
      <c r="G5" s="357"/>
      <c r="H5" s="357"/>
      <c r="I5" s="357"/>
      <c r="J5" s="357"/>
      <c r="K5" s="357"/>
    </row>
    <row r="6" spans="2:11" s="346" customFormat="1" ht="11.25" customHeight="1">
      <c r="B6" s="358"/>
      <c r="D6" s="359"/>
      <c r="E6" s="359"/>
      <c r="F6" s="359"/>
      <c r="G6" s="359"/>
      <c r="H6" s="359"/>
      <c r="I6" s="359"/>
      <c r="J6" s="359"/>
      <c r="K6" s="359"/>
    </row>
    <row r="7" spans="2:11" s="360" customFormat="1" ht="26.25" customHeight="1">
      <c r="B7" s="824" t="s">
        <v>193</v>
      </c>
      <c r="C7" s="362"/>
      <c r="D7" s="363"/>
      <c r="E7" s="363"/>
      <c r="F7" s="363"/>
      <c r="G7" s="364"/>
      <c r="H7" s="364"/>
      <c r="I7" s="364"/>
      <c r="J7" s="364"/>
      <c r="K7" s="365"/>
    </row>
    <row r="8" spans="9:11" ht="12.75">
      <c r="I8" s="366"/>
      <c r="J8" s="366"/>
      <c r="K8" s="366"/>
    </row>
    <row r="9" spans="2:11" s="360" customFormat="1" ht="21">
      <c r="B9" s="361" t="s">
        <v>0</v>
      </c>
      <c r="C9" s="362"/>
      <c r="D9" s="363"/>
      <c r="E9" s="363"/>
      <c r="F9" s="363"/>
      <c r="G9" s="363"/>
      <c r="H9" s="363"/>
      <c r="I9" s="364"/>
      <c r="J9" s="364"/>
      <c r="K9" s="365"/>
    </row>
    <row r="10" spans="4:11" ht="12.75">
      <c r="D10" s="367"/>
      <c r="E10" s="367"/>
      <c r="F10" s="367"/>
      <c r="I10" s="366"/>
      <c r="J10" s="366"/>
      <c r="K10" s="366"/>
    </row>
    <row r="11" spans="2:11" s="360" customFormat="1" ht="20.25">
      <c r="B11" s="361" t="s">
        <v>205</v>
      </c>
      <c r="C11" s="368"/>
      <c r="D11" s="368"/>
      <c r="E11" s="368"/>
      <c r="F11" s="368"/>
      <c r="G11" s="363"/>
      <c r="H11" s="363"/>
      <c r="I11" s="364"/>
      <c r="J11" s="364"/>
      <c r="K11" s="365"/>
    </row>
    <row r="12" spans="4:11" s="369" customFormat="1" ht="16.5" thickBot="1">
      <c r="D12" s="370"/>
      <c r="E12" s="370"/>
      <c r="F12" s="370"/>
      <c r="I12" s="371"/>
      <c r="J12" s="371"/>
      <c r="K12" s="371"/>
    </row>
    <row r="13" spans="2:11" s="369" customFormat="1" ht="16.5" thickTop="1">
      <c r="B13" s="372">
        <v>1</v>
      </c>
      <c r="C13" s="373" t="b">
        <v>0</v>
      </c>
      <c r="D13" s="374"/>
      <c r="E13" s="374"/>
      <c r="F13" s="374"/>
      <c r="G13" s="374"/>
      <c r="H13" s="374"/>
      <c r="I13" s="374"/>
      <c r="J13" s="375"/>
      <c r="K13" s="371"/>
    </row>
    <row r="14" spans="2:11" s="376" customFormat="1" ht="19.5">
      <c r="B14" s="377" t="s">
        <v>72</v>
      </c>
      <c r="C14" s="378"/>
      <c r="D14" s="379"/>
      <c r="E14" s="380"/>
      <c r="F14" s="380"/>
      <c r="G14" s="380"/>
      <c r="H14" s="380"/>
      <c r="I14" s="381"/>
      <c r="J14" s="382"/>
      <c r="K14" s="383"/>
    </row>
    <row r="15" spans="2:11" s="376" customFormat="1" ht="19.5" hidden="1">
      <c r="B15" s="384"/>
      <c r="C15" s="385"/>
      <c r="D15" s="385"/>
      <c r="E15" s="383"/>
      <c r="F15" s="383"/>
      <c r="G15" s="386"/>
      <c r="H15" s="386"/>
      <c r="I15" s="383"/>
      <c r="J15" s="387"/>
      <c r="K15" s="383"/>
    </row>
    <row r="16" spans="2:11" s="376" customFormat="1" ht="19.5" hidden="1">
      <c r="B16" s="377" t="s">
        <v>56</v>
      </c>
      <c r="C16" s="388"/>
      <c r="D16" s="388"/>
      <c r="E16" s="381"/>
      <c r="F16" s="380"/>
      <c r="G16" s="380"/>
      <c r="H16" s="381"/>
      <c r="I16" s="389"/>
      <c r="J16" s="382"/>
      <c r="K16" s="383"/>
    </row>
    <row r="17" spans="2:11" s="376" customFormat="1" ht="19.5">
      <c r="B17" s="384"/>
      <c r="C17" s="385"/>
      <c r="D17" s="385"/>
      <c r="E17" s="383"/>
      <c r="F17" s="386"/>
      <c r="G17" s="386"/>
      <c r="H17" s="383"/>
      <c r="I17" s="352"/>
      <c r="J17" s="387"/>
      <c r="K17" s="383"/>
    </row>
    <row r="18" spans="2:11" s="376" customFormat="1" ht="19.5">
      <c r="B18" s="384"/>
      <c r="C18" s="390" t="s">
        <v>57</v>
      </c>
      <c r="D18" s="391" t="s">
        <v>1</v>
      </c>
      <c r="E18" s="383"/>
      <c r="F18" s="383"/>
      <c r="G18" s="386"/>
      <c r="I18" s="410">
        <f>'LI-01 (4)'!AC42</f>
        <v>109314.48</v>
      </c>
      <c r="J18" s="387"/>
      <c r="K18" s="383"/>
    </row>
    <row r="19" spans="2:11" s="376" customFormat="1" ht="19.5">
      <c r="B19" s="384"/>
      <c r="C19" s="390"/>
      <c r="D19" s="390" t="s">
        <v>252</v>
      </c>
      <c r="E19" s="397" t="s">
        <v>253</v>
      </c>
      <c r="F19" s="383"/>
      <c r="G19" s="386"/>
      <c r="I19" s="410">
        <f>'condiciones climaticas 313-01'!AM32</f>
        <v>0</v>
      </c>
      <c r="J19" s="387"/>
      <c r="K19" s="383"/>
    </row>
    <row r="20" spans="2:11" ht="18.75">
      <c r="B20" s="392"/>
      <c r="C20" s="393"/>
      <c r="D20" s="394"/>
      <c r="E20" s="366"/>
      <c r="F20" s="366"/>
      <c r="G20" s="395"/>
      <c r="H20" s="395"/>
      <c r="I20" s="410"/>
      <c r="J20" s="396"/>
      <c r="K20" s="366"/>
    </row>
    <row r="21" spans="2:11" s="376" customFormat="1" ht="19.5">
      <c r="B21" s="384"/>
      <c r="C21" s="390" t="s">
        <v>58</v>
      </c>
      <c r="D21" s="391" t="s">
        <v>59</v>
      </c>
      <c r="E21" s="383"/>
      <c r="F21" s="383"/>
      <c r="G21" s="386"/>
      <c r="H21" s="386"/>
      <c r="I21" s="410"/>
      <c r="J21" s="387"/>
      <c r="K21" s="383"/>
    </row>
    <row r="22" spans="2:11" ht="18.75">
      <c r="B22" s="392"/>
      <c r="C22" s="393"/>
      <c r="D22" s="393"/>
      <c r="E22" s="366"/>
      <c r="F22" s="366"/>
      <c r="G22" s="395"/>
      <c r="H22" s="395"/>
      <c r="I22" s="410"/>
      <c r="J22" s="396"/>
      <c r="K22" s="366"/>
    </row>
    <row r="23" spans="2:11" s="376" customFormat="1" ht="19.5">
      <c r="B23" s="384"/>
      <c r="C23" s="390"/>
      <c r="D23" s="390" t="s">
        <v>60</v>
      </c>
      <c r="E23" s="397" t="s">
        <v>61</v>
      </c>
      <c r="F23" s="397"/>
      <c r="G23" s="386"/>
      <c r="I23" s="410">
        <f>'T-01 (3)'!AC43</f>
        <v>14836.89</v>
      </c>
      <c r="J23" s="387"/>
      <c r="K23" s="383"/>
    </row>
    <row r="24" spans="2:11" ht="18.75">
      <c r="B24" s="392"/>
      <c r="C24" s="393"/>
      <c r="D24" s="393"/>
      <c r="E24" s="366"/>
      <c r="F24" s="366"/>
      <c r="G24" s="395"/>
      <c r="H24" s="395"/>
      <c r="I24" s="410"/>
      <c r="J24" s="396"/>
      <c r="K24" s="366"/>
    </row>
    <row r="25" spans="2:11" s="376" customFormat="1" ht="19.5">
      <c r="B25" s="384"/>
      <c r="C25" s="390"/>
      <c r="D25" s="390" t="s">
        <v>62</v>
      </c>
      <c r="E25" s="397" t="s">
        <v>63</v>
      </c>
      <c r="F25" s="397"/>
      <c r="G25" s="386"/>
      <c r="H25" s="386"/>
      <c r="I25" s="410">
        <f>'SA-01 (2)'!V43</f>
        <v>5814.19</v>
      </c>
      <c r="J25" s="387"/>
      <c r="K25" s="383"/>
    </row>
    <row r="26" spans="2:11" s="376" customFormat="1" ht="19.5">
      <c r="B26" s="384"/>
      <c r="C26" s="385"/>
      <c r="D26" s="385"/>
      <c r="E26" s="397"/>
      <c r="F26" s="397"/>
      <c r="G26" s="386"/>
      <c r="H26" s="386"/>
      <c r="I26" s="410"/>
      <c r="J26" s="387"/>
      <c r="K26" s="383"/>
    </row>
    <row r="27" spans="2:11" s="376" customFormat="1" ht="19.5">
      <c r="B27" s="384"/>
      <c r="C27" s="390" t="s">
        <v>68</v>
      </c>
      <c r="D27" s="391" t="s">
        <v>69</v>
      </c>
      <c r="E27" s="383"/>
      <c r="F27" s="383"/>
      <c r="G27" s="386"/>
      <c r="H27" s="386"/>
      <c r="I27" s="410">
        <f>'RE-01 (1)'!AD43</f>
        <v>142.1</v>
      </c>
      <c r="J27" s="387"/>
      <c r="K27" s="383"/>
    </row>
    <row r="28" spans="2:11" s="376" customFormat="1" ht="20.25" thickBot="1">
      <c r="B28" s="384"/>
      <c r="C28" s="385"/>
      <c r="D28" s="385"/>
      <c r="E28" s="383"/>
      <c r="F28" s="383"/>
      <c r="G28" s="386"/>
      <c r="H28" s="386"/>
      <c r="I28" s="383"/>
      <c r="J28" s="387"/>
      <c r="K28" s="383"/>
    </row>
    <row r="29" spans="2:11" s="376" customFormat="1" ht="20.25" thickBot="1" thickTop="1">
      <c r="B29" s="384"/>
      <c r="C29" s="390"/>
      <c r="D29" s="390"/>
      <c r="E29" s="352"/>
      <c r="F29" s="398" t="s">
        <v>64</v>
      </c>
      <c r="G29" s="399">
        <f>ROUND(SUM(I18:I27),2)</f>
        <v>130107.66</v>
      </c>
      <c r="H29" s="352"/>
      <c r="J29" s="387"/>
      <c r="K29" s="383"/>
    </row>
    <row r="30" spans="2:11" s="376" customFormat="1" ht="9" customHeight="1" thickTop="1">
      <c r="B30" s="384"/>
      <c r="C30" s="390"/>
      <c r="D30" s="390"/>
      <c r="E30" s="352"/>
      <c r="F30" s="400"/>
      <c r="G30" s="401"/>
      <c r="H30" s="352"/>
      <c r="J30" s="387"/>
      <c r="K30" s="383"/>
    </row>
    <row r="31" spans="2:11" s="376" customFormat="1" ht="18.75">
      <c r="B31" s="384"/>
      <c r="C31" s="402" t="s">
        <v>254</v>
      </c>
      <c r="D31" s="390"/>
      <c r="E31" s="352"/>
      <c r="F31" s="400"/>
      <c r="G31" s="401"/>
      <c r="H31" s="352"/>
      <c r="J31" s="387"/>
      <c r="K31" s="383"/>
    </row>
    <row r="32" spans="2:11" s="369" customFormat="1" ht="9" customHeight="1" thickBot="1">
      <c r="B32" s="403"/>
      <c r="C32" s="404"/>
      <c r="D32" s="404"/>
      <c r="E32" s="404"/>
      <c r="F32" s="404"/>
      <c r="G32" s="404"/>
      <c r="H32" s="404"/>
      <c r="I32" s="404"/>
      <c r="J32" s="405"/>
      <c r="K32" s="371"/>
    </row>
    <row r="33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W46"/>
  <sheetViews>
    <sheetView zoomScale="70" zoomScaleNormal="70" workbookViewId="0" topLeftCell="C7">
      <selection activeCell="G14" sqref="G14:G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'TOT-0110'!B2</f>
        <v>ANEXO II al Memorandum D.T.E.E. N°         /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'TOT-0110'!B14</f>
        <v>Desde el 01 al 31 de enero de 2010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10.877</v>
      </c>
      <c r="H14" s="267">
        <f>60*'TOT-0110'!B13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5.438</v>
      </c>
      <c r="H15" s="267">
        <f>50*'TOT-0110'!B13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4.078</v>
      </c>
      <c r="H16" s="271">
        <f>50*'TOT-0110'!B13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4.078</v>
      </c>
      <c r="H17" s="276">
        <f>40*'TOT-0110'!B13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70</v>
      </c>
      <c r="E19" s="421" t="s">
        <v>71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/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112</v>
      </c>
      <c r="D22" s="209">
        <v>217073</v>
      </c>
      <c r="E22" s="209">
        <v>2183</v>
      </c>
      <c r="F22" s="293" t="s">
        <v>132</v>
      </c>
      <c r="G22" s="293" t="s">
        <v>133</v>
      </c>
      <c r="H22" s="294">
        <v>13.199999809265137</v>
      </c>
      <c r="I22" s="295">
        <f aca="true" t="shared" si="0" ref="I22:I40">IF(H22=220,$G$14,IF(AND(H22&lt;=132,H22&gt;=66),$G$15,IF(AND(H22&lt;66,H22&gt;=33),$G$16,$G$17)))</f>
        <v>4.078</v>
      </c>
      <c r="J22" s="434">
        <v>40182.01666666667</v>
      </c>
      <c r="K22" s="435">
        <v>40182.032638888886</v>
      </c>
      <c r="L22" s="225">
        <f aca="true" t="shared" si="1" ref="L22:L40">IF(F22="","",(K22-J22)*24)</f>
        <v>0.3833333331858739</v>
      </c>
      <c r="M22" s="296">
        <f aca="true" t="shared" si="2" ref="M22:M40">IF(F22="","",ROUND((K22-J22)*24*60,0))</f>
        <v>23</v>
      </c>
      <c r="N22" s="227" t="s">
        <v>75</v>
      </c>
      <c r="O22" s="428" t="str">
        <f aca="true" t="shared" si="3" ref="O22:O40">IF(F22="","",IF(OR(N22="P",N22="RP"),"--","NO"))</f>
        <v>NO</v>
      </c>
      <c r="P22" s="297">
        <f aca="true" t="shared" si="4" ref="P22:P40">IF(H22=220,$H$14,IF(AND(H22&lt;=132,H22&gt;=66),$H$15,IF(AND(H22&lt;66,H22&gt;13.2),$H$16,$H$17)))</f>
        <v>40</v>
      </c>
      <c r="Q22" s="298" t="str">
        <f aca="true" t="shared" si="5" ref="Q22:Q40">IF(N22="P",I22*P22*ROUND(M22/60,2)*0.1,"--")</f>
        <v>--</v>
      </c>
      <c r="R22" s="299">
        <f aca="true" t="shared" si="6" ref="R22:R40">IF(AND(N22="F",O22="NO"),I22*P22,"--")</f>
        <v>163.12</v>
      </c>
      <c r="S22" s="300">
        <f aca="true" t="shared" si="7" ref="S22:S40">IF(N22="F",I22*P22*ROUND(M22/60,2),"--")</f>
        <v>61.985600000000005</v>
      </c>
      <c r="T22" s="301" t="str">
        <f aca="true" t="shared" si="8" ref="T22:T40">IF(N22="RF",I22*P22*ROUND(M22/60,2),"--")</f>
        <v>--</v>
      </c>
      <c r="U22" s="429" t="s">
        <v>74</v>
      </c>
      <c r="V22" s="305">
        <f aca="true" t="shared" si="9" ref="V22:V40">IF(F22="","",SUM(Q22:T22)*IF(U22="SI",1,2)*IF(H22="500/220",0,1))</f>
        <v>225.1056</v>
      </c>
      <c r="W22" s="238"/>
    </row>
    <row r="23" spans="2:23" s="1" customFormat="1" ht="16.5" customHeight="1">
      <c r="B23" s="13"/>
      <c r="C23" s="210">
        <v>113</v>
      </c>
      <c r="D23" s="209">
        <v>217068</v>
      </c>
      <c r="E23" s="209">
        <v>4747</v>
      </c>
      <c r="F23" s="293" t="s">
        <v>137</v>
      </c>
      <c r="G23" s="293" t="s">
        <v>188</v>
      </c>
      <c r="H23" s="294">
        <v>13.2</v>
      </c>
      <c r="I23" s="295">
        <f t="shared" si="0"/>
        <v>4.078</v>
      </c>
      <c r="J23" s="434">
        <v>40182.01666666667</v>
      </c>
      <c r="K23" s="435">
        <v>40182.027083333334</v>
      </c>
      <c r="L23" s="225">
        <f t="shared" si="1"/>
        <v>0.24999999994179234</v>
      </c>
      <c r="M23" s="296">
        <f t="shared" si="2"/>
        <v>15</v>
      </c>
      <c r="N23" s="227" t="s">
        <v>75</v>
      </c>
      <c r="O23" s="428" t="str">
        <f t="shared" si="3"/>
        <v>NO</v>
      </c>
      <c r="P23" s="297">
        <f t="shared" si="4"/>
        <v>40</v>
      </c>
      <c r="Q23" s="298" t="str">
        <f t="shared" si="5"/>
        <v>--</v>
      </c>
      <c r="R23" s="299">
        <f t="shared" si="6"/>
        <v>163.12</v>
      </c>
      <c r="S23" s="300">
        <f t="shared" si="7"/>
        <v>40.78</v>
      </c>
      <c r="T23" s="301" t="str">
        <f t="shared" si="8"/>
        <v>--</v>
      </c>
      <c r="U23" s="429" t="s">
        <v>74</v>
      </c>
      <c r="V23" s="305">
        <f t="shared" si="9"/>
        <v>203.9</v>
      </c>
      <c r="W23" s="238"/>
    </row>
    <row r="24" spans="2:23" s="1" customFormat="1" ht="16.5" customHeight="1">
      <c r="B24" s="13"/>
      <c r="C24" s="210">
        <v>114</v>
      </c>
      <c r="D24" s="209">
        <v>217067</v>
      </c>
      <c r="E24" s="209">
        <v>2189</v>
      </c>
      <c r="F24" s="293" t="s">
        <v>109</v>
      </c>
      <c r="G24" s="293" t="s">
        <v>134</v>
      </c>
      <c r="H24" s="294">
        <v>33</v>
      </c>
      <c r="I24" s="295">
        <f t="shared" si="0"/>
        <v>4.078</v>
      </c>
      <c r="J24" s="434">
        <v>40182.01666666667</v>
      </c>
      <c r="K24" s="435">
        <v>40182.02847222222</v>
      </c>
      <c r="L24" s="225">
        <f t="shared" si="1"/>
        <v>0.283333333209157</v>
      </c>
      <c r="M24" s="296">
        <f t="shared" si="2"/>
        <v>17</v>
      </c>
      <c r="N24" s="227" t="s">
        <v>75</v>
      </c>
      <c r="O24" s="428" t="str">
        <f t="shared" si="3"/>
        <v>NO</v>
      </c>
      <c r="P24" s="297">
        <f t="shared" si="4"/>
        <v>50</v>
      </c>
      <c r="Q24" s="298" t="str">
        <f t="shared" si="5"/>
        <v>--</v>
      </c>
      <c r="R24" s="299">
        <f t="shared" si="6"/>
        <v>203.9</v>
      </c>
      <c r="S24" s="300">
        <f t="shared" si="7"/>
        <v>57.092000000000006</v>
      </c>
      <c r="T24" s="301" t="str">
        <f t="shared" si="8"/>
        <v>--</v>
      </c>
      <c r="U24" s="429" t="s">
        <v>74</v>
      </c>
      <c r="V24" s="305">
        <f t="shared" si="9"/>
        <v>260.992</v>
      </c>
      <c r="W24" s="238"/>
    </row>
    <row r="25" spans="2:23" s="1" customFormat="1" ht="16.5" customHeight="1">
      <c r="B25" s="13"/>
      <c r="C25" s="210">
        <v>115</v>
      </c>
      <c r="D25" s="209">
        <v>217064</v>
      </c>
      <c r="E25" s="209">
        <v>2190</v>
      </c>
      <c r="F25" s="293" t="s">
        <v>109</v>
      </c>
      <c r="G25" s="293" t="s">
        <v>135</v>
      </c>
      <c r="H25" s="294">
        <v>13.199999809265137</v>
      </c>
      <c r="I25" s="295">
        <f t="shared" si="0"/>
        <v>4.078</v>
      </c>
      <c r="J25" s="434">
        <v>40182.01666666667</v>
      </c>
      <c r="K25" s="435">
        <v>40182.027083333334</v>
      </c>
      <c r="L25" s="225">
        <f t="shared" si="1"/>
        <v>0.24999999994179234</v>
      </c>
      <c r="M25" s="296">
        <f t="shared" si="2"/>
        <v>15</v>
      </c>
      <c r="N25" s="227" t="s">
        <v>75</v>
      </c>
      <c r="O25" s="428" t="str">
        <f t="shared" si="3"/>
        <v>NO</v>
      </c>
      <c r="P25" s="297">
        <f t="shared" si="4"/>
        <v>40</v>
      </c>
      <c r="Q25" s="298" t="str">
        <f t="shared" si="5"/>
        <v>--</v>
      </c>
      <c r="R25" s="299">
        <f t="shared" si="6"/>
        <v>163.12</v>
      </c>
      <c r="S25" s="300">
        <f t="shared" si="7"/>
        <v>40.78</v>
      </c>
      <c r="T25" s="301" t="str">
        <f t="shared" si="8"/>
        <v>--</v>
      </c>
      <c r="U25" s="429" t="s">
        <v>74</v>
      </c>
      <c r="V25" s="305">
        <f t="shared" si="9"/>
        <v>203.9</v>
      </c>
      <c r="W25" s="238"/>
    </row>
    <row r="26" spans="2:23" s="1" customFormat="1" ht="16.5" customHeight="1">
      <c r="B26" s="13"/>
      <c r="C26" s="210">
        <v>116</v>
      </c>
      <c r="D26" s="209">
        <v>217071</v>
      </c>
      <c r="E26" s="209">
        <v>2184</v>
      </c>
      <c r="F26" s="293" t="s">
        <v>132</v>
      </c>
      <c r="G26" s="293" t="s">
        <v>136</v>
      </c>
      <c r="H26" s="294">
        <v>13.199999809265137</v>
      </c>
      <c r="I26" s="295">
        <f t="shared" si="0"/>
        <v>4.078</v>
      </c>
      <c r="J26" s="434">
        <v>40182.01666666667</v>
      </c>
      <c r="K26" s="435">
        <v>40182.03055555555</v>
      </c>
      <c r="L26" s="225">
        <f t="shared" si="1"/>
        <v>0.33333333319751546</v>
      </c>
      <c r="M26" s="296">
        <f t="shared" si="2"/>
        <v>20</v>
      </c>
      <c r="N26" s="227" t="s">
        <v>75</v>
      </c>
      <c r="O26" s="428" t="str">
        <f t="shared" si="3"/>
        <v>NO</v>
      </c>
      <c r="P26" s="297">
        <f t="shared" si="4"/>
        <v>40</v>
      </c>
      <c r="Q26" s="298" t="str">
        <f t="shared" si="5"/>
        <v>--</v>
      </c>
      <c r="R26" s="299">
        <f t="shared" si="6"/>
        <v>163.12</v>
      </c>
      <c r="S26" s="300">
        <f t="shared" si="7"/>
        <v>53.829600000000006</v>
      </c>
      <c r="T26" s="301" t="str">
        <f t="shared" si="8"/>
        <v>--</v>
      </c>
      <c r="U26" s="429" t="s">
        <v>74</v>
      </c>
      <c r="V26" s="305">
        <f t="shared" si="9"/>
        <v>216.9496</v>
      </c>
      <c r="W26" s="238"/>
    </row>
    <row r="27" spans="2:23" s="1" customFormat="1" ht="16.5" customHeight="1">
      <c r="B27" s="13"/>
      <c r="C27" s="210">
        <v>117</v>
      </c>
      <c r="D27" s="209">
        <v>217070</v>
      </c>
      <c r="E27" s="209">
        <v>2284</v>
      </c>
      <c r="F27" s="293" t="s">
        <v>137</v>
      </c>
      <c r="G27" s="293" t="s">
        <v>138</v>
      </c>
      <c r="H27" s="294">
        <v>13.199999809265137</v>
      </c>
      <c r="I27" s="295">
        <f t="shared" si="0"/>
        <v>4.078</v>
      </c>
      <c r="J27" s="434">
        <v>40182.01666666667</v>
      </c>
      <c r="K27" s="435">
        <v>40182.03125</v>
      </c>
      <c r="L27" s="225">
        <f t="shared" si="1"/>
        <v>0.3499999999185093</v>
      </c>
      <c r="M27" s="296">
        <f t="shared" si="2"/>
        <v>21</v>
      </c>
      <c r="N27" s="227" t="s">
        <v>75</v>
      </c>
      <c r="O27" s="428" t="str">
        <f t="shared" si="3"/>
        <v>NO</v>
      </c>
      <c r="P27" s="297">
        <f t="shared" si="4"/>
        <v>40</v>
      </c>
      <c r="Q27" s="298" t="str">
        <f t="shared" si="5"/>
        <v>--</v>
      </c>
      <c r="R27" s="299">
        <f t="shared" si="6"/>
        <v>163.12</v>
      </c>
      <c r="S27" s="300">
        <f t="shared" si="7"/>
        <v>57.092</v>
      </c>
      <c r="T27" s="301" t="str">
        <f t="shared" si="8"/>
        <v>--</v>
      </c>
      <c r="U27" s="429" t="s">
        <v>74</v>
      </c>
      <c r="V27" s="305">
        <f t="shared" si="9"/>
        <v>220.212</v>
      </c>
      <c r="W27" s="238"/>
    </row>
    <row r="28" spans="2:23" s="1" customFormat="1" ht="16.5" customHeight="1">
      <c r="B28" s="13"/>
      <c r="C28" s="210">
        <v>118</v>
      </c>
      <c r="D28" s="209">
        <v>217066</v>
      </c>
      <c r="E28" s="209">
        <v>2193</v>
      </c>
      <c r="F28" s="293" t="s">
        <v>109</v>
      </c>
      <c r="G28" s="293" t="s">
        <v>139</v>
      </c>
      <c r="H28" s="294">
        <v>13.199999809265137</v>
      </c>
      <c r="I28" s="295">
        <f t="shared" si="0"/>
        <v>4.078</v>
      </c>
      <c r="J28" s="434">
        <v>40182.01666666667</v>
      </c>
      <c r="K28" s="435">
        <v>40182.02847222222</v>
      </c>
      <c r="L28" s="225">
        <f t="shared" si="1"/>
        <v>0.283333333209157</v>
      </c>
      <c r="M28" s="296">
        <f t="shared" si="2"/>
        <v>17</v>
      </c>
      <c r="N28" s="227" t="s">
        <v>75</v>
      </c>
      <c r="O28" s="428" t="str">
        <f t="shared" si="3"/>
        <v>NO</v>
      </c>
      <c r="P28" s="297">
        <f t="shared" si="4"/>
        <v>40</v>
      </c>
      <c r="Q28" s="298" t="str">
        <f t="shared" si="5"/>
        <v>--</v>
      </c>
      <c r="R28" s="299">
        <f t="shared" si="6"/>
        <v>163.12</v>
      </c>
      <c r="S28" s="300">
        <f t="shared" si="7"/>
        <v>45.67360000000001</v>
      </c>
      <c r="T28" s="301" t="str">
        <f t="shared" si="8"/>
        <v>--</v>
      </c>
      <c r="U28" s="429" t="s">
        <v>74</v>
      </c>
      <c r="V28" s="305">
        <f t="shared" si="9"/>
        <v>208.79360000000003</v>
      </c>
      <c r="W28" s="238"/>
    </row>
    <row r="29" spans="2:23" s="1" customFormat="1" ht="16.5" customHeight="1">
      <c r="B29" s="13"/>
      <c r="C29" s="210">
        <v>119</v>
      </c>
      <c r="D29" s="209">
        <v>217069</v>
      </c>
      <c r="E29" s="209">
        <v>2285</v>
      </c>
      <c r="F29" s="293" t="s">
        <v>137</v>
      </c>
      <c r="G29" s="293" t="s">
        <v>140</v>
      </c>
      <c r="H29" s="294">
        <v>13.199999809265137</v>
      </c>
      <c r="I29" s="295">
        <f t="shared" si="0"/>
        <v>4.078</v>
      </c>
      <c r="J29" s="434">
        <v>40182.01666666667</v>
      </c>
      <c r="K29" s="435">
        <v>40182.02777777778</v>
      </c>
      <c r="L29" s="225">
        <f t="shared" si="1"/>
        <v>0.26666666666278616</v>
      </c>
      <c r="M29" s="296">
        <f t="shared" si="2"/>
        <v>16</v>
      </c>
      <c r="N29" s="227" t="s">
        <v>75</v>
      </c>
      <c r="O29" s="428" t="str">
        <f t="shared" si="3"/>
        <v>NO</v>
      </c>
      <c r="P29" s="297">
        <f t="shared" si="4"/>
        <v>40</v>
      </c>
      <c r="Q29" s="298" t="str">
        <f t="shared" si="5"/>
        <v>--</v>
      </c>
      <c r="R29" s="299">
        <f t="shared" si="6"/>
        <v>163.12</v>
      </c>
      <c r="S29" s="300">
        <f t="shared" si="7"/>
        <v>44.0424</v>
      </c>
      <c r="T29" s="301" t="str">
        <f t="shared" si="8"/>
        <v>--</v>
      </c>
      <c r="U29" s="429" t="s">
        <v>74</v>
      </c>
      <c r="V29" s="305">
        <f t="shared" si="9"/>
        <v>207.1624</v>
      </c>
      <c r="W29" s="238"/>
    </row>
    <row r="30" spans="2:23" s="1" customFormat="1" ht="16.5" customHeight="1">
      <c r="B30" s="13"/>
      <c r="C30" s="210">
        <v>120</v>
      </c>
      <c r="D30" s="209">
        <v>217065</v>
      </c>
      <c r="E30" s="209">
        <v>2192</v>
      </c>
      <c r="F30" s="293" t="s">
        <v>109</v>
      </c>
      <c r="G30" s="293" t="s">
        <v>141</v>
      </c>
      <c r="H30" s="294">
        <v>13.199999809265137</v>
      </c>
      <c r="I30" s="295">
        <f t="shared" si="0"/>
        <v>4.078</v>
      </c>
      <c r="J30" s="434">
        <v>40182.01666666667</v>
      </c>
      <c r="K30" s="435">
        <v>40182.02777777778</v>
      </c>
      <c r="L30" s="225">
        <f t="shared" si="1"/>
        <v>0.26666666666278616</v>
      </c>
      <c r="M30" s="296">
        <f t="shared" si="2"/>
        <v>16</v>
      </c>
      <c r="N30" s="227" t="s">
        <v>75</v>
      </c>
      <c r="O30" s="428" t="str">
        <f t="shared" si="3"/>
        <v>NO</v>
      </c>
      <c r="P30" s="297">
        <f t="shared" si="4"/>
        <v>40</v>
      </c>
      <c r="Q30" s="298" t="str">
        <f t="shared" si="5"/>
        <v>--</v>
      </c>
      <c r="R30" s="299">
        <f t="shared" si="6"/>
        <v>163.12</v>
      </c>
      <c r="S30" s="300">
        <f t="shared" si="7"/>
        <v>44.0424</v>
      </c>
      <c r="T30" s="301" t="str">
        <f t="shared" si="8"/>
        <v>--</v>
      </c>
      <c r="U30" s="429" t="s">
        <v>74</v>
      </c>
      <c r="V30" s="305">
        <f t="shared" si="9"/>
        <v>207.1624</v>
      </c>
      <c r="W30" s="238"/>
    </row>
    <row r="31" spans="2:23" s="1" customFormat="1" ht="16.5" customHeight="1">
      <c r="B31" s="13"/>
      <c r="C31" s="210">
        <v>121</v>
      </c>
      <c r="D31" s="209">
        <v>217072</v>
      </c>
      <c r="E31" s="209">
        <v>2182</v>
      </c>
      <c r="F31" s="293" t="s">
        <v>132</v>
      </c>
      <c r="G31" s="293" t="s">
        <v>142</v>
      </c>
      <c r="H31" s="294">
        <v>13.199999809265137</v>
      </c>
      <c r="I31" s="295">
        <f t="shared" si="0"/>
        <v>4.078</v>
      </c>
      <c r="J31" s="434">
        <v>40182.01666666667</v>
      </c>
      <c r="K31" s="435">
        <v>40182.029861111114</v>
      </c>
      <c r="L31" s="225">
        <f t="shared" si="1"/>
        <v>0.3166666666511446</v>
      </c>
      <c r="M31" s="296">
        <f t="shared" si="2"/>
        <v>19</v>
      </c>
      <c r="N31" s="227" t="s">
        <v>75</v>
      </c>
      <c r="O31" s="428" t="str">
        <f t="shared" si="3"/>
        <v>NO</v>
      </c>
      <c r="P31" s="297">
        <f t="shared" si="4"/>
        <v>40</v>
      </c>
      <c r="Q31" s="298" t="str">
        <f t="shared" si="5"/>
        <v>--</v>
      </c>
      <c r="R31" s="299">
        <f t="shared" si="6"/>
        <v>163.12</v>
      </c>
      <c r="S31" s="300">
        <f t="shared" si="7"/>
        <v>52.1984</v>
      </c>
      <c r="T31" s="301" t="str">
        <f t="shared" si="8"/>
        <v>--</v>
      </c>
      <c r="U31" s="429" t="s">
        <v>74</v>
      </c>
      <c r="V31" s="305">
        <f t="shared" si="9"/>
        <v>215.3184</v>
      </c>
      <c r="W31" s="238"/>
    </row>
    <row r="32" spans="2:23" s="1" customFormat="1" ht="16.5" customHeight="1">
      <c r="B32" s="13"/>
      <c r="C32" s="210">
        <v>122</v>
      </c>
      <c r="D32" s="209">
        <v>217128</v>
      </c>
      <c r="E32" s="209">
        <v>2769</v>
      </c>
      <c r="F32" s="293" t="s">
        <v>143</v>
      </c>
      <c r="G32" s="293" t="s">
        <v>144</v>
      </c>
      <c r="H32" s="294">
        <v>132</v>
      </c>
      <c r="I32" s="295">
        <f t="shared" si="0"/>
        <v>5.438</v>
      </c>
      <c r="J32" s="434">
        <v>40183.86666666667</v>
      </c>
      <c r="K32" s="435">
        <v>40183.91527777778</v>
      </c>
      <c r="L32" s="225">
        <f t="shared" si="1"/>
        <v>1.1666666666278616</v>
      </c>
      <c r="M32" s="296">
        <f t="shared" si="2"/>
        <v>70</v>
      </c>
      <c r="N32" s="227" t="s">
        <v>75</v>
      </c>
      <c r="O32" s="428" t="str">
        <f t="shared" si="3"/>
        <v>NO</v>
      </c>
      <c r="P32" s="297">
        <f t="shared" si="4"/>
        <v>50</v>
      </c>
      <c r="Q32" s="298" t="str">
        <f t="shared" si="5"/>
        <v>--</v>
      </c>
      <c r="R32" s="299">
        <f t="shared" si="6"/>
        <v>271.9</v>
      </c>
      <c r="S32" s="300">
        <f t="shared" si="7"/>
        <v>318.12299999999993</v>
      </c>
      <c r="T32" s="301" t="str">
        <f t="shared" si="8"/>
        <v>--</v>
      </c>
      <c r="U32" s="429" t="s">
        <v>74</v>
      </c>
      <c r="V32" s="305">
        <f t="shared" si="9"/>
        <v>590.0229999999999</v>
      </c>
      <c r="W32" s="238"/>
    </row>
    <row r="33" spans="2:23" s="1" customFormat="1" ht="16.5" customHeight="1">
      <c r="B33" s="13"/>
      <c r="C33" s="210">
        <v>123</v>
      </c>
      <c r="D33" s="209">
        <v>217150</v>
      </c>
      <c r="E33" s="209">
        <v>4571</v>
      </c>
      <c r="F33" s="293" t="s">
        <v>145</v>
      </c>
      <c r="G33" s="293" t="s">
        <v>189</v>
      </c>
      <c r="H33" s="294">
        <v>33</v>
      </c>
      <c r="I33" s="295">
        <f t="shared" si="0"/>
        <v>4.078</v>
      </c>
      <c r="J33" s="434">
        <v>40188.40069444444</v>
      </c>
      <c r="K33" s="435">
        <v>40188.509722222225</v>
      </c>
      <c r="L33" s="225">
        <f t="shared" si="1"/>
        <v>2.616666666814126</v>
      </c>
      <c r="M33" s="296">
        <f t="shared" si="2"/>
        <v>157</v>
      </c>
      <c r="N33" s="227" t="s">
        <v>73</v>
      </c>
      <c r="O33" s="428" t="str">
        <f t="shared" si="3"/>
        <v>--</v>
      </c>
      <c r="P33" s="297">
        <f t="shared" si="4"/>
        <v>50</v>
      </c>
      <c r="Q33" s="298">
        <f t="shared" si="5"/>
        <v>53.42180000000001</v>
      </c>
      <c r="R33" s="299" t="str">
        <f t="shared" si="6"/>
        <v>--</v>
      </c>
      <c r="S33" s="300" t="str">
        <f t="shared" si="7"/>
        <v>--</v>
      </c>
      <c r="T33" s="301" t="str">
        <f t="shared" si="8"/>
        <v>--</v>
      </c>
      <c r="U33" s="429" t="s">
        <v>74</v>
      </c>
      <c r="V33" s="305">
        <f t="shared" si="9"/>
        <v>53.42180000000001</v>
      </c>
      <c r="W33" s="238"/>
    </row>
    <row r="34" spans="2:23" s="1" customFormat="1" ht="16.5" customHeight="1">
      <c r="B34" s="13"/>
      <c r="C34" s="210">
        <v>124</v>
      </c>
      <c r="D34" s="209">
        <v>217151</v>
      </c>
      <c r="E34" s="209">
        <v>2242</v>
      </c>
      <c r="F34" s="293" t="s">
        <v>145</v>
      </c>
      <c r="G34" s="293" t="s">
        <v>146</v>
      </c>
      <c r="H34" s="294">
        <v>33</v>
      </c>
      <c r="I34" s="295">
        <f t="shared" si="0"/>
        <v>4.078</v>
      </c>
      <c r="J34" s="434">
        <v>40188.49444444444</v>
      </c>
      <c r="K34" s="435">
        <v>40188.61319444444</v>
      </c>
      <c r="L34" s="225">
        <f t="shared" si="1"/>
        <v>2.8500000000349246</v>
      </c>
      <c r="M34" s="296">
        <f t="shared" si="2"/>
        <v>171</v>
      </c>
      <c r="N34" s="227" t="s">
        <v>73</v>
      </c>
      <c r="O34" s="428" t="str">
        <f t="shared" si="3"/>
        <v>--</v>
      </c>
      <c r="P34" s="297">
        <f t="shared" si="4"/>
        <v>50</v>
      </c>
      <c r="Q34" s="298">
        <f t="shared" si="5"/>
        <v>58.11150000000001</v>
      </c>
      <c r="R34" s="299" t="str">
        <f t="shared" si="6"/>
        <v>--</v>
      </c>
      <c r="S34" s="300" t="str">
        <f t="shared" si="7"/>
        <v>--</v>
      </c>
      <c r="T34" s="301" t="str">
        <f t="shared" si="8"/>
        <v>--</v>
      </c>
      <c r="U34" s="429" t="s">
        <v>74</v>
      </c>
      <c r="V34" s="305">
        <f t="shared" si="9"/>
        <v>58.11150000000001</v>
      </c>
      <c r="W34" s="238"/>
    </row>
    <row r="35" spans="2:23" s="1" customFormat="1" ht="16.5" customHeight="1">
      <c r="B35" s="13"/>
      <c r="C35" s="210">
        <v>125</v>
      </c>
      <c r="D35" s="209">
        <v>217425</v>
      </c>
      <c r="E35" s="209">
        <v>3577</v>
      </c>
      <c r="F35" s="293" t="s">
        <v>147</v>
      </c>
      <c r="G35" s="293" t="s">
        <v>148</v>
      </c>
      <c r="H35" s="294">
        <v>132</v>
      </c>
      <c r="I35" s="295">
        <f t="shared" si="0"/>
        <v>5.438</v>
      </c>
      <c r="J35" s="434">
        <v>40189.395833333336</v>
      </c>
      <c r="K35" s="435">
        <v>40189.70763888889</v>
      </c>
      <c r="L35" s="225">
        <f t="shared" si="1"/>
        <v>7.483333333279006</v>
      </c>
      <c r="M35" s="296">
        <f t="shared" si="2"/>
        <v>449</v>
      </c>
      <c r="N35" s="227" t="s">
        <v>73</v>
      </c>
      <c r="O35" s="428" t="str">
        <f t="shared" si="3"/>
        <v>--</v>
      </c>
      <c r="P35" s="297">
        <f t="shared" si="4"/>
        <v>50</v>
      </c>
      <c r="Q35" s="298">
        <f t="shared" si="5"/>
        <v>203.3812</v>
      </c>
      <c r="R35" s="299" t="str">
        <f t="shared" si="6"/>
        <v>--</v>
      </c>
      <c r="S35" s="300" t="str">
        <f t="shared" si="7"/>
        <v>--</v>
      </c>
      <c r="T35" s="301" t="str">
        <f t="shared" si="8"/>
        <v>--</v>
      </c>
      <c r="U35" s="429" t="s">
        <v>74</v>
      </c>
      <c r="V35" s="305">
        <f t="shared" si="9"/>
        <v>203.3812</v>
      </c>
      <c r="W35" s="238"/>
    </row>
    <row r="36" spans="2:23" s="1" customFormat="1" ht="16.5" customHeight="1">
      <c r="B36" s="13"/>
      <c r="C36" s="210">
        <v>126</v>
      </c>
      <c r="D36" s="209">
        <v>217441</v>
      </c>
      <c r="E36" s="209">
        <v>2205</v>
      </c>
      <c r="F36" s="293" t="s">
        <v>149</v>
      </c>
      <c r="G36" s="293" t="s">
        <v>150</v>
      </c>
      <c r="H36" s="294">
        <v>13.199999809265137</v>
      </c>
      <c r="I36" s="295">
        <f t="shared" si="0"/>
        <v>4.078</v>
      </c>
      <c r="J36" s="434">
        <v>40190.40347222222</v>
      </c>
      <c r="K36" s="435">
        <v>40190.53611111111</v>
      </c>
      <c r="L36" s="225">
        <f t="shared" si="1"/>
        <v>3.183333333407063</v>
      </c>
      <c r="M36" s="296">
        <f t="shared" si="2"/>
        <v>191</v>
      </c>
      <c r="N36" s="227" t="s">
        <v>73</v>
      </c>
      <c r="O36" s="428" t="str">
        <f t="shared" si="3"/>
        <v>--</v>
      </c>
      <c r="P36" s="297">
        <f t="shared" si="4"/>
        <v>40</v>
      </c>
      <c r="Q36" s="298">
        <f t="shared" si="5"/>
        <v>51.87216000000001</v>
      </c>
      <c r="R36" s="299" t="str">
        <f t="shared" si="6"/>
        <v>--</v>
      </c>
      <c r="S36" s="300" t="str">
        <f t="shared" si="7"/>
        <v>--</v>
      </c>
      <c r="T36" s="301" t="str">
        <f t="shared" si="8"/>
        <v>--</v>
      </c>
      <c r="U36" s="429" t="s">
        <v>74</v>
      </c>
      <c r="V36" s="305">
        <f t="shared" si="9"/>
        <v>51.87216000000001</v>
      </c>
      <c r="W36" s="238"/>
    </row>
    <row r="37" spans="2:23" s="1" customFormat="1" ht="16.5" customHeight="1">
      <c r="B37" s="13"/>
      <c r="C37" s="210">
        <v>127</v>
      </c>
      <c r="D37" s="209">
        <v>217459</v>
      </c>
      <c r="E37" s="209">
        <v>2312</v>
      </c>
      <c r="F37" s="293" t="s">
        <v>151</v>
      </c>
      <c r="G37" s="293" t="s">
        <v>152</v>
      </c>
      <c r="H37" s="294">
        <v>33</v>
      </c>
      <c r="I37" s="295">
        <f t="shared" si="0"/>
        <v>4.078</v>
      </c>
      <c r="J37" s="434">
        <v>40192.30625</v>
      </c>
      <c r="K37" s="435">
        <v>40192.46805555555</v>
      </c>
      <c r="L37" s="225">
        <f t="shared" si="1"/>
        <v>3.8833333332440816</v>
      </c>
      <c r="M37" s="296">
        <f t="shared" si="2"/>
        <v>233</v>
      </c>
      <c r="N37" s="227" t="s">
        <v>73</v>
      </c>
      <c r="O37" s="428" t="str">
        <f t="shared" si="3"/>
        <v>--</v>
      </c>
      <c r="P37" s="297">
        <f t="shared" si="4"/>
        <v>50</v>
      </c>
      <c r="Q37" s="298">
        <f t="shared" si="5"/>
        <v>79.1132</v>
      </c>
      <c r="R37" s="299" t="str">
        <f t="shared" si="6"/>
        <v>--</v>
      </c>
      <c r="S37" s="300" t="str">
        <f t="shared" si="7"/>
        <v>--</v>
      </c>
      <c r="T37" s="301" t="str">
        <f t="shared" si="8"/>
        <v>--</v>
      </c>
      <c r="U37" s="429" t="s">
        <v>74</v>
      </c>
      <c r="V37" s="305">
        <f t="shared" si="9"/>
        <v>79.1132</v>
      </c>
      <c r="W37" s="238"/>
    </row>
    <row r="38" spans="2:23" s="1" customFormat="1" ht="16.5" customHeight="1">
      <c r="B38" s="13"/>
      <c r="C38" s="210">
        <v>128</v>
      </c>
      <c r="D38" s="209">
        <v>217466</v>
      </c>
      <c r="E38" s="209">
        <v>2664</v>
      </c>
      <c r="F38" s="293" t="s">
        <v>149</v>
      </c>
      <c r="G38" s="293" t="s">
        <v>153</v>
      </c>
      <c r="H38" s="294">
        <v>33</v>
      </c>
      <c r="I38" s="295">
        <f t="shared" si="0"/>
        <v>4.078</v>
      </c>
      <c r="J38" s="434">
        <v>40192.407638888886</v>
      </c>
      <c r="K38" s="435">
        <v>40192.48888888889</v>
      </c>
      <c r="L38" s="225">
        <f t="shared" si="1"/>
        <v>1.9500000000698492</v>
      </c>
      <c r="M38" s="296">
        <f t="shared" si="2"/>
        <v>117</v>
      </c>
      <c r="N38" s="227" t="s">
        <v>73</v>
      </c>
      <c r="O38" s="428" t="str">
        <f t="shared" si="3"/>
        <v>--</v>
      </c>
      <c r="P38" s="297">
        <f t="shared" si="4"/>
        <v>50</v>
      </c>
      <c r="Q38" s="298">
        <f t="shared" si="5"/>
        <v>39.76050000000001</v>
      </c>
      <c r="R38" s="299" t="str">
        <f t="shared" si="6"/>
        <v>--</v>
      </c>
      <c r="S38" s="300" t="str">
        <f t="shared" si="7"/>
        <v>--</v>
      </c>
      <c r="T38" s="301" t="str">
        <f t="shared" si="8"/>
        <v>--</v>
      </c>
      <c r="U38" s="429" t="s">
        <v>74</v>
      </c>
      <c r="V38" s="305">
        <f t="shared" si="9"/>
        <v>39.76050000000001</v>
      </c>
      <c r="W38" s="238"/>
    </row>
    <row r="39" spans="2:23" s="1" customFormat="1" ht="16.5" customHeight="1">
      <c r="B39" s="13"/>
      <c r="C39" s="210">
        <v>129</v>
      </c>
      <c r="D39" s="209">
        <v>217469</v>
      </c>
      <c r="E39" s="209">
        <v>2204</v>
      </c>
      <c r="F39" s="293" t="s">
        <v>149</v>
      </c>
      <c r="G39" s="293" t="s">
        <v>154</v>
      </c>
      <c r="H39" s="294">
        <v>13.199999809265137</v>
      </c>
      <c r="I39" s="295">
        <f t="shared" si="0"/>
        <v>4.078</v>
      </c>
      <c r="J39" s="434">
        <v>40192.50555555556</v>
      </c>
      <c r="K39" s="435">
        <v>40192.59444444445</v>
      </c>
      <c r="L39" s="225">
        <f t="shared" si="1"/>
        <v>2.1333333333022892</v>
      </c>
      <c r="M39" s="296">
        <f t="shared" si="2"/>
        <v>128</v>
      </c>
      <c r="N39" s="227" t="s">
        <v>73</v>
      </c>
      <c r="O39" s="428" t="str">
        <f t="shared" si="3"/>
        <v>--</v>
      </c>
      <c r="P39" s="297">
        <f t="shared" si="4"/>
        <v>40</v>
      </c>
      <c r="Q39" s="298">
        <f t="shared" si="5"/>
        <v>34.74456</v>
      </c>
      <c r="R39" s="299" t="str">
        <f t="shared" si="6"/>
        <v>--</v>
      </c>
      <c r="S39" s="300" t="str">
        <f t="shared" si="7"/>
        <v>--</v>
      </c>
      <c r="T39" s="301" t="str">
        <f t="shared" si="8"/>
        <v>--</v>
      </c>
      <c r="U39" s="429" t="s">
        <v>74</v>
      </c>
      <c r="V39" s="305">
        <f t="shared" si="9"/>
        <v>34.74456</v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4.078</v>
      </c>
      <c r="J40" s="434"/>
      <c r="K40" s="435"/>
      <c r="L40" s="225">
        <f t="shared" si="1"/>
      </c>
      <c r="M40" s="296">
        <f t="shared" si="2"/>
      </c>
      <c r="N40" s="227"/>
      <c r="O40" s="428">
        <f t="shared" si="3"/>
      </c>
      <c r="P40" s="297">
        <f t="shared" si="4"/>
        <v>40</v>
      </c>
      <c r="Q40" s="298" t="str">
        <f t="shared" si="5"/>
        <v>--</v>
      </c>
      <c r="R40" s="299" t="str">
        <f t="shared" si="6"/>
        <v>--</v>
      </c>
      <c r="S40" s="300" t="str">
        <f t="shared" si="7"/>
        <v>--</v>
      </c>
      <c r="T40" s="301" t="str">
        <f t="shared" si="8"/>
        <v>--</v>
      </c>
      <c r="U40" s="429">
        <f>IF(F40="","","SI")</f>
      </c>
      <c r="V40" s="305">
        <f t="shared" si="9"/>
      </c>
      <c r="W40" s="238"/>
    </row>
    <row r="41" spans="2:23" s="1" customFormat="1" ht="16.5" customHeight="1" thickBot="1">
      <c r="B41" s="13"/>
      <c r="C41" s="318"/>
      <c r="D41" s="318"/>
      <c r="E41" s="318"/>
      <c r="F41" s="318"/>
      <c r="G41" s="318"/>
      <c r="H41" s="318"/>
      <c r="I41" s="306"/>
      <c r="J41" s="408"/>
      <c r="K41" s="408"/>
      <c r="L41" s="239"/>
      <c r="M41" s="239"/>
      <c r="N41" s="318"/>
      <c r="O41" s="318"/>
      <c r="P41" s="328"/>
      <c r="Q41" s="329"/>
      <c r="R41" s="330"/>
      <c r="S41" s="331"/>
      <c r="T41" s="332"/>
      <c r="U41" s="318"/>
      <c r="V41" s="307"/>
      <c r="W41" s="238"/>
    </row>
    <row r="42" spans="2:23" s="1" customFormat="1" ht="16.5" customHeight="1" thickBot="1" thickTop="1">
      <c r="B42" s="13"/>
      <c r="C42" s="113" t="s">
        <v>55</v>
      </c>
      <c r="D42" s="436" t="s">
        <v>190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8">
        <f>SUM(Q20:Q41)</f>
        <v>520.4049200000001</v>
      </c>
      <c r="R42" s="309">
        <f>SUM(R20:R41)</f>
        <v>1943.8799999999997</v>
      </c>
      <c r="S42" s="309">
        <f>SUM(S20:S41)</f>
        <v>815.6389999999999</v>
      </c>
      <c r="T42" s="310">
        <f>SUM(T20:T41)</f>
        <v>0</v>
      </c>
      <c r="U42" s="311"/>
      <c r="V42" s="419">
        <f>ROUND(SUM(V20:V41),2)</f>
        <v>3279.92</v>
      </c>
      <c r="W42" s="238"/>
    </row>
    <row r="43" spans="2:23" s="127" customFormat="1" ht="9.75" thickTop="1">
      <c r="B43" s="128"/>
      <c r="C43" s="129"/>
      <c r="D43" s="129"/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312"/>
      <c r="W43" s="254"/>
    </row>
    <row r="44" spans="2:23" s="1" customFormat="1" ht="16.5" customHeight="1" thickBot="1">
      <c r="B44" s="140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</row>
    <row r="45" spans="2:23" ht="16.5" customHeight="1" thickTop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</row>
    <row r="46" spans="3:6" ht="16.5" customHeight="1">
      <c r="C46" s="313"/>
      <c r="D46" s="313"/>
      <c r="E46" s="313"/>
      <c r="F46" s="313"/>
    </row>
    <row r="47" ht="16.5" customHeight="1"/>
    <row r="48" ht="16.5" customHeight="1"/>
    <row r="49" ht="16.5" customHeight="1"/>
    <row r="50" ht="16.5" customHeight="1"/>
    <row r="5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W47"/>
  <sheetViews>
    <sheetView zoomScale="70" zoomScaleNormal="70" workbookViewId="0" topLeftCell="A4">
      <selection activeCell="G14" sqref="G14:G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'TOT-0110'!B2</f>
        <v>ANEXO II al Memorandum D.T.E.E. N°         /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'TOT-0110'!B14</f>
        <v>Desde el 01 al 31 de enero de 2010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10.877</v>
      </c>
      <c r="H14" s="267">
        <f>60*'TOT-0110'!B13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5.438</v>
      </c>
      <c r="H15" s="267">
        <f>50*'TOT-0110'!B13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4.078</v>
      </c>
      <c r="H16" s="271">
        <f>50*'TOT-0110'!B13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4.078</v>
      </c>
      <c r="H17" s="276">
        <f>40*'TOT-0110'!B13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70</v>
      </c>
      <c r="E19" s="421" t="s">
        <v>71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'SA-01 (1)'!V42</f>
        <v>3279.92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130</v>
      </c>
      <c r="D22" s="209">
        <v>217728</v>
      </c>
      <c r="E22" s="209">
        <v>2210</v>
      </c>
      <c r="F22" s="293" t="s">
        <v>155</v>
      </c>
      <c r="G22" s="293" t="s">
        <v>156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4.078</v>
      </c>
      <c r="J22" s="434">
        <v>40196.49444444444</v>
      </c>
      <c r="K22" s="435">
        <v>40196.60972222222</v>
      </c>
      <c r="L22" s="225">
        <f aca="true" t="shared" si="1" ref="L22:L41">IF(F22="","",(K22-J22)*24)</f>
        <v>2.7666666667792015</v>
      </c>
      <c r="M22" s="296">
        <f aca="true" t="shared" si="2" ref="M22:M41">IF(F22="","",ROUND((K22-J22)*24*60,0))</f>
        <v>166</v>
      </c>
      <c r="N22" s="227" t="s">
        <v>73</v>
      </c>
      <c r="O22" s="428" t="str">
        <f aca="true" t="shared" si="3" ref="O22:O41">IF(F22="","",IF(OR(N22="P",N22="RP"),"--","NO"))</f>
        <v>--</v>
      </c>
      <c r="P22" s="297">
        <f aca="true" t="shared" si="4" ref="P22:P41">IF(H22=220,$H$14,IF(AND(H22&lt;=132,H22&gt;=66),$H$15,IF(AND(H22&lt;66,H22&gt;13.2),$H$16,$H$17)))</f>
        <v>40</v>
      </c>
      <c r="Q22" s="298">
        <f aca="true" t="shared" si="5" ref="Q22:Q41">IF(N22="P",I22*P22*ROUND(M22/60,2)*0.1,"--")</f>
        <v>45.18424</v>
      </c>
      <c r="R22" s="299" t="str">
        <f aca="true" t="shared" si="6" ref="R22:R41">IF(AND(N22="F",O22="NO"),I22*P22,"--")</f>
        <v>--</v>
      </c>
      <c r="S22" s="300" t="str">
        <f aca="true" t="shared" si="7" ref="S22:S41">IF(N22="F",I22*P22*ROUND(M22/60,2),"--")</f>
        <v>--</v>
      </c>
      <c r="T22" s="301" t="str">
        <f aca="true" t="shared" si="8" ref="T22:T41">IF(N22="RF",I22*P22*ROUND(M22/60,2),"--")</f>
        <v>--</v>
      </c>
      <c r="U22" s="429" t="s">
        <v>74</v>
      </c>
      <c r="V22" s="305">
        <f aca="true" t="shared" si="9" ref="V22:V41">IF(F22="","",SUM(Q22:T22)*IF(U22="SI",1,2)*IF(H22="500/220",0,1))</f>
        <v>45.18424</v>
      </c>
      <c r="W22" s="238"/>
    </row>
    <row r="23" spans="2:23" s="1" customFormat="1" ht="16.5" customHeight="1">
      <c r="B23" s="13"/>
      <c r="C23" s="210">
        <v>131</v>
      </c>
      <c r="D23" s="209">
        <v>217729</v>
      </c>
      <c r="E23" s="209">
        <v>2209</v>
      </c>
      <c r="F23" s="293" t="s">
        <v>155</v>
      </c>
      <c r="G23" s="293" t="s">
        <v>157</v>
      </c>
      <c r="H23" s="294">
        <v>33</v>
      </c>
      <c r="I23" s="295">
        <f t="shared" si="0"/>
        <v>4.078</v>
      </c>
      <c r="J23" s="434">
        <v>40197.353472222225</v>
      </c>
      <c r="K23" s="435">
        <v>40197.51180555556</v>
      </c>
      <c r="L23" s="225">
        <f t="shared" si="1"/>
        <v>3.7999999999883585</v>
      </c>
      <c r="M23" s="296">
        <f t="shared" si="2"/>
        <v>228</v>
      </c>
      <c r="N23" s="227" t="s">
        <v>73</v>
      </c>
      <c r="O23" s="428" t="str">
        <f t="shared" si="3"/>
        <v>--</v>
      </c>
      <c r="P23" s="297">
        <f t="shared" si="4"/>
        <v>50</v>
      </c>
      <c r="Q23" s="298">
        <f t="shared" si="5"/>
        <v>77.482</v>
      </c>
      <c r="R23" s="299" t="str">
        <f t="shared" si="6"/>
        <v>--</v>
      </c>
      <c r="S23" s="300" t="str">
        <f t="shared" si="7"/>
        <v>--</v>
      </c>
      <c r="T23" s="301" t="str">
        <f t="shared" si="8"/>
        <v>--</v>
      </c>
      <c r="U23" s="429" t="s">
        <v>74</v>
      </c>
      <c r="V23" s="305">
        <f t="shared" si="9"/>
        <v>77.482</v>
      </c>
      <c r="W23" s="238"/>
    </row>
    <row r="24" spans="2:23" s="1" customFormat="1" ht="16.5" customHeight="1">
      <c r="B24" s="13"/>
      <c r="C24" s="210">
        <v>132</v>
      </c>
      <c r="D24" s="209">
        <v>217736</v>
      </c>
      <c r="E24" s="209">
        <v>2475</v>
      </c>
      <c r="F24" s="293" t="s">
        <v>120</v>
      </c>
      <c r="G24" s="293" t="s">
        <v>158</v>
      </c>
      <c r="H24" s="294">
        <v>13.199999809265137</v>
      </c>
      <c r="I24" s="295">
        <f t="shared" si="0"/>
        <v>4.078</v>
      </c>
      <c r="J24" s="434">
        <v>40197.49513888889</v>
      </c>
      <c r="K24" s="435">
        <v>40197.57916666667</v>
      </c>
      <c r="L24" s="225">
        <f t="shared" si="1"/>
        <v>2.0166666667792015</v>
      </c>
      <c r="M24" s="296">
        <f t="shared" si="2"/>
        <v>121</v>
      </c>
      <c r="N24" s="227" t="s">
        <v>75</v>
      </c>
      <c r="O24" s="428" t="str">
        <f t="shared" si="3"/>
        <v>NO</v>
      </c>
      <c r="P24" s="297">
        <f t="shared" si="4"/>
        <v>40</v>
      </c>
      <c r="Q24" s="298" t="str">
        <f t="shared" si="5"/>
        <v>--</v>
      </c>
      <c r="R24" s="299">
        <f t="shared" si="6"/>
        <v>163.12</v>
      </c>
      <c r="S24" s="300">
        <f t="shared" si="7"/>
        <v>329.5024</v>
      </c>
      <c r="T24" s="301" t="str">
        <f t="shared" si="8"/>
        <v>--</v>
      </c>
      <c r="U24" s="429" t="s">
        <v>74</v>
      </c>
      <c r="V24" s="305">
        <f t="shared" si="9"/>
        <v>492.6224</v>
      </c>
      <c r="W24" s="238"/>
    </row>
    <row r="25" spans="2:23" s="1" customFormat="1" ht="16.5" customHeight="1">
      <c r="B25" s="13"/>
      <c r="C25" s="210">
        <v>133</v>
      </c>
      <c r="D25" s="209">
        <v>217737</v>
      </c>
      <c r="E25" s="209">
        <v>2211</v>
      </c>
      <c r="F25" s="293" t="s">
        <v>155</v>
      </c>
      <c r="G25" s="293" t="s">
        <v>159</v>
      </c>
      <c r="H25" s="294">
        <v>13.199999809265137</v>
      </c>
      <c r="I25" s="295">
        <f t="shared" si="0"/>
        <v>4.078</v>
      </c>
      <c r="J25" s="434">
        <v>40197.50833333333</v>
      </c>
      <c r="K25" s="435">
        <v>40197.64791666667</v>
      </c>
      <c r="L25" s="225">
        <f t="shared" si="1"/>
        <v>3.3500000000931323</v>
      </c>
      <c r="M25" s="296">
        <f t="shared" si="2"/>
        <v>201</v>
      </c>
      <c r="N25" s="227" t="s">
        <v>73</v>
      </c>
      <c r="O25" s="428" t="str">
        <f t="shared" si="3"/>
        <v>--</v>
      </c>
      <c r="P25" s="297">
        <f t="shared" si="4"/>
        <v>40</v>
      </c>
      <c r="Q25" s="298">
        <f t="shared" si="5"/>
        <v>54.6452</v>
      </c>
      <c r="R25" s="299" t="str">
        <f t="shared" si="6"/>
        <v>--</v>
      </c>
      <c r="S25" s="300" t="str">
        <f t="shared" si="7"/>
        <v>--</v>
      </c>
      <c r="T25" s="301" t="str">
        <f t="shared" si="8"/>
        <v>--</v>
      </c>
      <c r="U25" s="429" t="s">
        <v>74</v>
      </c>
      <c r="V25" s="305">
        <f t="shared" si="9"/>
        <v>54.6452</v>
      </c>
      <c r="W25" s="238"/>
    </row>
    <row r="26" spans="2:23" s="1" customFormat="1" ht="16.5" customHeight="1">
      <c r="B26" s="13"/>
      <c r="C26" s="210">
        <v>134</v>
      </c>
      <c r="D26" s="209">
        <v>217739</v>
      </c>
      <c r="E26" s="209">
        <v>2212</v>
      </c>
      <c r="F26" s="293" t="s">
        <v>155</v>
      </c>
      <c r="G26" s="293" t="s">
        <v>160</v>
      </c>
      <c r="H26" s="294">
        <v>13.199999809265137</v>
      </c>
      <c r="I26" s="295">
        <f t="shared" si="0"/>
        <v>4.078</v>
      </c>
      <c r="J26" s="434">
        <v>40198.35972222222</v>
      </c>
      <c r="K26" s="435">
        <v>40198.501388888886</v>
      </c>
      <c r="L26" s="225">
        <f t="shared" si="1"/>
        <v>3.3999999999068677</v>
      </c>
      <c r="M26" s="296">
        <f t="shared" si="2"/>
        <v>204</v>
      </c>
      <c r="N26" s="227" t="s">
        <v>73</v>
      </c>
      <c r="O26" s="428" t="str">
        <f t="shared" si="3"/>
        <v>--</v>
      </c>
      <c r="P26" s="297">
        <f t="shared" si="4"/>
        <v>40</v>
      </c>
      <c r="Q26" s="298">
        <f t="shared" si="5"/>
        <v>55.4608</v>
      </c>
      <c r="R26" s="299" t="str">
        <f t="shared" si="6"/>
        <v>--</v>
      </c>
      <c r="S26" s="300" t="str">
        <f t="shared" si="7"/>
        <v>--</v>
      </c>
      <c r="T26" s="301" t="str">
        <f t="shared" si="8"/>
        <v>--</v>
      </c>
      <c r="U26" s="429" t="s">
        <v>74</v>
      </c>
      <c r="V26" s="305">
        <f t="shared" si="9"/>
        <v>55.4608</v>
      </c>
      <c r="W26" s="238"/>
    </row>
    <row r="27" spans="2:23" s="1" customFormat="1" ht="16.5" customHeight="1">
      <c r="B27" s="13"/>
      <c r="C27" s="210">
        <v>135</v>
      </c>
      <c r="D27" s="209">
        <v>217743</v>
      </c>
      <c r="E27" s="209">
        <v>2213</v>
      </c>
      <c r="F27" s="293" t="s">
        <v>155</v>
      </c>
      <c r="G27" s="293" t="s">
        <v>161</v>
      </c>
      <c r="H27" s="294">
        <v>13.199999809265137</v>
      </c>
      <c r="I27" s="295">
        <f t="shared" si="0"/>
        <v>4.078</v>
      </c>
      <c r="J27" s="434">
        <v>40198.51944444444</v>
      </c>
      <c r="K27" s="435">
        <v>40198.63402777778</v>
      </c>
      <c r="L27" s="225">
        <f t="shared" si="1"/>
        <v>2.7500000000582077</v>
      </c>
      <c r="M27" s="296">
        <f t="shared" si="2"/>
        <v>165</v>
      </c>
      <c r="N27" s="227" t="s">
        <v>73</v>
      </c>
      <c r="O27" s="428" t="str">
        <f t="shared" si="3"/>
        <v>--</v>
      </c>
      <c r="P27" s="297">
        <f t="shared" si="4"/>
        <v>40</v>
      </c>
      <c r="Q27" s="298">
        <f t="shared" si="5"/>
        <v>44.858000000000004</v>
      </c>
      <c r="R27" s="299" t="str">
        <f t="shared" si="6"/>
        <v>--</v>
      </c>
      <c r="S27" s="300" t="str">
        <f t="shared" si="7"/>
        <v>--</v>
      </c>
      <c r="T27" s="301" t="str">
        <f t="shared" si="8"/>
        <v>--</v>
      </c>
      <c r="U27" s="429" t="s">
        <v>74</v>
      </c>
      <c r="V27" s="305">
        <f t="shared" si="9"/>
        <v>44.858000000000004</v>
      </c>
      <c r="W27" s="238"/>
    </row>
    <row r="28" spans="2:23" s="1" customFormat="1" ht="16.5" customHeight="1">
      <c r="B28" s="13"/>
      <c r="C28" s="210">
        <v>136</v>
      </c>
      <c r="D28" s="209">
        <v>217746</v>
      </c>
      <c r="E28" s="209">
        <v>2654</v>
      </c>
      <c r="F28" s="293" t="s">
        <v>100</v>
      </c>
      <c r="G28" s="293" t="s">
        <v>162</v>
      </c>
      <c r="H28" s="294">
        <v>13.199999809265137</v>
      </c>
      <c r="I28" s="295">
        <f t="shared" si="0"/>
        <v>4.078</v>
      </c>
      <c r="J28" s="434">
        <v>40199.34444444445</v>
      </c>
      <c r="K28" s="435">
        <v>40199.677083333336</v>
      </c>
      <c r="L28" s="225">
        <f t="shared" si="1"/>
        <v>7.983333333337214</v>
      </c>
      <c r="M28" s="296">
        <f t="shared" si="2"/>
        <v>479</v>
      </c>
      <c r="N28" s="227" t="s">
        <v>73</v>
      </c>
      <c r="O28" s="428" t="str">
        <f t="shared" si="3"/>
        <v>--</v>
      </c>
      <c r="P28" s="297">
        <f t="shared" si="4"/>
        <v>40</v>
      </c>
      <c r="Q28" s="298">
        <f t="shared" si="5"/>
        <v>130.16976000000003</v>
      </c>
      <c r="R28" s="299" t="str">
        <f t="shared" si="6"/>
        <v>--</v>
      </c>
      <c r="S28" s="300" t="str">
        <f t="shared" si="7"/>
        <v>--</v>
      </c>
      <c r="T28" s="301" t="str">
        <f t="shared" si="8"/>
        <v>--</v>
      </c>
      <c r="U28" s="429" t="s">
        <v>74</v>
      </c>
      <c r="V28" s="305">
        <f t="shared" si="9"/>
        <v>130.16976000000003</v>
      </c>
      <c r="W28" s="238"/>
    </row>
    <row r="29" spans="2:23" s="1" customFormat="1" ht="16.5" customHeight="1">
      <c r="B29" s="13"/>
      <c r="C29" s="210">
        <v>137</v>
      </c>
      <c r="D29" s="209">
        <v>217747</v>
      </c>
      <c r="E29" s="209">
        <v>2655</v>
      </c>
      <c r="F29" s="293" t="s">
        <v>100</v>
      </c>
      <c r="G29" s="293" t="s">
        <v>163</v>
      </c>
      <c r="H29" s="294">
        <v>13.199999809265137</v>
      </c>
      <c r="I29" s="295">
        <f t="shared" si="0"/>
        <v>4.078</v>
      </c>
      <c r="J29" s="434">
        <v>40199.34444444445</v>
      </c>
      <c r="K29" s="435">
        <v>40199.677777777775</v>
      </c>
      <c r="L29" s="225">
        <f t="shared" si="1"/>
        <v>7.999999999883585</v>
      </c>
      <c r="M29" s="296">
        <f t="shared" si="2"/>
        <v>480</v>
      </c>
      <c r="N29" s="227" t="s">
        <v>73</v>
      </c>
      <c r="O29" s="428" t="str">
        <f t="shared" si="3"/>
        <v>--</v>
      </c>
      <c r="P29" s="297">
        <f t="shared" si="4"/>
        <v>40</v>
      </c>
      <c r="Q29" s="298">
        <f t="shared" si="5"/>
        <v>130.496</v>
      </c>
      <c r="R29" s="299" t="str">
        <f t="shared" si="6"/>
        <v>--</v>
      </c>
      <c r="S29" s="300" t="str">
        <f t="shared" si="7"/>
        <v>--</v>
      </c>
      <c r="T29" s="301" t="str">
        <f t="shared" si="8"/>
        <v>--</v>
      </c>
      <c r="U29" s="429" t="s">
        <v>74</v>
      </c>
      <c r="V29" s="305">
        <f t="shared" si="9"/>
        <v>130.496</v>
      </c>
      <c r="W29" s="238"/>
    </row>
    <row r="30" spans="2:23" s="1" customFormat="1" ht="16.5" customHeight="1">
      <c r="B30" s="13"/>
      <c r="C30" s="210">
        <v>138</v>
      </c>
      <c r="D30" s="209">
        <v>217750</v>
      </c>
      <c r="E30" s="209">
        <v>2178</v>
      </c>
      <c r="F30" s="293" t="s">
        <v>113</v>
      </c>
      <c r="G30" s="293" t="s">
        <v>164</v>
      </c>
      <c r="H30" s="294">
        <v>33</v>
      </c>
      <c r="I30" s="295">
        <f t="shared" si="0"/>
        <v>4.078</v>
      </c>
      <c r="J30" s="434">
        <v>40199.42361111111</v>
      </c>
      <c r="K30" s="435">
        <v>40199.48333333333</v>
      </c>
      <c r="L30" s="225">
        <f t="shared" si="1"/>
        <v>1.4333333332906477</v>
      </c>
      <c r="M30" s="296">
        <f t="shared" si="2"/>
        <v>86</v>
      </c>
      <c r="N30" s="227" t="s">
        <v>73</v>
      </c>
      <c r="O30" s="428" t="str">
        <f t="shared" si="3"/>
        <v>--</v>
      </c>
      <c r="P30" s="297">
        <f t="shared" si="4"/>
        <v>50</v>
      </c>
      <c r="Q30" s="298">
        <f t="shared" si="5"/>
        <v>29.157700000000002</v>
      </c>
      <c r="R30" s="299" t="str">
        <f t="shared" si="6"/>
        <v>--</v>
      </c>
      <c r="S30" s="300" t="str">
        <f t="shared" si="7"/>
        <v>--</v>
      </c>
      <c r="T30" s="301" t="str">
        <f t="shared" si="8"/>
        <v>--</v>
      </c>
      <c r="U30" s="429" t="s">
        <v>74</v>
      </c>
      <c r="V30" s="305">
        <f t="shared" si="9"/>
        <v>29.157700000000002</v>
      </c>
      <c r="W30" s="238"/>
    </row>
    <row r="31" spans="2:23" s="1" customFormat="1" ht="16.5" customHeight="1">
      <c r="B31" s="13"/>
      <c r="C31" s="210">
        <v>139</v>
      </c>
      <c r="D31" s="209">
        <v>217755</v>
      </c>
      <c r="E31" s="209">
        <v>2178</v>
      </c>
      <c r="F31" s="293" t="s">
        <v>113</v>
      </c>
      <c r="G31" s="293" t="s">
        <v>164</v>
      </c>
      <c r="H31" s="294">
        <v>33</v>
      </c>
      <c r="I31" s="295">
        <f t="shared" si="0"/>
        <v>4.078</v>
      </c>
      <c r="J31" s="434">
        <v>40200.29652777778</v>
      </c>
      <c r="K31" s="435">
        <v>40200.368055555555</v>
      </c>
      <c r="L31" s="225">
        <f t="shared" si="1"/>
        <v>1.7166666666744277</v>
      </c>
      <c r="M31" s="296">
        <f t="shared" si="2"/>
        <v>103</v>
      </c>
      <c r="N31" s="227" t="s">
        <v>73</v>
      </c>
      <c r="O31" s="428" t="str">
        <f t="shared" si="3"/>
        <v>--</v>
      </c>
      <c r="P31" s="297">
        <f t="shared" si="4"/>
        <v>50</v>
      </c>
      <c r="Q31" s="298">
        <f t="shared" si="5"/>
        <v>35.070800000000006</v>
      </c>
      <c r="R31" s="299" t="str">
        <f t="shared" si="6"/>
        <v>--</v>
      </c>
      <c r="S31" s="300" t="str">
        <f t="shared" si="7"/>
        <v>--</v>
      </c>
      <c r="T31" s="301" t="str">
        <f t="shared" si="8"/>
        <v>--</v>
      </c>
      <c r="U31" s="429" t="s">
        <v>74</v>
      </c>
      <c r="V31" s="305">
        <f t="shared" si="9"/>
        <v>35.070800000000006</v>
      </c>
      <c r="W31" s="238"/>
    </row>
    <row r="32" spans="2:23" s="1" customFormat="1" ht="16.5" customHeight="1">
      <c r="B32" s="13"/>
      <c r="C32" s="210">
        <v>140</v>
      </c>
      <c r="D32" s="209">
        <v>217894</v>
      </c>
      <c r="E32" s="209">
        <v>2215</v>
      </c>
      <c r="F32" s="293" t="s">
        <v>155</v>
      </c>
      <c r="G32" s="293" t="s">
        <v>165</v>
      </c>
      <c r="H32" s="294">
        <v>13.199999809265137</v>
      </c>
      <c r="I32" s="295">
        <f t="shared" si="0"/>
        <v>4.078</v>
      </c>
      <c r="J32" s="434">
        <v>40203.47083333333</v>
      </c>
      <c r="K32" s="435">
        <v>40203.584027777775</v>
      </c>
      <c r="L32" s="225">
        <f t="shared" si="1"/>
        <v>2.71666666661622</v>
      </c>
      <c r="M32" s="296">
        <f t="shared" si="2"/>
        <v>163</v>
      </c>
      <c r="N32" s="227" t="s">
        <v>73</v>
      </c>
      <c r="O32" s="428" t="str">
        <f t="shared" si="3"/>
        <v>--</v>
      </c>
      <c r="P32" s="297">
        <f t="shared" si="4"/>
        <v>40</v>
      </c>
      <c r="Q32" s="298">
        <f t="shared" si="5"/>
        <v>44.368640000000006</v>
      </c>
      <c r="R32" s="299" t="str">
        <f t="shared" si="6"/>
        <v>--</v>
      </c>
      <c r="S32" s="300" t="str">
        <f t="shared" si="7"/>
        <v>--</v>
      </c>
      <c r="T32" s="301" t="str">
        <f t="shared" si="8"/>
        <v>--</v>
      </c>
      <c r="U32" s="429" t="s">
        <v>74</v>
      </c>
      <c r="V32" s="305">
        <f t="shared" si="9"/>
        <v>44.368640000000006</v>
      </c>
      <c r="W32" s="238"/>
    </row>
    <row r="33" spans="2:23" s="1" customFormat="1" ht="16.5" customHeight="1">
      <c r="B33" s="13"/>
      <c r="C33" s="210">
        <v>141</v>
      </c>
      <c r="D33" s="209">
        <v>217901</v>
      </c>
      <c r="E33" s="209">
        <v>2769</v>
      </c>
      <c r="F33" s="293" t="s">
        <v>143</v>
      </c>
      <c r="G33" s="293" t="s">
        <v>144</v>
      </c>
      <c r="H33" s="294">
        <v>132</v>
      </c>
      <c r="I33" s="295">
        <f t="shared" si="0"/>
        <v>5.438</v>
      </c>
      <c r="J33" s="434">
        <v>40204.34861111111</v>
      </c>
      <c r="K33" s="435">
        <v>40204.490277777775</v>
      </c>
      <c r="L33" s="225">
        <f t="shared" si="1"/>
        <v>3.3999999999068677</v>
      </c>
      <c r="M33" s="296">
        <f t="shared" si="2"/>
        <v>204</v>
      </c>
      <c r="N33" s="227" t="s">
        <v>73</v>
      </c>
      <c r="O33" s="428" t="str">
        <f t="shared" si="3"/>
        <v>--</v>
      </c>
      <c r="P33" s="297">
        <f t="shared" si="4"/>
        <v>50</v>
      </c>
      <c r="Q33" s="298">
        <f t="shared" si="5"/>
        <v>92.446</v>
      </c>
      <c r="R33" s="299" t="str">
        <f t="shared" si="6"/>
        <v>--</v>
      </c>
      <c r="S33" s="300" t="str">
        <f t="shared" si="7"/>
        <v>--</v>
      </c>
      <c r="T33" s="301" t="str">
        <f t="shared" si="8"/>
        <v>--</v>
      </c>
      <c r="U33" s="429" t="s">
        <v>74</v>
      </c>
      <c r="V33" s="305">
        <f t="shared" si="9"/>
        <v>92.446</v>
      </c>
      <c r="W33" s="238"/>
    </row>
    <row r="34" spans="2:23" s="1" customFormat="1" ht="16.5" customHeight="1">
      <c r="B34" s="13"/>
      <c r="C34" s="210">
        <v>142</v>
      </c>
      <c r="D34" s="209">
        <v>217902</v>
      </c>
      <c r="E34" s="209">
        <v>2214</v>
      </c>
      <c r="F34" s="293" t="s">
        <v>155</v>
      </c>
      <c r="G34" s="293" t="s">
        <v>166</v>
      </c>
      <c r="H34" s="294">
        <v>13.199999809265137</v>
      </c>
      <c r="I34" s="295">
        <f t="shared" si="0"/>
        <v>4.078</v>
      </c>
      <c r="J34" s="434">
        <v>40204.356944444444</v>
      </c>
      <c r="K34" s="435">
        <v>40204.45694444444</v>
      </c>
      <c r="L34" s="225">
        <f t="shared" si="1"/>
        <v>2.3999999999650754</v>
      </c>
      <c r="M34" s="296">
        <f t="shared" si="2"/>
        <v>144</v>
      </c>
      <c r="N34" s="227" t="s">
        <v>73</v>
      </c>
      <c r="O34" s="428" t="str">
        <f t="shared" si="3"/>
        <v>--</v>
      </c>
      <c r="P34" s="297">
        <f t="shared" si="4"/>
        <v>40</v>
      </c>
      <c r="Q34" s="298">
        <f t="shared" si="5"/>
        <v>39.1488</v>
      </c>
      <c r="R34" s="299" t="str">
        <f t="shared" si="6"/>
        <v>--</v>
      </c>
      <c r="S34" s="300" t="str">
        <f t="shared" si="7"/>
        <v>--</v>
      </c>
      <c r="T34" s="301" t="str">
        <f t="shared" si="8"/>
        <v>--</v>
      </c>
      <c r="U34" s="429" t="s">
        <v>74</v>
      </c>
      <c r="V34" s="305">
        <f t="shared" si="9"/>
        <v>39.1488</v>
      </c>
      <c r="W34" s="238"/>
    </row>
    <row r="35" spans="2:23" s="1" customFormat="1" ht="16.5" customHeight="1">
      <c r="B35" s="13"/>
      <c r="C35" s="210">
        <v>143</v>
      </c>
      <c r="D35" s="209">
        <v>217904</v>
      </c>
      <c r="E35" s="209">
        <v>2217</v>
      </c>
      <c r="F35" s="293" t="s">
        <v>155</v>
      </c>
      <c r="G35" s="293" t="s">
        <v>167</v>
      </c>
      <c r="H35" s="294">
        <v>13.199999809265137</v>
      </c>
      <c r="I35" s="295">
        <f t="shared" si="0"/>
        <v>4.078</v>
      </c>
      <c r="J35" s="434">
        <v>40204.48402777778</v>
      </c>
      <c r="K35" s="435">
        <v>40204.61944444444</v>
      </c>
      <c r="L35" s="225">
        <f t="shared" si="1"/>
        <v>3.2499999999417923</v>
      </c>
      <c r="M35" s="296">
        <f t="shared" si="2"/>
        <v>195</v>
      </c>
      <c r="N35" s="227" t="s">
        <v>73</v>
      </c>
      <c r="O35" s="428" t="str">
        <f t="shared" si="3"/>
        <v>--</v>
      </c>
      <c r="P35" s="297">
        <f t="shared" si="4"/>
        <v>40</v>
      </c>
      <c r="Q35" s="298">
        <f t="shared" si="5"/>
        <v>53.014</v>
      </c>
      <c r="R35" s="299" t="str">
        <f t="shared" si="6"/>
        <v>--</v>
      </c>
      <c r="S35" s="300" t="str">
        <f t="shared" si="7"/>
        <v>--</v>
      </c>
      <c r="T35" s="301" t="str">
        <f t="shared" si="8"/>
        <v>--</v>
      </c>
      <c r="U35" s="429" t="s">
        <v>74</v>
      </c>
      <c r="V35" s="305">
        <f t="shared" si="9"/>
        <v>53.014</v>
      </c>
      <c r="W35" s="238"/>
    </row>
    <row r="36" spans="2:23" s="1" customFormat="1" ht="16.5" customHeight="1">
      <c r="B36" s="13"/>
      <c r="C36" s="210">
        <v>144</v>
      </c>
      <c r="D36" s="209">
        <v>217907</v>
      </c>
      <c r="E36" s="209">
        <v>2497</v>
      </c>
      <c r="F36" s="293" t="s">
        <v>104</v>
      </c>
      <c r="G36" s="293" t="s">
        <v>168</v>
      </c>
      <c r="H36" s="294">
        <v>33</v>
      </c>
      <c r="I36" s="295">
        <f t="shared" si="0"/>
        <v>4.078</v>
      </c>
      <c r="J36" s="434">
        <v>40205.368055555555</v>
      </c>
      <c r="K36" s="435">
        <v>40205.44583333333</v>
      </c>
      <c r="L36" s="225">
        <f t="shared" si="1"/>
        <v>1.866666666639503</v>
      </c>
      <c r="M36" s="296">
        <f t="shared" si="2"/>
        <v>112</v>
      </c>
      <c r="N36" s="227" t="s">
        <v>73</v>
      </c>
      <c r="O36" s="428" t="str">
        <f t="shared" si="3"/>
        <v>--</v>
      </c>
      <c r="P36" s="297">
        <f t="shared" si="4"/>
        <v>50</v>
      </c>
      <c r="Q36" s="298">
        <f t="shared" si="5"/>
        <v>38.1293</v>
      </c>
      <c r="R36" s="299" t="str">
        <f t="shared" si="6"/>
        <v>--</v>
      </c>
      <c r="S36" s="300" t="str">
        <f t="shared" si="7"/>
        <v>--</v>
      </c>
      <c r="T36" s="301" t="str">
        <f t="shared" si="8"/>
        <v>--</v>
      </c>
      <c r="U36" s="429" t="s">
        <v>74</v>
      </c>
      <c r="V36" s="305">
        <f t="shared" si="9"/>
        <v>38.1293</v>
      </c>
      <c r="W36" s="238"/>
    </row>
    <row r="37" spans="2:23" s="1" customFormat="1" ht="16.5" customHeight="1">
      <c r="B37" s="13"/>
      <c r="C37" s="210">
        <v>145</v>
      </c>
      <c r="D37" s="209">
        <v>217908</v>
      </c>
      <c r="E37" s="209">
        <v>2216</v>
      </c>
      <c r="F37" s="293" t="s">
        <v>155</v>
      </c>
      <c r="G37" s="293" t="s">
        <v>169</v>
      </c>
      <c r="H37" s="294">
        <v>13.199999809265137</v>
      </c>
      <c r="I37" s="295">
        <f t="shared" si="0"/>
        <v>4.078</v>
      </c>
      <c r="J37" s="434">
        <v>40205.37708333333</v>
      </c>
      <c r="K37" s="435">
        <v>40205.59583333333</v>
      </c>
      <c r="L37" s="225">
        <f t="shared" si="1"/>
        <v>5.25</v>
      </c>
      <c r="M37" s="296">
        <f t="shared" si="2"/>
        <v>315</v>
      </c>
      <c r="N37" s="227" t="s">
        <v>73</v>
      </c>
      <c r="O37" s="428" t="str">
        <f t="shared" si="3"/>
        <v>--</v>
      </c>
      <c r="P37" s="297">
        <f t="shared" si="4"/>
        <v>40</v>
      </c>
      <c r="Q37" s="298">
        <f t="shared" si="5"/>
        <v>85.638</v>
      </c>
      <c r="R37" s="299" t="str">
        <f t="shared" si="6"/>
        <v>--</v>
      </c>
      <c r="S37" s="300" t="str">
        <f t="shared" si="7"/>
        <v>--</v>
      </c>
      <c r="T37" s="301" t="str">
        <f t="shared" si="8"/>
        <v>--</v>
      </c>
      <c r="U37" s="429" t="s">
        <v>74</v>
      </c>
      <c r="V37" s="305">
        <f t="shared" si="9"/>
        <v>85.638</v>
      </c>
      <c r="W37" s="238"/>
    </row>
    <row r="38" spans="2:23" s="1" customFormat="1" ht="16.5" customHeight="1">
      <c r="B38" s="13"/>
      <c r="C38" s="210">
        <v>146</v>
      </c>
      <c r="D38" s="209">
        <v>217912</v>
      </c>
      <c r="E38" s="209">
        <v>2213</v>
      </c>
      <c r="F38" s="293" t="s">
        <v>155</v>
      </c>
      <c r="G38" s="293" t="s">
        <v>161</v>
      </c>
      <c r="H38" s="294">
        <v>13.199999809265137</v>
      </c>
      <c r="I38" s="295">
        <f t="shared" si="0"/>
        <v>4.078</v>
      </c>
      <c r="J38" s="434">
        <v>40206.56319444445</v>
      </c>
      <c r="K38" s="435">
        <v>40206.71875</v>
      </c>
      <c r="L38" s="225">
        <f t="shared" si="1"/>
        <v>3.733333333279006</v>
      </c>
      <c r="M38" s="296">
        <f t="shared" si="2"/>
        <v>224</v>
      </c>
      <c r="N38" s="227" t="s">
        <v>75</v>
      </c>
      <c r="O38" s="428" t="str">
        <f t="shared" si="3"/>
        <v>NO</v>
      </c>
      <c r="P38" s="297">
        <f t="shared" si="4"/>
        <v>40</v>
      </c>
      <c r="Q38" s="298" t="str">
        <f t="shared" si="5"/>
        <v>--</v>
      </c>
      <c r="R38" s="299">
        <f t="shared" si="6"/>
        <v>163.12</v>
      </c>
      <c r="S38" s="300">
        <f t="shared" si="7"/>
        <v>608.4376</v>
      </c>
      <c r="T38" s="301" t="str">
        <f t="shared" si="8"/>
        <v>--</v>
      </c>
      <c r="U38" s="429" t="s">
        <v>74</v>
      </c>
      <c r="V38" s="305">
        <f t="shared" si="9"/>
        <v>771.5576</v>
      </c>
      <c r="W38" s="238"/>
    </row>
    <row r="39" spans="2:23" s="1" customFormat="1" ht="16.5" customHeight="1">
      <c r="B39" s="13"/>
      <c r="C39" s="210">
        <v>147</v>
      </c>
      <c r="D39" s="209">
        <v>217914</v>
      </c>
      <c r="E39" s="209">
        <v>2178</v>
      </c>
      <c r="F39" s="293" t="s">
        <v>113</v>
      </c>
      <c r="G39" s="293" t="s">
        <v>164</v>
      </c>
      <c r="H39" s="294">
        <v>33</v>
      </c>
      <c r="I39" s="295">
        <f t="shared" si="0"/>
        <v>4.078</v>
      </c>
      <c r="J39" s="434">
        <v>40207.26666666667</v>
      </c>
      <c r="K39" s="435">
        <v>40207.58819444444</v>
      </c>
      <c r="L39" s="225">
        <f t="shared" si="1"/>
        <v>7.716666666499805</v>
      </c>
      <c r="M39" s="296">
        <f t="shared" si="2"/>
        <v>463</v>
      </c>
      <c r="N39" s="227" t="s">
        <v>73</v>
      </c>
      <c r="O39" s="428" t="str">
        <f t="shared" si="3"/>
        <v>--</v>
      </c>
      <c r="P39" s="297">
        <f t="shared" si="4"/>
        <v>50</v>
      </c>
      <c r="Q39" s="298">
        <f t="shared" si="5"/>
        <v>157.4108</v>
      </c>
      <c r="R39" s="299" t="str">
        <f t="shared" si="6"/>
        <v>--</v>
      </c>
      <c r="S39" s="300" t="str">
        <f t="shared" si="7"/>
        <v>--</v>
      </c>
      <c r="T39" s="301" t="str">
        <f t="shared" si="8"/>
        <v>--</v>
      </c>
      <c r="U39" s="429" t="s">
        <v>74</v>
      </c>
      <c r="V39" s="305">
        <f t="shared" si="9"/>
        <v>157.4108</v>
      </c>
      <c r="W39" s="238"/>
    </row>
    <row r="40" spans="2:23" s="1" customFormat="1" ht="16.5" customHeight="1">
      <c r="B40" s="13"/>
      <c r="C40" s="210">
        <v>148</v>
      </c>
      <c r="D40" s="209">
        <v>217915</v>
      </c>
      <c r="E40" s="209">
        <v>3633</v>
      </c>
      <c r="F40" s="293" t="s">
        <v>113</v>
      </c>
      <c r="G40" s="293" t="s">
        <v>170</v>
      </c>
      <c r="H40" s="294">
        <v>33</v>
      </c>
      <c r="I40" s="295">
        <f t="shared" si="0"/>
        <v>4.078</v>
      </c>
      <c r="J40" s="434">
        <v>40207.26736111111</v>
      </c>
      <c r="K40" s="435">
        <v>40207.58888888889</v>
      </c>
      <c r="L40" s="225">
        <f t="shared" si="1"/>
        <v>7.716666666674428</v>
      </c>
      <c r="M40" s="296">
        <f t="shared" si="2"/>
        <v>463</v>
      </c>
      <c r="N40" s="227" t="s">
        <v>73</v>
      </c>
      <c r="O40" s="428" t="str">
        <f t="shared" si="3"/>
        <v>--</v>
      </c>
      <c r="P40" s="297">
        <f t="shared" si="4"/>
        <v>50</v>
      </c>
      <c r="Q40" s="298">
        <f t="shared" si="5"/>
        <v>157.4108</v>
      </c>
      <c r="R40" s="299" t="str">
        <f t="shared" si="6"/>
        <v>--</v>
      </c>
      <c r="S40" s="300" t="str">
        <f t="shared" si="7"/>
        <v>--</v>
      </c>
      <c r="T40" s="301" t="str">
        <f t="shared" si="8"/>
        <v>--</v>
      </c>
      <c r="U40" s="429" t="s">
        <v>74</v>
      </c>
      <c r="V40" s="305">
        <f t="shared" si="9"/>
        <v>157.4108</v>
      </c>
      <c r="W40" s="238"/>
    </row>
    <row r="41" spans="2:23" s="1" customFormat="1" ht="16.5" customHeight="1">
      <c r="B41" s="13"/>
      <c r="C41" s="210"/>
      <c r="D41" s="209"/>
      <c r="E41" s="209"/>
      <c r="F41" s="293"/>
      <c r="G41" s="293"/>
      <c r="H41" s="294"/>
      <c r="I41" s="295">
        <f t="shared" si="0"/>
        <v>4.078</v>
      </c>
      <c r="J41" s="434"/>
      <c r="K41" s="435"/>
      <c r="L41" s="225">
        <f t="shared" si="1"/>
      </c>
      <c r="M41" s="296">
        <f t="shared" si="2"/>
      </c>
      <c r="N41" s="227"/>
      <c r="O41" s="428">
        <f t="shared" si="3"/>
      </c>
      <c r="P41" s="297">
        <f t="shared" si="4"/>
        <v>40</v>
      </c>
      <c r="Q41" s="298" t="str">
        <f t="shared" si="5"/>
        <v>--</v>
      </c>
      <c r="R41" s="299" t="str">
        <f t="shared" si="6"/>
        <v>--</v>
      </c>
      <c r="S41" s="300" t="str">
        <f t="shared" si="7"/>
        <v>--</v>
      </c>
      <c r="T41" s="301" t="str">
        <f t="shared" si="8"/>
        <v>--</v>
      </c>
      <c r="U41" s="429">
        <f>IF(F41="","","SI")</f>
      </c>
      <c r="V41" s="305">
        <f t="shared" si="9"/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36" t="s">
        <v>190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1270.0908400000003</v>
      </c>
      <c r="R43" s="309">
        <f>SUM(R20:R42)</f>
        <v>326.24</v>
      </c>
      <c r="S43" s="309">
        <f>SUM(S20:S42)</f>
        <v>937.94</v>
      </c>
      <c r="T43" s="310">
        <f>SUM(T20:T42)</f>
        <v>0</v>
      </c>
      <c r="U43" s="311"/>
      <c r="V43" s="419">
        <f>ROUND(SUM(V20:V42),2)</f>
        <v>5814.19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E46"/>
  <sheetViews>
    <sheetView zoomScale="70" zoomScaleNormal="70" workbookViewId="0" topLeftCell="A1">
      <selection activeCell="I22" sqref="I22"/>
    </sheetView>
  </sheetViews>
  <sheetFormatPr defaultColWidth="11.421875" defaultRowHeight="12.75"/>
  <cols>
    <col min="1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15"/>
    </row>
    <row r="2" spans="2:31" s="3" customFormat="1" ht="26.25">
      <c r="B2" s="16" t="str">
        <f>'TOT-0110'!B2</f>
        <v>ANEXO II al Memorandum D.T.E.E. N°         /             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2:31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2:31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2:31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</row>
    <row r="8" spans="2:31" s="22" customFormat="1" ht="20.25">
      <c r="B8" s="153"/>
      <c r="C8" s="154"/>
      <c r="D8" s="154"/>
      <c r="E8" s="154"/>
      <c r="F8" s="155" t="s">
        <v>5</v>
      </c>
      <c r="H8" s="154"/>
      <c r="I8" s="154"/>
      <c r="J8" s="156"/>
      <c r="K8" s="156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7"/>
    </row>
    <row r="9" spans="2:31" s="1" customFormat="1" ht="16.5" customHeight="1">
      <c r="B9" s="158"/>
      <c r="C9" s="2"/>
      <c r="D9" s="2"/>
      <c r="E9" s="2"/>
      <c r="F9" s="2"/>
      <c r="G9" s="2"/>
      <c r="H9" s="2"/>
      <c r="I9" s="2"/>
      <c r="J9" s="1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9"/>
    </row>
    <row r="10" spans="2:31" s="22" customFormat="1" ht="20.25">
      <c r="B10" s="153"/>
      <c r="C10" s="154"/>
      <c r="D10" s="154"/>
      <c r="E10" s="154"/>
      <c r="F10" s="155" t="s">
        <v>65</v>
      </c>
      <c r="G10" s="154"/>
      <c r="H10" s="154"/>
      <c r="I10" s="154"/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7"/>
    </row>
    <row r="11" spans="2:31" s="1" customFormat="1" ht="16.5" customHeight="1">
      <c r="B11" s="158"/>
      <c r="C11" s="2"/>
      <c r="D11" s="2"/>
      <c r="E11" s="2"/>
      <c r="F11" s="160"/>
      <c r="G11" s="2"/>
      <c r="H11" s="2"/>
      <c r="I11" s="2"/>
      <c r="J11" s="1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9"/>
    </row>
    <row r="12" spans="2:31" s="22" customFormat="1" ht="20.25">
      <c r="B12" s="153"/>
      <c r="C12" s="154"/>
      <c r="D12" s="154"/>
      <c r="E12" s="154"/>
      <c r="F12" s="411" t="s">
        <v>66</v>
      </c>
      <c r="G12" s="155"/>
      <c r="H12" s="156"/>
      <c r="I12" s="156"/>
      <c r="J12" s="156"/>
      <c r="K12" s="162"/>
      <c r="L12" s="154"/>
      <c r="M12" s="156"/>
      <c r="N12" s="15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7"/>
    </row>
    <row r="13" spans="2:31" s="1" customFormat="1" ht="16.5" customHeight="1">
      <c r="B13" s="158"/>
      <c r="C13" s="2"/>
      <c r="D13" s="2"/>
      <c r="E13" s="2"/>
      <c r="F13" s="163"/>
      <c r="G13" s="163"/>
      <c r="H13" s="163"/>
      <c r="I13" s="163"/>
      <c r="J13" s="164"/>
      <c r="K13" s="16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9"/>
    </row>
    <row r="14" spans="2:31" s="10" customFormat="1" ht="19.5">
      <c r="B14" s="166" t="str">
        <f>'TOT-0110'!B14</f>
        <v>Desde el 01 al 31 de enero de 2010</v>
      </c>
      <c r="C14" s="28"/>
      <c r="D14" s="28"/>
      <c r="E14" s="28"/>
      <c r="F14" s="167"/>
      <c r="G14" s="167"/>
      <c r="H14" s="167"/>
      <c r="I14" s="167"/>
      <c r="J14" s="167"/>
      <c r="K14" s="167"/>
      <c r="L14" s="29"/>
      <c r="M14" s="29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2:31" s="1" customFormat="1" ht="16.5" customHeight="1" thickBot="1">
      <c r="B15" s="158"/>
      <c r="C15" s="2"/>
      <c r="D15" s="2"/>
      <c r="E15" s="2"/>
      <c r="F15" s="2"/>
      <c r="G15" s="2"/>
      <c r="H15" s="2"/>
      <c r="I15" s="2"/>
      <c r="J15" s="169"/>
      <c r="K15" s="2"/>
      <c r="L15" s="17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9"/>
    </row>
    <row r="16" spans="2:31" s="1" customFormat="1" ht="16.5" customHeight="1" thickBot="1" thickTop="1">
      <c r="B16" s="158"/>
      <c r="C16" s="2"/>
      <c r="D16" s="2"/>
      <c r="E16" s="2"/>
      <c r="F16" s="174" t="s">
        <v>34</v>
      </c>
      <c r="G16" s="175"/>
      <c r="H16" s="175"/>
      <c r="I16" s="175"/>
      <c r="J16" s="176">
        <f>60*'TOT-0110'!B13</f>
        <v>60</v>
      </c>
      <c r="K16" s="177"/>
      <c r="L16" s="177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8"/>
      <c r="Y16" s="2"/>
      <c r="Z16" s="178"/>
      <c r="AA16" s="178"/>
      <c r="AB16" s="178"/>
      <c r="AC16" s="178"/>
      <c r="AD16" s="178"/>
      <c r="AE16" s="159"/>
    </row>
    <row r="17" spans="2:31" s="1" customFormat="1" ht="16.5" customHeight="1" thickBot="1" thickTop="1">
      <c r="B17" s="158"/>
      <c r="C17" s="423">
        <v>3</v>
      </c>
      <c r="D17" s="423">
        <v>4</v>
      </c>
      <c r="E17" s="423">
        <v>5</v>
      </c>
      <c r="F17" s="423">
        <v>6</v>
      </c>
      <c r="G17" s="423">
        <v>7</v>
      </c>
      <c r="H17" s="423">
        <v>8</v>
      </c>
      <c r="I17" s="423">
        <v>9</v>
      </c>
      <c r="J17" s="423">
        <v>10</v>
      </c>
      <c r="K17" s="423">
        <v>11</v>
      </c>
      <c r="L17" s="423">
        <v>12</v>
      </c>
      <c r="M17" s="423">
        <v>13</v>
      </c>
      <c r="N17" s="423">
        <v>14</v>
      </c>
      <c r="O17" s="423">
        <v>15</v>
      </c>
      <c r="P17" s="423">
        <v>16</v>
      </c>
      <c r="Q17" s="423">
        <v>17</v>
      </c>
      <c r="R17" s="423">
        <v>18</v>
      </c>
      <c r="S17" s="423">
        <v>19</v>
      </c>
      <c r="T17" s="423">
        <v>20</v>
      </c>
      <c r="U17" s="423">
        <v>21</v>
      </c>
      <c r="V17" s="423">
        <v>22</v>
      </c>
      <c r="W17" s="423">
        <v>23</v>
      </c>
      <c r="X17" s="423">
        <v>24</v>
      </c>
      <c r="Y17" s="423">
        <v>25</v>
      </c>
      <c r="Z17" s="423">
        <v>26</v>
      </c>
      <c r="AA17" s="423">
        <v>27</v>
      </c>
      <c r="AB17" s="423">
        <v>28</v>
      </c>
      <c r="AC17" s="423">
        <v>29</v>
      </c>
      <c r="AD17" s="423">
        <v>30</v>
      </c>
      <c r="AE17" s="159"/>
    </row>
    <row r="18" spans="2:31" s="179" customFormat="1" ht="34.5" customHeight="1" thickBot="1" thickTop="1">
      <c r="B18" s="180"/>
      <c r="C18" s="421" t="s">
        <v>13</v>
      </c>
      <c r="D18" s="421" t="s">
        <v>70</v>
      </c>
      <c r="E18" s="421" t="s">
        <v>71</v>
      </c>
      <c r="F18" s="181" t="s">
        <v>35</v>
      </c>
      <c r="G18" s="182" t="s">
        <v>36</v>
      </c>
      <c r="H18" s="183" t="s">
        <v>37</v>
      </c>
      <c r="I18" s="183" t="s">
        <v>67</v>
      </c>
      <c r="J18" s="184" t="s">
        <v>14</v>
      </c>
      <c r="K18" s="185" t="s">
        <v>16</v>
      </c>
      <c r="L18" s="182" t="s">
        <v>17</v>
      </c>
      <c r="M18" s="182" t="s">
        <v>18</v>
      </c>
      <c r="N18" s="181" t="s">
        <v>38</v>
      </c>
      <c r="O18" s="181" t="s">
        <v>39</v>
      </c>
      <c r="P18" s="48" t="s">
        <v>54</v>
      </c>
      <c r="Q18" s="182" t="s">
        <v>40</v>
      </c>
      <c r="R18" s="181" t="s">
        <v>21</v>
      </c>
      <c r="S18" s="182" t="s">
        <v>41</v>
      </c>
      <c r="T18" s="186" t="s">
        <v>42</v>
      </c>
      <c r="U18" s="187" t="s">
        <v>23</v>
      </c>
      <c r="V18" s="188" t="s">
        <v>24</v>
      </c>
      <c r="W18" s="189" t="s">
        <v>43</v>
      </c>
      <c r="X18" s="190"/>
      <c r="Y18" s="191" t="s">
        <v>44</v>
      </c>
      <c r="Z18" s="192"/>
      <c r="AA18" s="193" t="s">
        <v>27</v>
      </c>
      <c r="AB18" s="194" t="s">
        <v>28</v>
      </c>
      <c r="AC18" s="184" t="s">
        <v>45</v>
      </c>
      <c r="AD18" s="184" t="s">
        <v>30</v>
      </c>
      <c r="AE18" s="195"/>
    </row>
    <row r="19" spans="2:31" s="1" customFormat="1" ht="16.5" customHeight="1" thickTop="1">
      <c r="B19" s="158"/>
      <c r="C19" s="196"/>
      <c r="D19" s="196"/>
      <c r="E19" s="196"/>
      <c r="F19" s="197"/>
      <c r="G19" s="198"/>
      <c r="H19" s="198"/>
      <c r="I19" s="412"/>
      <c r="J19" s="198"/>
      <c r="K19" s="199"/>
      <c r="L19" s="406"/>
      <c r="M19" s="407"/>
      <c r="N19" s="200"/>
      <c r="O19" s="200"/>
      <c r="P19" s="198"/>
      <c r="Q19" s="198"/>
      <c r="R19" s="198"/>
      <c r="S19" s="198"/>
      <c r="T19" s="74"/>
      <c r="U19" s="72"/>
      <c r="V19" s="201"/>
      <c r="W19" s="202"/>
      <c r="X19" s="203"/>
      <c r="Y19" s="204"/>
      <c r="Z19" s="205"/>
      <c r="AA19" s="206"/>
      <c r="AB19" s="207"/>
      <c r="AC19" s="198"/>
      <c r="AD19" s="208"/>
      <c r="AE19" s="159"/>
    </row>
    <row r="20" spans="2:31" s="1" customFormat="1" ht="16.5" customHeight="1">
      <c r="B20" s="158"/>
      <c r="C20" s="209"/>
      <c r="D20" s="209"/>
      <c r="E20" s="209"/>
      <c r="F20" s="77"/>
      <c r="G20" s="79"/>
      <c r="H20" s="222"/>
      <c r="I20" s="413"/>
      <c r="J20" s="223"/>
      <c r="K20" s="224">
        <f>H20*I20</f>
        <v>0</v>
      </c>
      <c r="L20" s="432"/>
      <c r="M20" s="432"/>
      <c r="N20" s="225">
        <f aca="true" t="shared" si="0" ref="N20:N41">IF(F20="","",(M20-L20)*24)</f>
      </c>
      <c r="O20" s="226">
        <f aca="true" t="shared" si="1" ref="O20:O41">IF(F20="","",ROUND((M20-L20)*24*60,0))</f>
      </c>
      <c r="P20" s="227"/>
      <c r="Q20" s="227"/>
      <c r="R20" s="228"/>
      <c r="S20" s="227"/>
      <c r="T20" s="105">
        <f aca="true" t="shared" si="2" ref="T20:T41">$J$16*IF(OR(P20="P",P20="RP"),0.1,1)*IF(S20="SI",1,0.1)</f>
        <v>6</v>
      </c>
      <c r="U20" s="229" t="str">
        <f aca="true" t="shared" si="3" ref="U20:U41">IF(P20="P",K20*T20*ROUND(O20/60,2),"--")</f>
        <v>--</v>
      </c>
      <c r="V20" s="230" t="str">
        <f aca="true" t="shared" si="4" ref="V20:V41">IF(P20="RP",K20*T20*ROUND(O20/60,2)*R20/100,"--")</f>
        <v>--</v>
      </c>
      <c r="W20" s="231" t="str">
        <f aca="true" t="shared" si="5" ref="W20:W41">IF(AND(P20="F",Q20="NO"),K20*T20,"--")</f>
        <v>--</v>
      </c>
      <c r="X20" s="232" t="str">
        <f aca="true" t="shared" si="6" ref="X20:X41">IF(P20="F",K20*T20*ROUND(O20/60,2),"--")</f>
        <v>--</v>
      </c>
      <c r="Y20" s="233" t="str">
        <f aca="true" t="shared" si="7" ref="Y20:Y41">IF(AND(P20="R",Q20="NO"),K20*T20*R20/100,"--")</f>
        <v>--</v>
      </c>
      <c r="Z20" s="234" t="str">
        <f aca="true" t="shared" si="8" ref="Z20:Z41">IF(P20="R",K20*T20*ROUND(O20/60,2)*R20/100,"--")</f>
        <v>--</v>
      </c>
      <c r="AA20" s="235" t="str">
        <f aca="true" t="shared" si="9" ref="AA20:AA41">IF(P20="RF",K20*T20*ROUND(O20/60,2),"--")</f>
        <v>--</v>
      </c>
      <c r="AB20" s="236" t="str">
        <f aca="true" t="shared" si="10" ref="AB20:AB41">IF(P20="RR",K20*T20*ROUND(O20/60,2)*R20/100,"--")</f>
        <v>--</v>
      </c>
      <c r="AC20" s="227"/>
      <c r="AD20" s="237">
        <f aca="true" t="shared" si="11" ref="AD20:AD41">IF(F20="","",SUM(U20:AB20)*IF(AC20="SI",1,2))</f>
      </c>
      <c r="AE20" s="159"/>
    </row>
    <row r="21" spans="2:31" s="1" customFormat="1" ht="16.5" customHeight="1">
      <c r="B21" s="158"/>
      <c r="C21" s="209">
        <v>149</v>
      </c>
      <c r="D21" s="209">
        <v>217474</v>
      </c>
      <c r="E21" s="209">
        <v>4461</v>
      </c>
      <c r="F21" s="77" t="s">
        <v>171</v>
      </c>
      <c r="G21" s="79" t="s">
        <v>172</v>
      </c>
      <c r="H21" s="222">
        <v>3</v>
      </c>
      <c r="I21" s="413">
        <v>2.0347</v>
      </c>
      <c r="J21" s="223">
        <v>13.2</v>
      </c>
      <c r="K21" s="224">
        <f>H21*I21</f>
        <v>6.1041</v>
      </c>
      <c r="L21" s="432">
        <v>40193.92222222222</v>
      </c>
      <c r="M21" s="432">
        <v>40194.03472222222</v>
      </c>
      <c r="N21" s="225">
        <f t="shared" si="0"/>
        <v>2.699999999895226</v>
      </c>
      <c r="O21" s="226">
        <f t="shared" si="1"/>
        <v>162</v>
      </c>
      <c r="P21" s="227" t="s">
        <v>75</v>
      </c>
      <c r="Q21" s="430" t="str">
        <f aca="true" t="shared" si="12" ref="Q21:Q41">IF(F21="","",IF(OR(P21="P",P21="RP"),"--","NO"))</f>
        <v>NO</v>
      </c>
      <c r="R21" s="431" t="str">
        <f aca="true" t="shared" si="13" ref="R21:R41">IF(F21="","","--")</f>
        <v>--</v>
      </c>
      <c r="S21" s="424" t="str">
        <f aca="true" t="shared" si="14" ref="S21:S41">IF(F21="","","NO")</f>
        <v>NO</v>
      </c>
      <c r="T21" s="105">
        <f t="shared" si="2"/>
        <v>6</v>
      </c>
      <c r="U21" s="229" t="str">
        <f t="shared" si="3"/>
        <v>--</v>
      </c>
      <c r="V21" s="230" t="str">
        <f t="shared" si="4"/>
        <v>--</v>
      </c>
      <c r="W21" s="231">
        <f t="shared" si="5"/>
        <v>36.6246</v>
      </c>
      <c r="X21" s="232">
        <f t="shared" si="6"/>
        <v>98.88642000000002</v>
      </c>
      <c r="Y21" s="233" t="str">
        <f t="shared" si="7"/>
        <v>--</v>
      </c>
      <c r="Z21" s="234" t="str">
        <f t="shared" si="8"/>
        <v>--</v>
      </c>
      <c r="AA21" s="235" t="str">
        <f t="shared" si="9"/>
        <v>--</v>
      </c>
      <c r="AB21" s="236" t="str">
        <f t="shared" si="10"/>
        <v>--</v>
      </c>
      <c r="AC21" s="430" t="s">
        <v>74</v>
      </c>
      <c r="AD21" s="237">
        <f t="shared" si="11"/>
        <v>135.51102000000003</v>
      </c>
      <c r="AE21" s="159"/>
    </row>
    <row r="22" spans="2:31" s="1" customFormat="1" ht="16.5" customHeight="1">
      <c r="B22" s="158"/>
      <c r="C22" s="209">
        <v>150</v>
      </c>
      <c r="D22" s="209">
        <v>217726</v>
      </c>
      <c r="E22" s="209">
        <v>4450</v>
      </c>
      <c r="F22" s="77" t="s">
        <v>155</v>
      </c>
      <c r="G22" s="79" t="s">
        <v>173</v>
      </c>
      <c r="H22" s="222">
        <v>1.5</v>
      </c>
      <c r="I22" s="413">
        <v>2.0347</v>
      </c>
      <c r="J22" s="223">
        <v>13.199999809265137</v>
      </c>
      <c r="K22" s="224">
        <f>H22*I22</f>
        <v>3.05205</v>
      </c>
      <c r="L22" s="432">
        <v>40196.35833333333</v>
      </c>
      <c r="M22" s="432">
        <v>40196.50833333333</v>
      </c>
      <c r="N22" s="225">
        <f t="shared" si="0"/>
        <v>3.6000000000349246</v>
      </c>
      <c r="O22" s="226">
        <f t="shared" si="1"/>
        <v>216</v>
      </c>
      <c r="P22" s="227" t="s">
        <v>73</v>
      </c>
      <c r="Q22" s="430" t="str">
        <f t="shared" si="12"/>
        <v>--</v>
      </c>
      <c r="R22" s="431" t="str">
        <f t="shared" si="13"/>
        <v>--</v>
      </c>
      <c r="S22" s="424" t="str">
        <f t="shared" si="14"/>
        <v>NO</v>
      </c>
      <c r="T22" s="105">
        <f t="shared" si="2"/>
        <v>0.6000000000000001</v>
      </c>
      <c r="U22" s="229">
        <f t="shared" si="3"/>
        <v>6.592428000000001</v>
      </c>
      <c r="V22" s="230" t="str">
        <f t="shared" si="4"/>
        <v>--</v>
      </c>
      <c r="W22" s="231" t="str">
        <f t="shared" si="5"/>
        <v>--</v>
      </c>
      <c r="X22" s="232" t="str">
        <f t="shared" si="6"/>
        <v>--</v>
      </c>
      <c r="Y22" s="233" t="str">
        <f t="shared" si="7"/>
        <v>--</v>
      </c>
      <c r="Z22" s="234" t="str">
        <f t="shared" si="8"/>
        <v>--</v>
      </c>
      <c r="AA22" s="235" t="str">
        <f t="shared" si="9"/>
        <v>--</v>
      </c>
      <c r="AB22" s="236" t="str">
        <f t="shared" si="10"/>
        <v>--</v>
      </c>
      <c r="AC22" s="430" t="s">
        <v>74</v>
      </c>
      <c r="AD22" s="237">
        <f t="shared" si="11"/>
        <v>6.592428000000001</v>
      </c>
      <c r="AE22" s="159"/>
    </row>
    <row r="23" spans="2:31" s="1" customFormat="1" ht="16.5" customHeight="1">
      <c r="B23" s="158"/>
      <c r="C23" s="209"/>
      <c r="D23" s="209"/>
      <c r="E23" s="209"/>
      <c r="F23" s="77"/>
      <c r="G23" s="79"/>
      <c r="H23" s="222"/>
      <c r="I23" s="413"/>
      <c r="J23" s="223"/>
      <c r="K23" s="224">
        <f>H23*I23</f>
        <v>0</v>
      </c>
      <c r="L23" s="432"/>
      <c r="M23" s="432"/>
      <c r="N23" s="225">
        <f t="shared" si="0"/>
      </c>
      <c r="O23" s="226">
        <f t="shared" si="1"/>
      </c>
      <c r="P23" s="227"/>
      <c r="Q23" s="430">
        <f t="shared" si="12"/>
      </c>
      <c r="R23" s="431">
        <f t="shared" si="13"/>
      </c>
      <c r="S23" s="424">
        <f t="shared" si="14"/>
      </c>
      <c r="T23" s="105">
        <f t="shared" si="2"/>
        <v>6</v>
      </c>
      <c r="U23" s="229" t="str">
        <f t="shared" si="3"/>
        <v>--</v>
      </c>
      <c r="V23" s="230" t="str">
        <f t="shared" si="4"/>
        <v>--</v>
      </c>
      <c r="W23" s="231" t="str">
        <f t="shared" si="5"/>
        <v>--</v>
      </c>
      <c r="X23" s="232" t="str">
        <f t="shared" si="6"/>
        <v>--</v>
      </c>
      <c r="Y23" s="233" t="str">
        <f t="shared" si="7"/>
        <v>--</v>
      </c>
      <c r="Z23" s="234" t="str">
        <f t="shared" si="8"/>
        <v>--</v>
      </c>
      <c r="AA23" s="235" t="str">
        <f t="shared" si="9"/>
        <v>--</v>
      </c>
      <c r="AB23" s="236" t="str">
        <f t="shared" si="10"/>
        <v>--</v>
      </c>
      <c r="AC23" s="430">
        <f aca="true" t="shared" si="15" ref="AC23:AC41">IF(F23="","","SI")</f>
      </c>
      <c r="AD23" s="237">
        <f t="shared" si="11"/>
      </c>
      <c r="AE23" s="159"/>
    </row>
    <row r="24" spans="2:31" s="1" customFormat="1" ht="16.5" customHeight="1">
      <c r="B24" s="158"/>
      <c r="C24" s="209"/>
      <c r="D24" s="209"/>
      <c r="E24" s="209"/>
      <c r="F24" s="77"/>
      <c r="G24" s="79"/>
      <c r="H24" s="222"/>
      <c r="I24" s="413"/>
      <c r="J24" s="223"/>
      <c r="K24" s="224"/>
      <c r="L24" s="432"/>
      <c r="M24" s="432"/>
      <c r="N24" s="225">
        <f t="shared" si="0"/>
      </c>
      <c r="O24" s="226">
        <f t="shared" si="1"/>
      </c>
      <c r="P24" s="227"/>
      <c r="Q24" s="430">
        <f t="shared" si="12"/>
      </c>
      <c r="R24" s="431">
        <f t="shared" si="13"/>
      </c>
      <c r="S24" s="424">
        <f t="shared" si="14"/>
      </c>
      <c r="T24" s="105">
        <f t="shared" si="2"/>
        <v>6</v>
      </c>
      <c r="U24" s="229" t="str">
        <f t="shared" si="3"/>
        <v>--</v>
      </c>
      <c r="V24" s="230" t="str">
        <f t="shared" si="4"/>
        <v>--</v>
      </c>
      <c r="W24" s="231" t="str">
        <f t="shared" si="5"/>
        <v>--</v>
      </c>
      <c r="X24" s="232" t="str">
        <f t="shared" si="6"/>
        <v>--</v>
      </c>
      <c r="Y24" s="233" t="str">
        <f t="shared" si="7"/>
        <v>--</v>
      </c>
      <c r="Z24" s="234" t="str">
        <f t="shared" si="8"/>
        <v>--</v>
      </c>
      <c r="AA24" s="235" t="str">
        <f t="shared" si="9"/>
        <v>--</v>
      </c>
      <c r="AB24" s="236" t="str">
        <f t="shared" si="10"/>
        <v>--</v>
      </c>
      <c r="AC24" s="430">
        <f t="shared" si="15"/>
      </c>
      <c r="AD24" s="237">
        <f t="shared" si="11"/>
      </c>
      <c r="AE24" s="159"/>
    </row>
    <row r="25" spans="2:31" s="1" customFormat="1" ht="16.5" customHeight="1">
      <c r="B25" s="158"/>
      <c r="C25" s="209"/>
      <c r="D25" s="209"/>
      <c r="E25" s="209"/>
      <c r="F25" s="77"/>
      <c r="G25" s="79"/>
      <c r="H25" s="222"/>
      <c r="I25" s="413"/>
      <c r="J25" s="223"/>
      <c r="K25" s="224"/>
      <c r="L25" s="432"/>
      <c r="M25" s="432"/>
      <c r="N25" s="225">
        <f t="shared" si="0"/>
      </c>
      <c r="O25" s="226">
        <f t="shared" si="1"/>
      </c>
      <c r="P25" s="227"/>
      <c r="Q25" s="430">
        <f t="shared" si="12"/>
      </c>
      <c r="R25" s="431">
        <f t="shared" si="13"/>
      </c>
      <c r="S25" s="424">
        <f t="shared" si="14"/>
      </c>
      <c r="T25" s="105">
        <f t="shared" si="2"/>
        <v>6</v>
      </c>
      <c r="U25" s="229" t="str">
        <f t="shared" si="3"/>
        <v>--</v>
      </c>
      <c r="V25" s="230" t="str">
        <f t="shared" si="4"/>
        <v>--</v>
      </c>
      <c r="W25" s="231" t="str">
        <f t="shared" si="5"/>
        <v>--</v>
      </c>
      <c r="X25" s="232" t="str">
        <f t="shared" si="6"/>
        <v>--</v>
      </c>
      <c r="Y25" s="233" t="str">
        <f t="shared" si="7"/>
        <v>--</v>
      </c>
      <c r="Z25" s="234" t="str">
        <f t="shared" si="8"/>
        <v>--</v>
      </c>
      <c r="AA25" s="235" t="str">
        <f t="shared" si="9"/>
        <v>--</v>
      </c>
      <c r="AB25" s="236" t="str">
        <f t="shared" si="10"/>
        <v>--</v>
      </c>
      <c r="AC25" s="430">
        <f t="shared" si="15"/>
      </c>
      <c r="AD25" s="237">
        <f t="shared" si="11"/>
      </c>
      <c r="AE25" s="159"/>
    </row>
    <row r="26" spans="2:31" s="1" customFormat="1" ht="16.5" customHeight="1">
      <c r="B26" s="158"/>
      <c r="C26" s="209"/>
      <c r="D26" s="209"/>
      <c r="E26" s="209"/>
      <c r="F26" s="77"/>
      <c r="G26" s="79"/>
      <c r="H26" s="222"/>
      <c r="I26" s="413"/>
      <c r="J26" s="223"/>
      <c r="K26" s="224"/>
      <c r="L26" s="432"/>
      <c r="M26" s="432"/>
      <c r="N26" s="225">
        <f t="shared" si="0"/>
      </c>
      <c r="O26" s="226">
        <f t="shared" si="1"/>
      </c>
      <c r="P26" s="227"/>
      <c r="Q26" s="430">
        <f t="shared" si="12"/>
      </c>
      <c r="R26" s="431">
        <f t="shared" si="13"/>
      </c>
      <c r="S26" s="424">
        <f t="shared" si="14"/>
      </c>
      <c r="T26" s="105">
        <f t="shared" si="2"/>
        <v>6</v>
      </c>
      <c r="U26" s="229" t="str">
        <f t="shared" si="3"/>
        <v>--</v>
      </c>
      <c r="V26" s="230" t="str">
        <f t="shared" si="4"/>
        <v>--</v>
      </c>
      <c r="W26" s="231" t="str">
        <f t="shared" si="5"/>
        <v>--</v>
      </c>
      <c r="X26" s="232" t="str">
        <f t="shared" si="6"/>
        <v>--</v>
      </c>
      <c r="Y26" s="233" t="str">
        <f t="shared" si="7"/>
        <v>--</v>
      </c>
      <c r="Z26" s="234" t="str">
        <f t="shared" si="8"/>
        <v>--</v>
      </c>
      <c r="AA26" s="235" t="str">
        <f t="shared" si="9"/>
        <v>--</v>
      </c>
      <c r="AB26" s="236" t="str">
        <f t="shared" si="10"/>
        <v>--</v>
      </c>
      <c r="AC26" s="430">
        <f t="shared" si="15"/>
      </c>
      <c r="AD26" s="237">
        <f t="shared" si="11"/>
      </c>
      <c r="AE26" s="159"/>
    </row>
    <row r="27" spans="2:31" s="1" customFormat="1" ht="16.5" customHeight="1">
      <c r="B27" s="158"/>
      <c r="C27" s="209"/>
      <c r="D27" s="209"/>
      <c r="E27" s="209"/>
      <c r="F27" s="77"/>
      <c r="G27" s="79"/>
      <c r="H27" s="222"/>
      <c r="I27" s="413"/>
      <c r="J27" s="223"/>
      <c r="K27" s="224"/>
      <c r="L27" s="432"/>
      <c r="M27" s="432"/>
      <c r="N27" s="225">
        <f t="shared" si="0"/>
      </c>
      <c r="O27" s="226">
        <f t="shared" si="1"/>
      </c>
      <c r="P27" s="227"/>
      <c r="Q27" s="430">
        <f t="shared" si="12"/>
      </c>
      <c r="R27" s="431">
        <f t="shared" si="13"/>
      </c>
      <c r="S27" s="424">
        <f t="shared" si="14"/>
      </c>
      <c r="T27" s="105">
        <f t="shared" si="2"/>
        <v>6</v>
      </c>
      <c r="U27" s="229" t="str">
        <f t="shared" si="3"/>
        <v>--</v>
      </c>
      <c r="V27" s="230" t="str">
        <f t="shared" si="4"/>
        <v>--</v>
      </c>
      <c r="W27" s="231" t="str">
        <f t="shared" si="5"/>
        <v>--</v>
      </c>
      <c r="X27" s="232" t="str">
        <f t="shared" si="6"/>
        <v>--</v>
      </c>
      <c r="Y27" s="233" t="str">
        <f t="shared" si="7"/>
        <v>--</v>
      </c>
      <c r="Z27" s="234" t="str">
        <f t="shared" si="8"/>
        <v>--</v>
      </c>
      <c r="AA27" s="235" t="str">
        <f t="shared" si="9"/>
        <v>--</v>
      </c>
      <c r="AB27" s="236" t="str">
        <f t="shared" si="10"/>
        <v>--</v>
      </c>
      <c r="AC27" s="430">
        <f t="shared" si="15"/>
      </c>
      <c r="AD27" s="237">
        <f t="shared" si="11"/>
      </c>
      <c r="AE27" s="159"/>
    </row>
    <row r="28" spans="2:31" s="1" customFormat="1" ht="16.5" customHeight="1">
      <c r="B28" s="158"/>
      <c r="C28" s="209"/>
      <c r="D28" s="209"/>
      <c r="E28" s="209"/>
      <c r="F28" s="77"/>
      <c r="G28" s="79"/>
      <c r="H28" s="222"/>
      <c r="I28" s="413"/>
      <c r="J28" s="223"/>
      <c r="K28" s="224">
        <f>H28*I28</f>
        <v>0</v>
      </c>
      <c r="L28" s="432"/>
      <c r="M28" s="432"/>
      <c r="N28" s="225">
        <f t="shared" si="0"/>
      </c>
      <c r="O28" s="226">
        <f t="shared" si="1"/>
      </c>
      <c r="P28" s="227"/>
      <c r="Q28" s="430">
        <f t="shared" si="12"/>
      </c>
      <c r="R28" s="431">
        <f t="shared" si="13"/>
      </c>
      <c r="S28" s="424">
        <f t="shared" si="14"/>
      </c>
      <c r="T28" s="105">
        <f t="shared" si="2"/>
        <v>6</v>
      </c>
      <c r="U28" s="229" t="str">
        <f t="shared" si="3"/>
        <v>--</v>
      </c>
      <c r="V28" s="230" t="str">
        <f t="shared" si="4"/>
        <v>--</v>
      </c>
      <c r="W28" s="231" t="str">
        <f t="shared" si="5"/>
        <v>--</v>
      </c>
      <c r="X28" s="232" t="str">
        <f t="shared" si="6"/>
        <v>--</v>
      </c>
      <c r="Y28" s="233" t="str">
        <f t="shared" si="7"/>
        <v>--</v>
      </c>
      <c r="Z28" s="234" t="str">
        <f t="shared" si="8"/>
        <v>--</v>
      </c>
      <c r="AA28" s="235" t="str">
        <f t="shared" si="9"/>
        <v>--</v>
      </c>
      <c r="AB28" s="236" t="str">
        <f t="shared" si="10"/>
        <v>--</v>
      </c>
      <c r="AC28" s="430">
        <f t="shared" si="15"/>
      </c>
      <c r="AD28" s="237">
        <f t="shared" si="11"/>
      </c>
      <c r="AE28" s="159"/>
    </row>
    <row r="29" spans="2:31" s="1" customFormat="1" ht="16.5" customHeight="1">
      <c r="B29" s="158"/>
      <c r="C29" s="209"/>
      <c r="D29" s="209"/>
      <c r="E29" s="209"/>
      <c r="F29" s="77"/>
      <c r="G29" s="79"/>
      <c r="H29" s="222"/>
      <c r="I29" s="413"/>
      <c r="J29" s="223"/>
      <c r="K29" s="224"/>
      <c r="L29" s="432"/>
      <c r="M29" s="432"/>
      <c r="N29" s="225">
        <f t="shared" si="0"/>
      </c>
      <c r="O29" s="226">
        <f t="shared" si="1"/>
      </c>
      <c r="P29" s="227"/>
      <c r="Q29" s="430">
        <f t="shared" si="12"/>
      </c>
      <c r="R29" s="431">
        <f t="shared" si="13"/>
      </c>
      <c r="S29" s="424">
        <f t="shared" si="14"/>
      </c>
      <c r="T29" s="105">
        <f t="shared" si="2"/>
        <v>6</v>
      </c>
      <c r="U29" s="229" t="str">
        <f t="shared" si="3"/>
        <v>--</v>
      </c>
      <c r="V29" s="230" t="str">
        <f t="shared" si="4"/>
        <v>--</v>
      </c>
      <c r="W29" s="231" t="str">
        <f t="shared" si="5"/>
        <v>--</v>
      </c>
      <c r="X29" s="232" t="str">
        <f t="shared" si="6"/>
        <v>--</v>
      </c>
      <c r="Y29" s="233" t="str">
        <f t="shared" si="7"/>
        <v>--</v>
      </c>
      <c r="Z29" s="234" t="str">
        <f t="shared" si="8"/>
        <v>--</v>
      </c>
      <c r="AA29" s="235" t="str">
        <f t="shared" si="9"/>
        <v>--</v>
      </c>
      <c r="AB29" s="236" t="str">
        <f t="shared" si="10"/>
        <v>--</v>
      </c>
      <c r="AC29" s="430">
        <f t="shared" si="15"/>
      </c>
      <c r="AD29" s="237">
        <f t="shared" si="11"/>
      </c>
      <c r="AE29" s="159"/>
    </row>
    <row r="30" spans="2:31" s="1" customFormat="1" ht="16.5" customHeight="1">
      <c r="B30" s="158"/>
      <c r="C30" s="415"/>
      <c r="D30" s="415"/>
      <c r="E30" s="415"/>
      <c r="F30" s="77"/>
      <c r="G30" s="79"/>
      <c r="H30" s="222"/>
      <c r="I30" s="413"/>
      <c r="J30" s="223"/>
      <c r="K30" s="416"/>
      <c r="L30" s="432"/>
      <c r="M30" s="432"/>
      <c r="N30" s="225">
        <f t="shared" si="0"/>
      </c>
      <c r="O30" s="226">
        <f t="shared" si="1"/>
      </c>
      <c r="P30" s="227"/>
      <c r="Q30" s="430">
        <f t="shared" si="12"/>
      </c>
      <c r="R30" s="431">
        <f t="shared" si="13"/>
      </c>
      <c r="S30" s="424">
        <f t="shared" si="14"/>
      </c>
      <c r="T30" s="105">
        <f t="shared" si="2"/>
        <v>6</v>
      </c>
      <c r="U30" s="229" t="str">
        <f t="shared" si="3"/>
        <v>--</v>
      </c>
      <c r="V30" s="230" t="str">
        <f t="shared" si="4"/>
        <v>--</v>
      </c>
      <c r="W30" s="231" t="str">
        <f t="shared" si="5"/>
        <v>--</v>
      </c>
      <c r="X30" s="232" t="str">
        <f t="shared" si="6"/>
        <v>--</v>
      </c>
      <c r="Y30" s="233" t="str">
        <f t="shared" si="7"/>
        <v>--</v>
      </c>
      <c r="Z30" s="234" t="str">
        <f t="shared" si="8"/>
        <v>--</v>
      </c>
      <c r="AA30" s="235" t="str">
        <f t="shared" si="9"/>
        <v>--</v>
      </c>
      <c r="AB30" s="236" t="str">
        <f t="shared" si="10"/>
        <v>--</v>
      </c>
      <c r="AC30" s="430">
        <f t="shared" si="15"/>
      </c>
      <c r="AD30" s="237">
        <f t="shared" si="11"/>
      </c>
      <c r="AE30" s="159"/>
    </row>
    <row r="31" spans="2:31" s="1" customFormat="1" ht="16.5" customHeight="1">
      <c r="B31" s="158"/>
      <c r="C31" s="415"/>
      <c r="D31" s="415"/>
      <c r="E31" s="415"/>
      <c r="F31" s="77"/>
      <c r="G31" s="79"/>
      <c r="H31" s="222"/>
      <c r="I31" s="413"/>
      <c r="J31" s="223"/>
      <c r="K31" s="416"/>
      <c r="L31" s="432"/>
      <c r="M31" s="432"/>
      <c r="N31" s="225">
        <f t="shared" si="0"/>
      </c>
      <c r="O31" s="226">
        <f t="shared" si="1"/>
      </c>
      <c r="P31" s="227"/>
      <c r="Q31" s="430">
        <f t="shared" si="12"/>
      </c>
      <c r="R31" s="431">
        <f t="shared" si="13"/>
      </c>
      <c r="S31" s="424">
        <f t="shared" si="14"/>
      </c>
      <c r="T31" s="105">
        <f t="shared" si="2"/>
        <v>6</v>
      </c>
      <c r="U31" s="229" t="str">
        <f t="shared" si="3"/>
        <v>--</v>
      </c>
      <c r="V31" s="230" t="str">
        <f t="shared" si="4"/>
        <v>--</v>
      </c>
      <c r="W31" s="231" t="str">
        <f t="shared" si="5"/>
        <v>--</v>
      </c>
      <c r="X31" s="232" t="str">
        <f t="shared" si="6"/>
        <v>--</v>
      </c>
      <c r="Y31" s="233" t="str">
        <f t="shared" si="7"/>
        <v>--</v>
      </c>
      <c r="Z31" s="234" t="str">
        <f t="shared" si="8"/>
        <v>--</v>
      </c>
      <c r="AA31" s="235" t="str">
        <f t="shared" si="9"/>
        <v>--</v>
      </c>
      <c r="AB31" s="236" t="str">
        <f t="shared" si="10"/>
        <v>--</v>
      </c>
      <c r="AC31" s="430">
        <f t="shared" si="15"/>
      </c>
      <c r="AD31" s="237">
        <f t="shared" si="11"/>
      </c>
      <c r="AE31" s="159"/>
    </row>
    <row r="32" spans="2:31" s="1" customFormat="1" ht="16.5" customHeight="1">
      <c r="B32" s="158"/>
      <c r="C32" s="415"/>
      <c r="D32" s="415"/>
      <c r="E32" s="415"/>
      <c r="F32" s="77"/>
      <c r="G32" s="79"/>
      <c r="H32" s="222"/>
      <c r="I32" s="413"/>
      <c r="J32" s="223"/>
      <c r="K32" s="416"/>
      <c r="L32" s="432"/>
      <c r="M32" s="432"/>
      <c r="N32" s="225">
        <f t="shared" si="0"/>
      </c>
      <c r="O32" s="226">
        <f t="shared" si="1"/>
      </c>
      <c r="P32" s="227"/>
      <c r="Q32" s="430">
        <f t="shared" si="12"/>
      </c>
      <c r="R32" s="431">
        <f t="shared" si="13"/>
      </c>
      <c r="S32" s="424">
        <f t="shared" si="14"/>
      </c>
      <c r="T32" s="105">
        <f t="shared" si="2"/>
        <v>6</v>
      </c>
      <c r="U32" s="229" t="str">
        <f t="shared" si="3"/>
        <v>--</v>
      </c>
      <c r="V32" s="230" t="str">
        <f t="shared" si="4"/>
        <v>--</v>
      </c>
      <c r="W32" s="231" t="str">
        <f t="shared" si="5"/>
        <v>--</v>
      </c>
      <c r="X32" s="232" t="str">
        <f t="shared" si="6"/>
        <v>--</v>
      </c>
      <c r="Y32" s="233" t="str">
        <f t="shared" si="7"/>
        <v>--</v>
      </c>
      <c r="Z32" s="234" t="str">
        <f t="shared" si="8"/>
        <v>--</v>
      </c>
      <c r="AA32" s="235" t="str">
        <f t="shared" si="9"/>
        <v>--</v>
      </c>
      <c r="AB32" s="236" t="str">
        <f t="shared" si="10"/>
        <v>--</v>
      </c>
      <c r="AC32" s="430">
        <f t="shared" si="15"/>
      </c>
      <c r="AD32" s="237">
        <f t="shared" si="11"/>
      </c>
      <c r="AE32" s="159"/>
    </row>
    <row r="33" spans="2:31" s="1" customFormat="1" ht="16.5" customHeight="1">
      <c r="B33" s="158"/>
      <c r="C33" s="415"/>
      <c r="D33" s="415"/>
      <c r="E33" s="415"/>
      <c r="F33" s="77"/>
      <c r="G33" s="79"/>
      <c r="H33" s="222"/>
      <c r="I33" s="413"/>
      <c r="J33" s="223"/>
      <c r="K33" s="416"/>
      <c r="L33" s="432"/>
      <c r="M33" s="432"/>
      <c r="N33" s="225">
        <f t="shared" si="0"/>
      </c>
      <c r="O33" s="226">
        <f t="shared" si="1"/>
      </c>
      <c r="P33" s="227"/>
      <c r="Q33" s="430">
        <f t="shared" si="12"/>
      </c>
      <c r="R33" s="431">
        <f t="shared" si="13"/>
      </c>
      <c r="S33" s="424">
        <f t="shared" si="14"/>
      </c>
      <c r="T33" s="105">
        <f t="shared" si="2"/>
        <v>6</v>
      </c>
      <c r="U33" s="229" t="str">
        <f t="shared" si="3"/>
        <v>--</v>
      </c>
      <c r="V33" s="230" t="str">
        <f t="shared" si="4"/>
        <v>--</v>
      </c>
      <c r="W33" s="231" t="str">
        <f t="shared" si="5"/>
        <v>--</v>
      </c>
      <c r="X33" s="232" t="str">
        <f t="shared" si="6"/>
        <v>--</v>
      </c>
      <c r="Y33" s="233" t="str">
        <f t="shared" si="7"/>
        <v>--</v>
      </c>
      <c r="Z33" s="234" t="str">
        <f t="shared" si="8"/>
        <v>--</v>
      </c>
      <c r="AA33" s="235" t="str">
        <f t="shared" si="9"/>
        <v>--</v>
      </c>
      <c r="AB33" s="236" t="str">
        <f t="shared" si="10"/>
        <v>--</v>
      </c>
      <c r="AC33" s="430">
        <f t="shared" si="15"/>
      </c>
      <c r="AD33" s="237">
        <f t="shared" si="11"/>
      </c>
      <c r="AE33" s="159"/>
    </row>
    <row r="34" spans="2:31" s="1" customFormat="1" ht="16.5" customHeight="1">
      <c r="B34" s="158"/>
      <c r="C34" s="415"/>
      <c r="D34" s="415"/>
      <c r="E34" s="415"/>
      <c r="F34" s="77"/>
      <c r="G34" s="79"/>
      <c r="H34" s="222"/>
      <c r="I34" s="413"/>
      <c r="J34" s="223"/>
      <c r="K34" s="416"/>
      <c r="L34" s="432"/>
      <c r="M34" s="432"/>
      <c r="N34" s="225">
        <f t="shared" si="0"/>
      </c>
      <c r="O34" s="226">
        <f t="shared" si="1"/>
      </c>
      <c r="P34" s="227"/>
      <c r="Q34" s="430">
        <f t="shared" si="12"/>
      </c>
      <c r="R34" s="431">
        <f t="shared" si="13"/>
      </c>
      <c r="S34" s="424">
        <f t="shared" si="14"/>
      </c>
      <c r="T34" s="105">
        <f t="shared" si="2"/>
        <v>6</v>
      </c>
      <c r="U34" s="229" t="str">
        <f t="shared" si="3"/>
        <v>--</v>
      </c>
      <c r="V34" s="230" t="str">
        <f t="shared" si="4"/>
        <v>--</v>
      </c>
      <c r="W34" s="231" t="str">
        <f t="shared" si="5"/>
        <v>--</v>
      </c>
      <c r="X34" s="232" t="str">
        <f t="shared" si="6"/>
        <v>--</v>
      </c>
      <c r="Y34" s="233" t="str">
        <f t="shared" si="7"/>
        <v>--</v>
      </c>
      <c r="Z34" s="234" t="str">
        <f t="shared" si="8"/>
        <v>--</v>
      </c>
      <c r="AA34" s="235" t="str">
        <f t="shared" si="9"/>
        <v>--</v>
      </c>
      <c r="AB34" s="236" t="str">
        <f t="shared" si="10"/>
        <v>--</v>
      </c>
      <c r="AC34" s="430">
        <f t="shared" si="15"/>
      </c>
      <c r="AD34" s="237">
        <f t="shared" si="11"/>
      </c>
      <c r="AE34" s="159"/>
    </row>
    <row r="35" spans="2:31" s="1" customFormat="1" ht="16.5" customHeight="1">
      <c r="B35" s="158"/>
      <c r="C35" s="415"/>
      <c r="D35" s="415"/>
      <c r="E35" s="415"/>
      <c r="F35" s="77"/>
      <c r="G35" s="79"/>
      <c r="H35" s="222"/>
      <c r="I35" s="413"/>
      <c r="J35" s="223"/>
      <c r="K35" s="416"/>
      <c r="L35" s="432"/>
      <c r="M35" s="432"/>
      <c r="N35" s="225">
        <f t="shared" si="0"/>
      </c>
      <c r="O35" s="226">
        <f t="shared" si="1"/>
      </c>
      <c r="P35" s="227"/>
      <c r="Q35" s="430">
        <f t="shared" si="12"/>
      </c>
      <c r="R35" s="431">
        <f t="shared" si="13"/>
      </c>
      <c r="S35" s="424">
        <f t="shared" si="14"/>
      </c>
      <c r="T35" s="105">
        <f t="shared" si="2"/>
        <v>6</v>
      </c>
      <c r="U35" s="229" t="str">
        <f t="shared" si="3"/>
        <v>--</v>
      </c>
      <c r="V35" s="230" t="str">
        <f t="shared" si="4"/>
        <v>--</v>
      </c>
      <c r="W35" s="231" t="str">
        <f t="shared" si="5"/>
        <v>--</v>
      </c>
      <c r="X35" s="232" t="str">
        <f t="shared" si="6"/>
        <v>--</v>
      </c>
      <c r="Y35" s="233" t="str">
        <f t="shared" si="7"/>
        <v>--</v>
      </c>
      <c r="Z35" s="234" t="str">
        <f t="shared" si="8"/>
        <v>--</v>
      </c>
      <c r="AA35" s="235" t="str">
        <f t="shared" si="9"/>
        <v>--</v>
      </c>
      <c r="AB35" s="236" t="str">
        <f t="shared" si="10"/>
        <v>--</v>
      </c>
      <c r="AC35" s="430">
        <f t="shared" si="15"/>
      </c>
      <c r="AD35" s="237">
        <f t="shared" si="11"/>
      </c>
      <c r="AE35" s="159"/>
    </row>
    <row r="36" spans="2:31" s="1" customFormat="1" ht="16.5" customHeight="1">
      <c r="B36" s="158"/>
      <c r="C36" s="415"/>
      <c r="D36" s="415"/>
      <c r="E36" s="415"/>
      <c r="F36" s="77"/>
      <c r="G36" s="79"/>
      <c r="H36" s="222"/>
      <c r="I36" s="413"/>
      <c r="J36" s="223"/>
      <c r="K36" s="416"/>
      <c r="L36" s="432"/>
      <c r="M36" s="432"/>
      <c r="N36" s="225">
        <f t="shared" si="0"/>
      </c>
      <c r="O36" s="226">
        <f t="shared" si="1"/>
      </c>
      <c r="P36" s="227"/>
      <c r="Q36" s="430">
        <f t="shared" si="12"/>
      </c>
      <c r="R36" s="431">
        <f t="shared" si="13"/>
      </c>
      <c r="S36" s="424">
        <f t="shared" si="14"/>
      </c>
      <c r="T36" s="105">
        <f t="shared" si="2"/>
        <v>6</v>
      </c>
      <c r="U36" s="229" t="str">
        <f t="shared" si="3"/>
        <v>--</v>
      </c>
      <c r="V36" s="230" t="str">
        <f t="shared" si="4"/>
        <v>--</v>
      </c>
      <c r="W36" s="231" t="str">
        <f t="shared" si="5"/>
        <v>--</v>
      </c>
      <c r="X36" s="232" t="str">
        <f t="shared" si="6"/>
        <v>--</v>
      </c>
      <c r="Y36" s="233" t="str">
        <f t="shared" si="7"/>
        <v>--</v>
      </c>
      <c r="Z36" s="234" t="str">
        <f t="shared" si="8"/>
        <v>--</v>
      </c>
      <c r="AA36" s="235" t="str">
        <f t="shared" si="9"/>
        <v>--</v>
      </c>
      <c r="AB36" s="236" t="str">
        <f t="shared" si="10"/>
        <v>--</v>
      </c>
      <c r="AC36" s="430">
        <f t="shared" si="15"/>
      </c>
      <c r="AD36" s="237">
        <f t="shared" si="11"/>
      </c>
      <c r="AE36" s="159"/>
    </row>
    <row r="37" spans="2:31" s="1" customFormat="1" ht="16.5" customHeight="1">
      <c r="B37" s="158"/>
      <c r="C37" s="415"/>
      <c r="D37" s="415"/>
      <c r="E37" s="415"/>
      <c r="F37" s="77"/>
      <c r="G37" s="79"/>
      <c r="H37" s="222"/>
      <c r="I37" s="413"/>
      <c r="J37" s="223"/>
      <c r="K37" s="416"/>
      <c r="L37" s="432"/>
      <c r="M37" s="432"/>
      <c r="N37" s="225">
        <f t="shared" si="0"/>
      </c>
      <c r="O37" s="226">
        <f t="shared" si="1"/>
      </c>
      <c r="P37" s="227"/>
      <c r="Q37" s="430">
        <f t="shared" si="12"/>
      </c>
      <c r="R37" s="431">
        <f t="shared" si="13"/>
      </c>
      <c r="S37" s="424">
        <f t="shared" si="14"/>
      </c>
      <c r="T37" s="105">
        <f t="shared" si="2"/>
        <v>6</v>
      </c>
      <c r="U37" s="229" t="str">
        <f t="shared" si="3"/>
        <v>--</v>
      </c>
      <c r="V37" s="230" t="str">
        <f t="shared" si="4"/>
        <v>--</v>
      </c>
      <c r="W37" s="231" t="str">
        <f t="shared" si="5"/>
        <v>--</v>
      </c>
      <c r="X37" s="232" t="str">
        <f t="shared" si="6"/>
        <v>--</v>
      </c>
      <c r="Y37" s="233" t="str">
        <f t="shared" si="7"/>
        <v>--</v>
      </c>
      <c r="Z37" s="234" t="str">
        <f t="shared" si="8"/>
        <v>--</v>
      </c>
      <c r="AA37" s="235" t="str">
        <f t="shared" si="9"/>
        <v>--</v>
      </c>
      <c r="AB37" s="236" t="str">
        <f t="shared" si="10"/>
        <v>--</v>
      </c>
      <c r="AC37" s="430">
        <f t="shared" si="15"/>
      </c>
      <c r="AD37" s="237">
        <f t="shared" si="11"/>
      </c>
      <c r="AE37" s="159"/>
    </row>
    <row r="38" spans="2:31" s="1" customFormat="1" ht="16.5" customHeight="1">
      <c r="B38" s="158"/>
      <c r="C38" s="415"/>
      <c r="D38" s="415"/>
      <c r="E38" s="415"/>
      <c r="F38" s="77"/>
      <c r="G38" s="79"/>
      <c r="H38" s="222"/>
      <c r="I38" s="413"/>
      <c r="J38" s="223"/>
      <c r="K38" s="416"/>
      <c r="L38" s="432"/>
      <c r="M38" s="432"/>
      <c r="N38" s="225">
        <f t="shared" si="0"/>
      </c>
      <c r="O38" s="226">
        <f t="shared" si="1"/>
      </c>
      <c r="P38" s="227"/>
      <c r="Q38" s="430">
        <f t="shared" si="12"/>
      </c>
      <c r="R38" s="431">
        <f t="shared" si="13"/>
      </c>
      <c r="S38" s="424">
        <f t="shared" si="14"/>
      </c>
      <c r="T38" s="105">
        <f t="shared" si="2"/>
        <v>6</v>
      </c>
      <c r="U38" s="229" t="str">
        <f t="shared" si="3"/>
        <v>--</v>
      </c>
      <c r="V38" s="230" t="str">
        <f t="shared" si="4"/>
        <v>--</v>
      </c>
      <c r="W38" s="231" t="str">
        <f t="shared" si="5"/>
        <v>--</v>
      </c>
      <c r="X38" s="232" t="str">
        <f t="shared" si="6"/>
        <v>--</v>
      </c>
      <c r="Y38" s="233" t="str">
        <f t="shared" si="7"/>
        <v>--</v>
      </c>
      <c r="Z38" s="234" t="str">
        <f t="shared" si="8"/>
        <v>--</v>
      </c>
      <c r="AA38" s="235" t="str">
        <f t="shared" si="9"/>
        <v>--</v>
      </c>
      <c r="AB38" s="236" t="str">
        <f t="shared" si="10"/>
        <v>--</v>
      </c>
      <c r="AC38" s="430">
        <f t="shared" si="15"/>
      </c>
      <c r="AD38" s="237">
        <f t="shared" si="11"/>
      </c>
      <c r="AE38" s="159"/>
    </row>
    <row r="39" spans="2:31" s="1" customFormat="1" ht="16.5" customHeight="1">
      <c r="B39" s="158"/>
      <c r="C39" s="415"/>
      <c r="D39" s="415"/>
      <c r="E39" s="415"/>
      <c r="F39" s="77"/>
      <c r="G39" s="79"/>
      <c r="H39" s="222"/>
      <c r="I39" s="413"/>
      <c r="J39" s="223"/>
      <c r="K39" s="416"/>
      <c r="L39" s="432"/>
      <c r="M39" s="432"/>
      <c r="N39" s="225">
        <f t="shared" si="0"/>
      </c>
      <c r="O39" s="226">
        <f t="shared" si="1"/>
      </c>
      <c r="P39" s="227"/>
      <c r="Q39" s="430">
        <f t="shared" si="12"/>
      </c>
      <c r="R39" s="431">
        <f t="shared" si="13"/>
      </c>
      <c r="S39" s="424">
        <f t="shared" si="14"/>
      </c>
      <c r="T39" s="105">
        <f t="shared" si="2"/>
        <v>6</v>
      </c>
      <c r="U39" s="229" t="str">
        <f t="shared" si="3"/>
        <v>--</v>
      </c>
      <c r="V39" s="230" t="str">
        <f t="shared" si="4"/>
        <v>--</v>
      </c>
      <c r="W39" s="231" t="str">
        <f t="shared" si="5"/>
        <v>--</v>
      </c>
      <c r="X39" s="232" t="str">
        <f t="shared" si="6"/>
        <v>--</v>
      </c>
      <c r="Y39" s="233" t="str">
        <f t="shared" si="7"/>
        <v>--</v>
      </c>
      <c r="Z39" s="234" t="str">
        <f t="shared" si="8"/>
        <v>--</v>
      </c>
      <c r="AA39" s="235" t="str">
        <f t="shared" si="9"/>
        <v>--</v>
      </c>
      <c r="AB39" s="236" t="str">
        <f t="shared" si="10"/>
        <v>--</v>
      </c>
      <c r="AC39" s="430">
        <f t="shared" si="15"/>
      </c>
      <c r="AD39" s="237">
        <f t="shared" si="11"/>
      </c>
      <c r="AE39" s="159"/>
    </row>
    <row r="40" spans="2:31" s="1" customFormat="1" ht="16.5" customHeight="1">
      <c r="B40" s="158"/>
      <c r="C40" s="415"/>
      <c r="D40" s="415"/>
      <c r="E40" s="415"/>
      <c r="F40" s="77"/>
      <c r="G40" s="79"/>
      <c r="H40" s="222"/>
      <c r="I40" s="413"/>
      <c r="J40" s="223"/>
      <c r="K40" s="416"/>
      <c r="L40" s="432"/>
      <c r="M40" s="432"/>
      <c r="N40" s="225">
        <f t="shared" si="0"/>
      </c>
      <c r="O40" s="226">
        <f t="shared" si="1"/>
      </c>
      <c r="P40" s="227"/>
      <c r="Q40" s="430">
        <f t="shared" si="12"/>
      </c>
      <c r="R40" s="431">
        <f t="shared" si="13"/>
      </c>
      <c r="S40" s="424">
        <f t="shared" si="14"/>
      </c>
      <c r="T40" s="105">
        <f t="shared" si="2"/>
        <v>6</v>
      </c>
      <c r="U40" s="229" t="str">
        <f t="shared" si="3"/>
        <v>--</v>
      </c>
      <c r="V40" s="230" t="str">
        <f t="shared" si="4"/>
        <v>--</v>
      </c>
      <c r="W40" s="231" t="str">
        <f t="shared" si="5"/>
        <v>--</v>
      </c>
      <c r="X40" s="232" t="str">
        <f t="shared" si="6"/>
        <v>--</v>
      </c>
      <c r="Y40" s="233" t="str">
        <f t="shared" si="7"/>
        <v>--</v>
      </c>
      <c r="Z40" s="234" t="str">
        <f t="shared" si="8"/>
        <v>--</v>
      </c>
      <c r="AA40" s="235" t="str">
        <f t="shared" si="9"/>
        <v>--</v>
      </c>
      <c r="AB40" s="236" t="str">
        <f t="shared" si="10"/>
        <v>--</v>
      </c>
      <c r="AC40" s="430">
        <f t="shared" si="15"/>
      </c>
      <c r="AD40" s="237">
        <f t="shared" si="11"/>
      </c>
      <c r="AE40" s="159"/>
    </row>
    <row r="41" spans="2:31" s="1" customFormat="1" ht="16.5" customHeight="1">
      <c r="B41" s="158"/>
      <c r="C41" s="415"/>
      <c r="D41" s="415"/>
      <c r="E41" s="415"/>
      <c r="F41" s="77"/>
      <c r="G41" s="79"/>
      <c r="H41" s="222"/>
      <c r="I41" s="413"/>
      <c r="J41" s="223"/>
      <c r="K41" s="416"/>
      <c r="L41" s="432"/>
      <c r="M41" s="432"/>
      <c r="N41" s="225">
        <f t="shared" si="0"/>
      </c>
      <c r="O41" s="226">
        <f t="shared" si="1"/>
      </c>
      <c r="P41" s="227"/>
      <c r="Q41" s="430">
        <f t="shared" si="12"/>
      </c>
      <c r="R41" s="431">
        <f t="shared" si="13"/>
      </c>
      <c r="S41" s="424">
        <f t="shared" si="14"/>
      </c>
      <c r="T41" s="105">
        <f t="shared" si="2"/>
        <v>6</v>
      </c>
      <c r="U41" s="229" t="str">
        <f t="shared" si="3"/>
        <v>--</v>
      </c>
      <c r="V41" s="230" t="str">
        <f t="shared" si="4"/>
        <v>--</v>
      </c>
      <c r="W41" s="231" t="str">
        <f t="shared" si="5"/>
        <v>--</v>
      </c>
      <c r="X41" s="232" t="str">
        <f t="shared" si="6"/>
        <v>--</v>
      </c>
      <c r="Y41" s="233" t="str">
        <f t="shared" si="7"/>
        <v>--</v>
      </c>
      <c r="Z41" s="234" t="str">
        <f t="shared" si="8"/>
        <v>--</v>
      </c>
      <c r="AA41" s="235" t="str">
        <f t="shared" si="9"/>
        <v>--</v>
      </c>
      <c r="AB41" s="236" t="str">
        <f t="shared" si="10"/>
        <v>--</v>
      </c>
      <c r="AC41" s="430">
        <f t="shared" si="15"/>
      </c>
      <c r="AD41" s="237">
        <f t="shared" si="11"/>
      </c>
      <c r="AE41" s="159"/>
    </row>
    <row r="42" spans="2:31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318"/>
      <c r="K42" s="240"/>
      <c r="L42" s="408"/>
      <c r="M42" s="408"/>
      <c r="N42" s="239"/>
      <c r="O42" s="239"/>
      <c r="P42" s="318"/>
      <c r="Q42" s="318"/>
      <c r="R42" s="318"/>
      <c r="S42" s="318"/>
      <c r="T42" s="319"/>
      <c r="U42" s="320"/>
      <c r="V42" s="321"/>
      <c r="W42" s="322"/>
      <c r="X42" s="323"/>
      <c r="Y42" s="324"/>
      <c r="Z42" s="325"/>
      <c r="AA42" s="326"/>
      <c r="AB42" s="327"/>
      <c r="AC42" s="318"/>
      <c r="AD42" s="241"/>
      <c r="AE42" s="159"/>
    </row>
    <row r="43" spans="2:31" s="1" customFormat="1" ht="16.5" customHeight="1" thickBot="1" thickTop="1">
      <c r="B43" s="158"/>
      <c r="C43" s="113" t="s">
        <v>55</v>
      </c>
      <c r="D43" s="436" t="s">
        <v>190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2">
        <f>SUM(U19:U42)</f>
        <v>6.592428000000001</v>
      </c>
      <c r="V43" s="243">
        <f>SUM(V19:V42)</f>
        <v>0</v>
      </c>
      <c r="W43" s="244">
        <f>SUM(W19:W42)</f>
        <v>36.6246</v>
      </c>
      <c r="X43" s="245">
        <f>SUM(X21:X42)</f>
        <v>98.88642000000002</v>
      </c>
      <c r="Y43" s="246">
        <f>SUM(Y19:Y42)</f>
        <v>0</v>
      </c>
      <c r="Z43" s="246">
        <f>SUM(Z21:Z42)</f>
        <v>0</v>
      </c>
      <c r="AA43" s="247">
        <f>SUM(AA19:AA42)</f>
        <v>0</v>
      </c>
      <c r="AB43" s="248">
        <f>SUM(AB21:AB42)</f>
        <v>0</v>
      </c>
      <c r="AC43" s="249"/>
      <c r="AD43" s="414">
        <f>ROUND(SUM(AD19:AD42),2)</f>
        <v>142.1</v>
      </c>
      <c r="AE43" s="159"/>
    </row>
    <row r="44" spans="2:31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52"/>
      <c r="W44" s="252"/>
      <c r="X44" s="252"/>
      <c r="Y44" s="252"/>
      <c r="Z44" s="252"/>
      <c r="AA44" s="252"/>
      <c r="AB44" s="252"/>
      <c r="AC44" s="251"/>
      <c r="AD44" s="253"/>
      <c r="AE44" s="254"/>
    </row>
    <row r="45" spans="2:31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</row>
    <row r="46" spans="2:31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79"/>
  <sheetViews>
    <sheetView zoomScale="50" zoomScaleNormal="50" workbookViewId="0" topLeftCell="A91">
      <selection activeCell="V146" sqref="V146"/>
    </sheetView>
  </sheetViews>
  <sheetFormatPr defaultColWidth="11.421875" defaultRowHeight="12.75"/>
  <cols>
    <col min="1" max="2" width="15.7109375" style="439" customWidth="1"/>
    <col min="3" max="3" width="7.7109375" style="439" customWidth="1"/>
    <col min="4" max="4" width="17.140625" style="439" customWidth="1"/>
    <col min="5" max="5" width="55.57421875" style="439" bestFit="1" customWidth="1"/>
    <col min="6" max="6" width="15.8515625" style="439" bestFit="1" customWidth="1"/>
    <col min="7" max="8" width="10.7109375" style="439" customWidth="1"/>
    <col min="9" max="22" width="12.7109375" style="439" customWidth="1"/>
    <col min="23" max="16384" width="11.421875" style="439" customWidth="1"/>
  </cols>
  <sheetData>
    <row r="1" ht="36" customHeight="1">
      <c r="V1" s="440"/>
    </row>
    <row r="2" spans="2:22" s="441" customFormat="1" ht="31.5" customHeight="1">
      <c r="B2" s="442" t="str">
        <f>'TOT-0110'!B2</f>
        <v>ANEXO II al Memorandum D.T.E.E. N°         /             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</row>
    <row r="3" spans="1:22" s="445" customFormat="1" ht="11.25">
      <c r="A3" s="443" t="s">
        <v>3</v>
      </c>
      <c r="B3" s="444"/>
      <c r="V3" s="446"/>
    </row>
    <row r="4" spans="1:22" s="445" customFormat="1" ht="11.25">
      <c r="A4" s="443" t="s">
        <v>4</v>
      </c>
      <c r="B4" s="444"/>
      <c r="V4" s="446"/>
    </row>
    <row r="5" spans="2:179" s="447" customFormat="1" ht="20.25">
      <c r="B5" s="821" t="s">
        <v>193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8"/>
      <c r="FF5" s="448"/>
      <c r="FG5" s="448"/>
      <c r="FH5" s="448"/>
      <c r="FI5" s="448"/>
      <c r="FJ5" s="448"/>
      <c r="FK5" s="448"/>
      <c r="FL5" s="448"/>
      <c r="FM5" s="448"/>
      <c r="FN5" s="448"/>
      <c r="FO5" s="448"/>
      <c r="FP5" s="448"/>
      <c r="FQ5" s="448"/>
      <c r="FR5" s="448"/>
      <c r="FS5" s="448"/>
      <c r="FT5" s="448"/>
      <c r="FU5" s="448"/>
      <c r="FV5" s="448"/>
      <c r="FW5" s="448"/>
    </row>
    <row r="6" spans="2:179" s="447" customFormat="1" ht="14.25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9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8"/>
      <c r="DL6" s="448"/>
      <c r="DM6" s="448"/>
      <c r="DN6" s="448"/>
      <c r="DO6" s="448"/>
      <c r="DP6" s="448"/>
      <c r="DQ6" s="448"/>
      <c r="DR6" s="448"/>
      <c r="DS6" s="448"/>
      <c r="DT6" s="448"/>
      <c r="DU6" s="448"/>
      <c r="DV6" s="448"/>
      <c r="DW6" s="448"/>
      <c r="DX6" s="448"/>
      <c r="DY6" s="448"/>
      <c r="DZ6" s="448"/>
      <c r="EA6" s="448"/>
      <c r="EB6" s="448"/>
      <c r="EC6" s="448"/>
      <c r="ED6" s="448"/>
      <c r="EE6" s="448"/>
      <c r="EF6" s="448"/>
      <c r="EG6" s="448"/>
      <c r="EH6" s="448"/>
      <c r="EI6" s="448"/>
      <c r="EJ6" s="448"/>
      <c r="EK6" s="448"/>
      <c r="EL6" s="448"/>
      <c r="EM6" s="448"/>
      <c r="EN6" s="448"/>
      <c r="EO6" s="448"/>
      <c r="EP6" s="448"/>
      <c r="EQ6" s="448"/>
      <c r="ER6" s="448"/>
      <c r="ES6" s="448"/>
      <c r="ET6" s="448"/>
      <c r="EU6" s="448"/>
      <c r="EV6" s="448"/>
      <c r="EW6" s="448"/>
      <c r="EX6" s="448"/>
      <c r="EY6" s="448"/>
      <c r="EZ6" s="448"/>
      <c r="FA6" s="448"/>
      <c r="FB6" s="448"/>
      <c r="FC6" s="448"/>
      <c r="FD6" s="448"/>
      <c r="FE6" s="448"/>
      <c r="FF6" s="448"/>
      <c r="FG6" s="448"/>
      <c r="FH6" s="448"/>
      <c r="FI6" s="448"/>
      <c r="FJ6" s="448"/>
      <c r="FK6" s="448"/>
      <c r="FL6" s="448"/>
      <c r="FM6" s="448"/>
      <c r="FN6" s="448"/>
      <c r="FO6" s="448"/>
      <c r="FP6" s="448"/>
      <c r="FQ6" s="448"/>
      <c r="FR6" s="448"/>
      <c r="FS6" s="448"/>
      <c r="FT6" s="448"/>
      <c r="FU6" s="448"/>
      <c r="FV6" s="448"/>
      <c r="FW6" s="448"/>
    </row>
    <row r="7" spans="2:179" s="450" customFormat="1" ht="18.75">
      <c r="B7" s="822" t="s">
        <v>0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 s="451"/>
      <c r="FL7" s="451"/>
      <c r="FM7" s="451"/>
      <c r="FN7" s="451"/>
      <c r="FO7" s="451"/>
      <c r="FP7" s="451"/>
      <c r="FQ7" s="451"/>
      <c r="FR7" s="451"/>
      <c r="FS7" s="451"/>
      <c r="FT7" s="451"/>
      <c r="FU7" s="451"/>
      <c r="FV7" s="451"/>
      <c r="FW7" s="451"/>
    </row>
    <row r="8" spans="2:179" ht="12.75"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3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2"/>
      <c r="FL8" s="452"/>
      <c r="FM8" s="452"/>
      <c r="FN8" s="452"/>
      <c r="FO8" s="452"/>
      <c r="FP8" s="452"/>
      <c r="FQ8" s="452"/>
      <c r="FR8" s="452"/>
      <c r="FS8" s="452"/>
      <c r="FT8" s="452"/>
      <c r="FU8" s="452"/>
      <c r="FV8" s="452"/>
      <c r="FW8" s="452"/>
    </row>
    <row r="9" spans="2:179" s="454" customFormat="1" ht="15.75">
      <c r="B9" s="823" t="s">
        <v>194</v>
      </c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5"/>
      <c r="DU9" s="455"/>
      <c r="DV9" s="455"/>
      <c r="DW9" s="455"/>
      <c r="DX9" s="455"/>
      <c r="DY9" s="455"/>
      <c r="DZ9" s="455"/>
      <c r="EA9" s="455"/>
      <c r="EB9" s="455"/>
      <c r="EC9" s="455"/>
      <c r="ED9" s="455"/>
      <c r="EE9" s="455"/>
      <c r="EF9" s="455"/>
      <c r="EG9" s="455"/>
      <c r="EH9" s="455"/>
      <c r="EI9" s="455"/>
      <c r="EJ9" s="455"/>
      <c r="EK9" s="455"/>
      <c r="EL9" s="455"/>
      <c r="EM9" s="455"/>
      <c r="EN9" s="455"/>
      <c r="EO9" s="455"/>
      <c r="EP9" s="455"/>
      <c r="EQ9" s="455"/>
      <c r="ER9" s="455"/>
      <c r="ES9" s="455"/>
      <c r="ET9" s="455"/>
      <c r="EU9" s="455"/>
      <c r="EV9" s="455"/>
      <c r="EW9" s="455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5"/>
      <c r="FL9" s="455"/>
      <c r="FM9" s="455"/>
      <c r="FN9" s="455"/>
      <c r="FO9" s="455"/>
      <c r="FP9" s="455"/>
      <c r="FQ9" s="455"/>
      <c r="FR9" s="455"/>
      <c r="FS9" s="455"/>
      <c r="FT9" s="455"/>
      <c r="FU9" s="455"/>
      <c r="FV9" s="455"/>
      <c r="FW9" s="455"/>
    </row>
    <row r="10" spans="2:179" ht="13.5" thickBot="1"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3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2"/>
      <c r="DK10" s="452"/>
      <c r="DL10" s="452"/>
      <c r="DM10" s="452"/>
      <c r="DN10" s="452"/>
      <c r="DO10" s="452"/>
      <c r="DP10" s="452"/>
      <c r="DQ10" s="452"/>
      <c r="DR10" s="452"/>
      <c r="DS10" s="452"/>
      <c r="DT10" s="452"/>
      <c r="DU10" s="452"/>
      <c r="DV10" s="452"/>
      <c r="DW10" s="452"/>
      <c r="DX10" s="452"/>
      <c r="DY10" s="452"/>
      <c r="DZ10" s="452"/>
      <c r="EA10" s="452"/>
      <c r="EB10" s="452"/>
      <c r="EC10" s="452"/>
      <c r="ED10" s="452"/>
      <c r="EE10" s="452"/>
      <c r="EF10" s="452"/>
      <c r="EG10" s="452"/>
      <c r="EH10" s="452"/>
      <c r="EI10" s="452"/>
      <c r="EJ10" s="452"/>
      <c r="EK10" s="452"/>
      <c r="EL10" s="452"/>
      <c r="EM10" s="452"/>
      <c r="EN10" s="452"/>
      <c r="EO10" s="452"/>
      <c r="EP10" s="452"/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2"/>
      <c r="FL10" s="452"/>
      <c r="FM10" s="452"/>
      <c r="FN10" s="452"/>
      <c r="FO10" s="452"/>
      <c r="FP10" s="452"/>
      <c r="FQ10" s="452"/>
      <c r="FR10" s="452"/>
      <c r="FS10" s="452"/>
      <c r="FT10" s="452"/>
      <c r="FU10" s="452"/>
      <c r="FV10" s="452"/>
      <c r="FW10" s="452"/>
    </row>
    <row r="11" spans="2:179" ht="13.5" thickTop="1">
      <c r="B11" s="456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8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  <c r="EH11" s="452"/>
      <c r="EI11" s="452"/>
      <c r="EJ11" s="452"/>
      <c r="EK11" s="452"/>
      <c r="EL11" s="452"/>
      <c r="EM11" s="452"/>
      <c r="EN11" s="452"/>
      <c r="EO11" s="452"/>
      <c r="EP11" s="452"/>
      <c r="EQ11" s="452"/>
      <c r="ER11" s="452"/>
      <c r="ES11" s="452"/>
      <c r="ET11" s="452"/>
      <c r="EU11" s="452"/>
      <c r="EV11" s="452"/>
      <c r="EW11" s="452"/>
      <c r="EX11" s="452"/>
      <c r="EY11" s="452"/>
      <c r="EZ11" s="452"/>
      <c r="FA11" s="452"/>
      <c r="FB11" s="452"/>
      <c r="FC11" s="452"/>
      <c r="FD11" s="452"/>
      <c r="FE11" s="452"/>
      <c r="FF11" s="452"/>
      <c r="FG11" s="452"/>
      <c r="FH11" s="452"/>
      <c r="FI11" s="452"/>
      <c r="FJ11" s="452"/>
      <c r="FK11" s="452"/>
      <c r="FL11" s="452"/>
      <c r="FM11" s="452"/>
      <c r="FN11" s="452"/>
      <c r="FO11" s="452"/>
      <c r="FP11" s="452"/>
      <c r="FQ11" s="452"/>
      <c r="FR11" s="452"/>
      <c r="FS11" s="452"/>
      <c r="FT11" s="452"/>
      <c r="FU11" s="452"/>
      <c r="FV11" s="452"/>
      <c r="FW11" s="452"/>
    </row>
    <row r="12" spans="2:179" s="454" customFormat="1" ht="15.75">
      <c r="B12" s="818" t="s">
        <v>195</v>
      </c>
      <c r="C12" s="819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819"/>
      <c r="V12" s="820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5"/>
      <c r="FL12" s="455"/>
      <c r="FM12" s="455"/>
      <c r="FN12" s="455"/>
      <c r="FO12" s="455"/>
      <c r="FP12" s="455"/>
      <c r="FQ12" s="455"/>
      <c r="FR12" s="455"/>
      <c r="FS12" s="455"/>
      <c r="FT12" s="455"/>
      <c r="FU12" s="455"/>
      <c r="FV12" s="455"/>
      <c r="FW12" s="455"/>
    </row>
    <row r="13" spans="2:22" ht="13.5" thickBot="1">
      <c r="B13" s="459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1"/>
    </row>
    <row r="14" spans="2:22" s="462" customFormat="1" ht="33.75" customHeight="1" thickBot="1" thickTop="1">
      <c r="B14" s="463"/>
      <c r="C14" s="464"/>
      <c r="D14" s="421" t="s">
        <v>196</v>
      </c>
      <c r="E14" s="421" t="s">
        <v>1</v>
      </c>
      <c r="F14" s="465" t="s">
        <v>14</v>
      </c>
      <c r="G14" s="465" t="s">
        <v>15</v>
      </c>
      <c r="H14" s="466" t="s">
        <v>2</v>
      </c>
      <c r="I14" s="467">
        <v>39814</v>
      </c>
      <c r="J14" s="467">
        <v>39845</v>
      </c>
      <c r="K14" s="467">
        <v>39873</v>
      </c>
      <c r="L14" s="467">
        <v>39904</v>
      </c>
      <c r="M14" s="467">
        <v>39934</v>
      </c>
      <c r="N14" s="467">
        <v>39965</v>
      </c>
      <c r="O14" s="467">
        <v>39995</v>
      </c>
      <c r="P14" s="467">
        <v>40026</v>
      </c>
      <c r="Q14" s="467">
        <v>40057</v>
      </c>
      <c r="R14" s="467">
        <v>40087</v>
      </c>
      <c r="S14" s="467">
        <v>40118</v>
      </c>
      <c r="T14" s="467">
        <v>40148</v>
      </c>
      <c r="U14" s="467">
        <v>40179</v>
      </c>
      <c r="V14" s="468"/>
    </row>
    <row r="15" spans="2:22" s="469" customFormat="1" ht="19.5" customHeight="1" thickTop="1">
      <c r="B15" s="470"/>
      <c r="C15" s="471"/>
      <c r="D15" s="472"/>
      <c r="E15" s="472"/>
      <c r="F15" s="472"/>
      <c r="G15" s="472"/>
      <c r="H15" s="471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4"/>
      <c r="V15" s="475"/>
    </row>
    <row r="16" spans="2:22" s="469" customFormat="1" ht="19.5" customHeight="1">
      <c r="B16" s="470"/>
      <c r="C16" s="476">
        <f>IF('[1]BASE'!C17="","",'[1]BASE'!C17)</f>
        <v>1</v>
      </c>
      <c r="D16" s="476">
        <f>IF('[1]BASE'!D17="","",'[1]BASE'!D17)</f>
        <v>1403</v>
      </c>
      <c r="E16" s="476" t="str">
        <f>IF('[1]BASE'!E17="","",'[1]BASE'!E17)</f>
        <v>BRAGADO - HENDERSON</v>
      </c>
      <c r="F16" s="476">
        <f>IF('[1]BASE'!F17="","",'[1]BASE'!F17)</f>
        <v>220</v>
      </c>
      <c r="G16" s="477">
        <f>IF('[1]BASE'!G17="","",'[1]BASE'!G17)</f>
        <v>177</v>
      </c>
      <c r="H16" s="478"/>
      <c r="I16" s="479">
        <f>IF('[1]BASE'!EM17="","",'[1]BASE'!EM17)</f>
      </c>
      <c r="J16" s="479">
        <f>IF('[1]BASE'!EN17="","",'[1]BASE'!EN17)</f>
        <v>1</v>
      </c>
      <c r="K16" s="479">
        <f>IF('[1]BASE'!EO17="","",'[1]BASE'!EO17)</f>
      </c>
      <c r="L16" s="479">
        <f>IF('[1]BASE'!EP17="","",'[1]BASE'!EP17)</f>
      </c>
      <c r="M16" s="479">
        <f>IF('[1]BASE'!EQ17="","",'[1]BASE'!EQ17)</f>
      </c>
      <c r="N16" s="479">
        <f>IF('[1]BASE'!ER17="","",'[1]BASE'!ER17)</f>
      </c>
      <c r="O16" s="479">
        <f>IF('[1]BASE'!ES17="","",'[1]BASE'!ES17)</f>
      </c>
      <c r="P16" s="479">
        <f>IF('[1]BASE'!ET17="","",'[1]BASE'!ET17)</f>
      </c>
      <c r="Q16" s="479">
        <f>IF('[1]BASE'!EU17="","",'[1]BASE'!EU17)</f>
      </c>
      <c r="R16" s="479">
        <f>IF('[1]BASE'!EV17="","",'[1]BASE'!EV17)</f>
        <v>1</v>
      </c>
      <c r="S16" s="479">
        <f>IF('[1]BASE'!EW17="","",'[1]BASE'!EW17)</f>
      </c>
      <c r="T16" s="479">
        <f>IF('[1]BASE'!EX17="","",'[1]BASE'!EX17)</f>
      </c>
      <c r="U16" s="480"/>
      <c r="V16" s="475"/>
    </row>
    <row r="17" spans="2:22" s="469" customFormat="1" ht="19.5" customHeight="1">
      <c r="B17" s="470"/>
      <c r="C17" s="481">
        <f>IF('[1]BASE'!C18="","",'[1]BASE'!C18)</f>
        <v>2</v>
      </c>
      <c r="D17" s="481" t="str">
        <f>IF('[1]BASE'!D18="","",'[1]BASE'!D18)</f>
        <v>CE-000</v>
      </c>
      <c r="E17" s="481" t="str">
        <f>IF('[1]BASE'!E18="","",'[1]BASE'!E18)</f>
        <v>AZUL - LAS FLORES</v>
      </c>
      <c r="F17" s="481">
        <f>IF('[1]BASE'!F18="","",'[1]BASE'!F18)</f>
        <v>132</v>
      </c>
      <c r="G17" s="482">
        <f>IF('[1]BASE'!G18="","",'[1]BASE'!G18)</f>
        <v>107</v>
      </c>
      <c r="H17" s="478" t="str">
        <f>'[1]BASE'!H18</f>
        <v>C</v>
      </c>
      <c r="I17" s="479" t="str">
        <f>IF('[1]BASE'!EM18="","",'[1]BASE'!EM18)</f>
        <v>XXXX</v>
      </c>
      <c r="J17" s="479" t="str">
        <f>IF('[1]BASE'!EN18="","",'[1]BASE'!EN18)</f>
        <v>XXXX</v>
      </c>
      <c r="K17" s="479" t="str">
        <f>IF('[1]BASE'!EO18="","",'[1]BASE'!EO18)</f>
        <v>XXXX</v>
      </c>
      <c r="L17" s="479" t="str">
        <f>IF('[1]BASE'!EP18="","",'[1]BASE'!EP18)</f>
        <v>XXXX</v>
      </c>
      <c r="M17" s="479" t="str">
        <f>IF('[1]BASE'!EQ18="","",'[1]BASE'!EQ18)</f>
        <v>XXXX</v>
      </c>
      <c r="N17" s="479" t="str">
        <f>IF('[1]BASE'!ER18="","",'[1]BASE'!ER18)</f>
        <v>XXXX</v>
      </c>
      <c r="O17" s="479" t="str">
        <f>IF('[1]BASE'!ES18="","",'[1]BASE'!ES18)</f>
        <v>XXXX</v>
      </c>
      <c r="P17" s="479" t="str">
        <f>IF('[1]BASE'!ET18="","",'[1]BASE'!ET18)</f>
        <v>XXXX</v>
      </c>
      <c r="Q17" s="479" t="str">
        <f>IF('[1]BASE'!EU18="","",'[1]BASE'!EU18)</f>
        <v>XXXX</v>
      </c>
      <c r="R17" s="479" t="str">
        <f>IF('[1]BASE'!EV18="","",'[1]BASE'!EV18)</f>
        <v>XXXX</v>
      </c>
      <c r="S17" s="479" t="str">
        <f>IF('[1]BASE'!EW18="","",'[1]BASE'!EW18)</f>
        <v>XXXX</v>
      </c>
      <c r="T17" s="479" t="str">
        <f>IF('[1]BASE'!EX18="","",'[1]BASE'!EX18)</f>
        <v>XXXX</v>
      </c>
      <c r="U17" s="480"/>
      <c r="V17" s="475"/>
    </row>
    <row r="18" spans="2:22" s="469" customFormat="1" ht="19.5" customHeight="1">
      <c r="B18" s="470"/>
      <c r="C18" s="483">
        <f>IF('[1]BASE'!C19="","",'[1]BASE'!C19)</f>
        <v>3</v>
      </c>
      <c r="D18" s="483">
        <f>IF('[1]BASE'!D19="","",'[1]BASE'!D19)</f>
        <v>1534</v>
      </c>
      <c r="E18" s="483" t="str">
        <f>IF('[1]BASE'!E19="","",'[1]BASE'!E19)</f>
        <v>BAHIA BLANCA - NORTE II</v>
      </c>
      <c r="F18" s="483">
        <f>IF('[1]BASE'!F19="","",'[1]BASE'!F19)</f>
        <v>132</v>
      </c>
      <c r="G18" s="484">
        <f>IF('[1]BASE'!G19="","",'[1]BASE'!G19)</f>
        <v>19</v>
      </c>
      <c r="H18" s="478" t="str">
        <f>'[1]BASE'!H19</f>
        <v>C</v>
      </c>
      <c r="I18" s="479">
        <f>IF('[1]BASE'!EM19="","",'[1]BASE'!EM19)</f>
      </c>
      <c r="J18" s="479">
        <f>IF('[1]BASE'!EN19="","",'[1]BASE'!EN19)</f>
      </c>
      <c r="K18" s="479">
        <f>IF('[1]BASE'!EO19="","",'[1]BASE'!EO19)</f>
      </c>
      <c r="L18" s="479">
        <f>IF('[1]BASE'!EP19="","",'[1]BASE'!EP19)</f>
      </c>
      <c r="M18" s="479">
        <f>IF('[1]BASE'!EQ19="","",'[1]BASE'!EQ19)</f>
      </c>
      <c r="N18" s="479">
        <f>IF('[1]BASE'!ER19="","",'[1]BASE'!ER19)</f>
      </c>
      <c r="O18" s="479">
        <f>IF('[1]BASE'!ES19="","",'[1]BASE'!ES19)</f>
      </c>
      <c r="P18" s="479">
        <f>IF('[1]BASE'!ET19="","",'[1]BASE'!ET19)</f>
      </c>
      <c r="Q18" s="479">
        <f>IF('[1]BASE'!EU19="","",'[1]BASE'!EU19)</f>
      </c>
      <c r="R18" s="479">
        <f>IF('[1]BASE'!EV19="","",'[1]BASE'!EV19)</f>
      </c>
      <c r="S18" s="479">
        <f>IF('[1]BASE'!EW19="","",'[1]BASE'!EW19)</f>
      </c>
      <c r="T18" s="479">
        <f>IF('[1]BASE'!EX19="","",'[1]BASE'!EX19)</f>
      </c>
      <c r="U18" s="480"/>
      <c r="V18" s="475"/>
    </row>
    <row r="19" spans="2:22" s="469" customFormat="1" ht="19.5" customHeight="1">
      <c r="B19" s="470"/>
      <c r="C19" s="481">
        <f>IF('[1]BASE'!C20="","",'[1]BASE'!C20)</f>
        <v>4</v>
      </c>
      <c r="D19" s="481">
        <f>IF('[1]BASE'!D20="","",'[1]BASE'!D20)</f>
        <v>1532</v>
      </c>
      <c r="E19" s="481" t="str">
        <f>IF('[1]BASE'!E20="","",'[1]BASE'!E20)</f>
        <v>BAHIA BLANCA - P. LURO</v>
      </c>
      <c r="F19" s="481">
        <f>IF('[1]BASE'!F20="","",'[1]BASE'!F20)</f>
        <v>132</v>
      </c>
      <c r="G19" s="482">
        <f>IF('[1]BASE'!G20="","",'[1]BASE'!G20)</f>
        <v>141</v>
      </c>
      <c r="H19" s="478" t="str">
        <f>'[1]BASE'!H20</f>
        <v>B</v>
      </c>
      <c r="I19" s="479">
        <f>IF('[1]BASE'!EM20="","",'[1]BASE'!EM20)</f>
        <v>1</v>
      </c>
      <c r="J19" s="479">
        <f>IF('[1]BASE'!EN20="","",'[1]BASE'!EN20)</f>
        <v>1</v>
      </c>
      <c r="K19" s="479">
        <f>IF('[1]BASE'!EO20="","",'[1]BASE'!EO20)</f>
      </c>
      <c r="L19" s="479">
        <f>IF('[1]BASE'!EP20="","",'[1]BASE'!EP20)</f>
      </c>
      <c r="M19" s="479">
        <f>IF('[1]BASE'!EQ20="","",'[1]BASE'!EQ20)</f>
      </c>
      <c r="N19" s="479">
        <f>IF('[1]BASE'!ER20="","",'[1]BASE'!ER20)</f>
      </c>
      <c r="O19" s="479">
        <f>IF('[1]BASE'!ES20="","",'[1]BASE'!ES20)</f>
      </c>
      <c r="P19" s="479">
        <f>IF('[1]BASE'!ET20="","",'[1]BASE'!ET20)</f>
      </c>
      <c r="Q19" s="479">
        <f>IF('[1]BASE'!EU20="","",'[1]BASE'!EU20)</f>
      </c>
      <c r="R19" s="479">
        <f>IF('[1]BASE'!EV20="","",'[1]BASE'!EV20)</f>
      </c>
      <c r="S19" s="479">
        <f>IF('[1]BASE'!EW20="","",'[1]BASE'!EW20)</f>
      </c>
      <c r="T19" s="479">
        <f>IF('[1]BASE'!EX20="","",'[1]BASE'!EX20)</f>
      </c>
      <c r="U19" s="480"/>
      <c r="V19" s="475"/>
    </row>
    <row r="20" spans="2:22" s="469" customFormat="1" ht="19.5" customHeight="1">
      <c r="B20" s="470"/>
      <c r="C20" s="483">
        <f>IF('[1]BASE'!C21="","",'[1]BASE'!C21)</f>
        <v>5</v>
      </c>
      <c r="D20" s="483">
        <f>IF('[1]BASE'!D21="","",'[1]BASE'!D21)</f>
        <v>1535</v>
      </c>
      <c r="E20" s="483" t="str">
        <f>IF('[1]BASE'!E21="","",'[1]BASE'!E21)</f>
        <v>BAHIA BLANCA - PETROQ. BAHIA BLANCA 1</v>
      </c>
      <c r="F20" s="483">
        <f>IF('[1]BASE'!F21="","",'[1]BASE'!F21)</f>
        <v>132</v>
      </c>
      <c r="G20" s="484">
        <f>IF('[1]BASE'!G21="","",'[1]BASE'!G21)</f>
        <v>29.8</v>
      </c>
      <c r="H20" s="478" t="str">
        <f>'[1]BASE'!H21</f>
        <v>C</v>
      </c>
      <c r="I20" s="479">
        <f>IF('[1]BASE'!EM21="","",'[1]BASE'!EM21)</f>
      </c>
      <c r="J20" s="479">
        <f>IF('[1]BASE'!EN21="","",'[1]BASE'!EN21)</f>
      </c>
      <c r="K20" s="479">
        <f>IF('[1]BASE'!EO21="","",'[1]BASE'!EO21)</f>
      </c>
      <c r="L20" s="479">
        <f>IF('[1]BASE'!EP21="","",'[1]BASE'!EP21)</f>
      </c>
      <c r="M20" s="479">
        <f>IF('[1]BASE'!EQ21="","",'[1]BASE'!EQ21)</f>
      </c>
      <c r="N20" s="479">
        <f>IF('[1]BASE'!ER21="","",'[1]BASE'!ER21)</f>
      </c>
      <c r="O20" s="479">
        <f>IF('[1]BASE'!ES21="","",'[1]BASE'!ES21)</f>
      </c>
      <c r="P20" s="479">
        <f>IF('[1]BASE'!ET21="","",'[1]BASE'!ET21)</f>
      </c>
      <c r="Q20" s="479">
        <f>IF('[1]BASE'!EU21="","",'[1]BASE'!EU21)</f>
      </c>
      <c r="R20" s="479">
        <f>IF('[1]BASE'!EV21="","",'[1]BASE'!EV21)</f>
      </c>
      <c r="S20" s="479">
        <f>IF('[1]BASE'!EW21="","",'[1]BASE'!EW21)</f>
      </c>
      <c r="T20" s="479">
        <f>IF('[1]BASE'!EX21="","",'[1]BASE'!EX21)</f>
      </c>
      <c r="U20" s="480"/>
      <c r="V20" s="475"/>
    </row>
    <row r="21" spans="2:22" s="469" customFormat="1" ht="19.5" customHeight="1">
      <c r="B21" s="470"/>
      <c r="C21" s="481">
        <f>IF('[1]BASE'!C22="","",'[1]BASE'!C22)</f>
        <v>6</v>
      </c>
      <c r="D21" s="481">
        <f>IF('[1]BASE'!D22="","",'[1]BASE'!D22)</f>
        <v>1531</v>
      </c>
      <c r="E21" s="481" t="str">
        <f>IF('[1]BASE'!E22="","",'[1]BASE'!E22)</f>
        <v>BAHIA BLANCA - PRINGLES</v>
      </c>
      <c r="F21" s="481">
        <f>IF('[1]BASE'!F22="","",'[1]BASE'!F22)</f>
        <v>132</v>
      </c>
      <c r="G21" s="482">
        <f>IF('[1]BASE'!G22="","",'[1]BASE'!G22)</f>
        <v>109</v>
      </c>
      <c r="H21" s="478" t="str">
        <f>'[1]BASE'!H22</f>
        <v>C</v>
      </c>
      <c r="I21" s="479">
        <f>IF('[1]BASE'!EM22="","",'[1]BASE'!EM22)</f>
      </c>
      <c r="J21" s="479">
        <f>IF('[1]BASE'!EN22="","",'[1]BASE'!EN22)</f>
      </c>
      <c r="K21" s="479">
        <f>IF('[1]BASE'!EO22="","",'[1]BASE'!EO22)</f>
        <v>1</v>
      </c>
      <c r="L21" s="479">
        <f>IF('[1]BASE'!EP22="","",'[1]BASE'!EP22)</f>
        <v>1</v>
      </c>
      <c r="M21" s="479">
        <f>IF('[1]BASE'!EQ22="","",'[1]BASE'!EQ22)</f>
      </c>
      <c r="N21" s="479">
        <f>IF('[1]BASE'!ER22="","",'[1]BASE'!ER22)</f>
      </c>
      <c r="O21" s="479">
        <f>IF('[1]BASE'!ES22="","",'[1]BASE'!ES22)</f>
      </c>
      <c r="P21" s="479">
        <f>IF('[1]BASE'!ET22="","",'[1]BASE'!ET22)</f>
        <v>1</v>
      </c>
      <c r="Q21" s="479">
        <f>IF('[1]BASE'!EU22="","",'[1]BASE'!EU22)</f>
      </c>
      <c r="R21" s="479">
        <f>IF('[1]BASE'!EV22="","",'[1]BASE'!EV22)</f>
      </c>
      <c r="S21" s="479">
        <f>IF('[1]BASE'!EW22="","",'[1]BASE'!EW22)</f>
      </c>
      <c r="T21" s="479">
        <f>IF('[1]BASE'!EX22="","",'[1]BASE'!EX22)</f>
      </c>
      <c r="U21" s="480"/>
      <c r="V21" s="475"/>
    </row>
    <row r="22" spans="2:22" s="469" customFormat="1" ht="19.5" customHeight="1">
      <c r="B22" s="470"/>
      <c r="C22" s="481">
        <f>IF('[1]BASE'!C23="","",'[1]BASE'!C23)</f>
        <v>7</v>
      </c>
      <c r="D22" s="483">
        <f>IF('[1]BASE'!D23="","",'[1]BASE'!D23)</f>
        <v>1522</v>
      </c>
      <c r="E22" s="483" t="str">
        <f>IF('[1]BASE'!E23="","",'[1]BASE'!E23)</f>
        <v>BALCARCE - MAR DEL PLATA</v>
      </c>
      <c r="F22" s="483">
        <f>IF('[1]BASE'!F23="","",'[1]BASE'!F23)</f>
        <v>132</v>
      </c>
      <c r="G22" s="484">
        <f>IF('[1]BASE'!G23="","",'[1]BASE'!G23)</f>
        <v>62.9</v>
      </c>
      <c r="H22" s="478" t="str">
        <f>'[1]BASE'!H23</f>
        <v>C</v>
      </c>
      <c r="I22" s="479">
        <f>IF('[1]BASE'!EM23="","",'[1]BASE'!EM23)</f>
        <v>1</v>
      </c>
      <c r="J22" s="479">
        <f>IF('[1]BASE'!EN23="","",'[1]BASE'!EN23)</f>
      </c>
      <c r="K22" s="479">
        <f>IF('[1]BASE'!EO23="","",'[1]BASE'!EO23)</f>
      </c>
      <c r="L22" s="479">
        <f>IF('[1]BASE'!EP23="","",'[1]BASE'!EP23)</f>
      </c>
      <c r="M22" s="479">
        <f>IF('[1]BASE'!EQ23="","",'[1]BASE'!EQ23)</f>
      </c>
      <c r="N22" s="479">
        <f>IF('[1]BASE'!ER23="","",'[1]BASE'!ER23)</f>
      </c>
      <c r="O22" s="479">
        <f>IF('[1]BASE'!ES23="","",'[1]BASE'!ES23)</f>
      </c>
      <c r="P22" s="479">
        <f>IF('[1]BASE'!ET23="","",'[1]BASE'!ET23)</f>
        <v>2</v>
      </c>
      <c r="Q22" s="479">
        <f>IF('[1]BASE'!EU23="","",'[1]BASE'!EU23)</f>
      </c>
      <c r="R22" s="479">
        <f>IF('[1]BASE'!EV23="","",'[1]BASE'!EV23)</f>
      </c>
      <c r="S22" s="479">
        <f>IF('[1]BASE'!EW23="","",'[1]BASE'!EW23)</f>
      </c>
      <c r="T22" s="479">
        <f>IF('[1]BASE'!EX23="","",'[1]BASE'!EX23)</f>
      </c>
      <c r="U22" s="480"/>
      <c r="V22" s="475"/>
    </row>
    <row r="23" spans="2:22" s="469" customFormat="1" ht="19.5" customHeight="1">
      <c r="B23" s="470"/>
      <c r="C23" s="481">
        <f>IF('[1]BASE'!C24="","",'[1]BASE'!C24)</f>
        <v>8</v>
      </c>
      <c r="D23" s="481">
        <f>IF('[1]BASE'!D24="","",'[1]BASE'!D24)</f>
        <v>1406</v>
      </c>
      <c r="E23" s="481" t="str">
        <f>IF('[1]BASE'!E24="","",'[1]BASE'!E24)</f>
        <v>BRAGADO - CHACABUCO</v>
      </c>
      <c r="F23" s="481">
        <f>IF('[1]BASE'!F24="","",'[1]BASE'!F24)</f>
        <v>132</v>
      </c>
      <c r="G23" s="482">
        <f>IF('[1]BASE'!G24="","",'[1]BASE'!G24)</f>
        <v>60.6</v>
      </c>
      <c r="H23" s="478" t="str">
        <f>'[1]BASE'!H24</f>
        <v>B</v>
      </c>
      <c r="I23" s="479">
        <f>IF('[1]BASE'!EM24="","",'[1]BASE'!EM24)</f>
      </c>
      <c r="J23" s="479">
        <f>IF('[1]BASE'!EN24="","",'[1]BASE'!EN24)</f>
      </c>
      <c r="K23" s="479">
        <f>IF('[1]BASE'!EO24="","",'[1]BASE'!EO24)</f>
      </c>
      <c r="L23" s="479">
        <f>IF('[1]BASE'!EP24="","",'[1]BASE'!EP24)</f>
      </c>
      <c r="M23" s="479">
        <f>IF('[1]BASE'!EQ24="","",'[1]BASE'!EQ24)</f>
      </c>
      <c r="N23" s="479">
        <f>IF('[1]BASE'!ER24="","",'[1]BASE'!ER24)</f>
      </c>
      <c r="O23" s="479">
        <f>IF('[1]BASE'!ES24="","",'[1]BASE'!ES24)</f>
      </c>
      <c r="P23" s="479">
        <f>IF('[1]BASE'!ET24="","",'[1]BASE'!ET24)</f>
      </c>
      <c r="Q23" s="479">
        <f>IF('[1]BASE'!EU24="","",'[1]BASE'!EU24)</f>
      </c>
      <c r="R23" s="479">
        <f>IF('[1]BASE'!EV24="","",'[1]BASE'!EV24)</f>
      </c>
      <c r="S23" s="479">
        <f>IF('[1]BASE'!EW24="","",'[1]BASE'!EW24)</f>
      </c>
      <c r="T23" s="479">
        <f>IF('[1]BASE'!EX24="","",'[1]BASE'!EX24)</f>
        <v>1</v>
      </c>
      <c r="U23" s="480"/>
      <c r="V23" s="475"/>
    </row>
    <row r="24" spans="2:22" s="469" customFormat="1" ht="19.5" customHeight="1">
      <c r="B24" s="470"/>
      <c r="C24" s="483">
        <f>IF('[1]BASE'!C25="","",'[1]BASE'!C25)</f>
        <v>9</v>
      </c>
      <c r="D24" s="483">
        <f>IF('[1]BASE'!D25="","",'[1]BASE'!D25)</f>
        <v>1404</v>
      </c>
      <c r="E24" s="483" t="str">
        <f>IF('[1]BASE'!E25="","",'[1]BASE'!E25)</f>
        <v>BRAGADO - CHIVILCOY</v>
      </c>
      <c r="F24" s="483">
        <f>IF('[1]BASE'!F25="","",'[1]BASE'!F25)</f>
        <v>132</v>
      </c>
      <c r="G24" s="484">
        <f>IF('[1]BASE'!G25="","",'[1]BASE'!G25)</f>
        <v>49</v>
      </c>
      <c r="H24" s="478" t="str">
        <f>'[1]BASE'!H25</f>
        <v>B</v>
      </c>
      <c r="I24" s="479">
        <f>IF('[1]BASE'!EM25="","",'[1]BASE'!EM25)</f>
      </c>
      <c r="J24" s="479">
        <f>IF('[1]BASE'!EN25="","",'[1]BASE'!EN25)</f>
      </c>
      <c r="K24" s="479">
        <f>IF('[1]BASE'!EO25="","",'[1]BASE'!EO25)</f>
      </c>
      <c r="L24" s="479">
        <f>IF('[1]BASE'!EP25="","",'[1]BASE'!EP25)</f>
      </c>
      <c r="M24" s="479">
        <f>IF('[1]BASE'!EQ25="","",'[1]BASE'!EQ25)</f>
      </c>
      <c r="N24" s="479">
        <f>IF('[1]BASE'!ER25="","",'[1]BASE'!ER25)</f>
      </c>
      <c r="O24" s="479">
        <f>IF('[1]BASE'!ES25="","",'[1]BASE'!ES25)</f>
      </c>
      <c r="P24" s="479">
        <f>IF('[1]BASE'!ET25="","",'[1]BASE'!ET25)</f>
      </c>
      <c r="Q24" s="479">
        <f>IF('[1]BASE'!EU25="","",'[1]BASE'!EU25)</f>
      </c>
      <c r="R24" s="479">
        <f>IF('[1]BASE'!EV25="","",'[1]BASE'!EV25)</f>
      </c>
      <c r="S24" s="479">
        <f>IF('[1]BASE'!EW25="","",'[1]BASE'!EW25)</f>
      </c>
      <c r="T24" s="479">
        <f>IF('[1]BASE'!EX25="","",'[1]BASE'!EX25)</f>
      </c>
      <c r="U24" s="480"/>
      <c r="V24" s="475"/>
    </row>
    <row r="25" spans="2:22" s="469" customFormat="1" ht="19.5" customHeight="1">
      <c r="B25" s="470"/>
      <c r="C25" s="481">
        <f>IF('[1]BASE'!C26="","",'[1]BASE'!C26)</f>
        <v>10</v>
      </c>
      <c r="D25" s="481">
        <f>IF('[1]BASE'!D26="","",'[1]BASE'!D26)</f>
        <v>1405</v>
      </c>
      <c r="E25" s="481" t="str">
        <f>IF('[1]BASE'!E26="","",'[1]BASE'!E26)</f>
        <v>BRAGADO - SALADILLO</v>
      </c>
      <c r="F25" s="481">
        <f>IF('[1]BASE'!F26="","",'[1]BASE'!F26)</f>
        <v>132</v>
      </c>
      <c r="G25" s="482">
        <f>IF('[1]BASE'!G26="","",'[1]BASE'!G26)</f>
        <v>83.8</v>
      </c>
      <c r="H25" s="478" t="str">
        <f>'[1]BASE'!H26</f>
        <v>B</v>
      </c>
      <c r="I25" s="479">
        <f>IF('[1]BASE'!EM26="","",'[1]BASE'!EM26)</f>
      </c>
      <c r="J25" s="479">
        <f>IF('[1]BASE'!EN26="","",'[1]BASE'!EN26)</f>
      </c>
      <c r="K25" s="479">
        <f>IF('[1]BASE'!EO26="","",'[1]BASE'!EO26)</f>
      </c>
      <c r="L25" s="479">
        <f>IF('[1]BASE'!EP26="","",'[1]BASE'!EP26)</f>
      </c>
      <c r="M25" s="479">
        <f>IF('[1]BASE'!EQ26="","",'[1]BASE'!EQ26)</f>
        <v>1</v>
      </c>
      <c r="N25" s="479">
        <f>IF('[1]BASE'!ER26="","",'[1]BASE'!ER26)</f>
      </c>
      <c r="O25" s="479">
        <f>IF('[1]BASE'!ES26="","",'[1]BASE'!ES26)</f>
      </c>
      <c r="P25" s="479">
        <f>IF('[1]BASE'!ET26="","",'[1]BASE'!ET26)</f>
      </c>
      <c r="Q25" s="479">
        <f>IF('[1]BASE'!EU26="","",'[1]BASE'!EU26)</f>
      </c>
      <c r="R25" s="479">
        <f>IF('[1]BASE'!EV26="","",'[1]BASE'!EV26)</f>
      </c>
      <c r="S25" s="479">
        <f>IF('[1]BASE'!EW26="","",'[1]BASE'!EW26)</f>
      </c>
      <c r="T25" s="479">
        <f>IF('[1]BASE'!EX26="","",'[1]BASE'!EX26)</f>
      </c>
      <c r="U25" s="480"/>
      <c r="V25" s="475"/>
    </row>
    <row r="26" spans="2:22" s="469" customFormat="1" ht="19.5" customHeight="1">
      <c r="B26" s="470"/>
      <c r="C26" s="483">
        <f>IF('[1]BASE'!C27="","",'[1]BASE'!C27)</f>
        <v>11</v>
      </c>
      <c r="D26" s="483">
        <f>IF('[1]BASE'!D27="","",'[1]BASE'!D27)</f>
        <v>1454</v>
      </c>
      <c r="E26" s="483" t="str">
        <f>IF('[1]BASE'!E27="","",'[1]BASE'!E27)</f>
        <v>C. AVELLANEDA - OLAVARRIA VIEJA</v>
      </c>
      <c r="F26" s="483">
        <f>IF('[1]BASE'!F27="","",'[1]BASE'!F27)</f>
        <v>132</v>
      </c>
      <c r="G26" s="484">
        <f>IF('[1]BASE'!G27="","",'[1]BASE'!G27)</f>
        <v>6.3</v>
      </c>
      <c r="H26" s="478" t="str">
        <f>'[1]BASE'!H27</f>
        <v>C</v>
      </c>
      <c r="I26" s="479">
        <f>IF('[1]BASE'!EM27="","",'[1]BASE'!EM27)</f>
      </c>
      <c r="J26" s="479">
        <f>IF('[1]BASE'!EN27="","",'[1]BASE'!EN27)</f>
      </c>
      <c r="K26" s="479">
        <f>IF('[1]BASE'!EO27="","",'[1]BASE'!EO27)</f>
      </c>
      <c r="L26" s="479">
        <f>IF('[1]BASE'!EP27="","",'[1]BASE'!EP27)</f>
      </c>
      <c r="M26" s="479">
        <f>IF('[1]BASE'!EQ27="","",'[1]BASE'!EQ27)</f>
      </c>
      <c r="N26" s="479">
        <f>IF('[1]BASE'!ER27="","",'[1]BASE'!ER27)</f>
      </c>
      <c r="O26" s="479">
        <f>IF('[1]BASE'!ES27="","",'[1]BASE'!ES27)</f>
      </c>
      <c r="P26" s="479">
        <f>IF('[1]BASE'!ET27="","",'[1]BASE'!ET27)</f>
      </c>
      <c r="Q26" s="479">
        <f>IF('[1]BASE'!EU27="","",'[1]BASE'!EU27)</f>
      </c>
      <c r="R26" s="479">
        <f>IF('[1]BASE'!EV27="","",'[1]BASE'!EV27)</f>
      </c>
      <c r="S26" s="479">
        <f>IF('[1]BASE'!EW27="","",'[1]BASE'!EW27)</f>
      </c>
      <c r="T26" s="479">
        <f>IF('[1]BASE'!EX27="","",'[1]BASE'!EX27)</f>
      </c>
      <c r="U26" s="480"/>
      <c r="V26" s="475"/>
    </row>
    <row r="27" spans="2:22" s="469" customFormat="1" ht="19.5" customHeight="1">
      <c r="B27" s="470"/>
      <c r="C27" s="481">
        <f>IF('[1]BASE'!C28="","",'[1]BASE'!C28)</f>
        <v>12</v>
      </c>
      <c r="D27" s="481">
        <f>IF('[1]BASE'!D28="","",'[1]BASE'!D28)</f>
        <v>2617</v>
      </c>
      <c r="E27" s="481" t="str">
        <f>IF('[1]BASE'!E28="","",'[1]BASE'!E28)</f>
        <v>C. PATAGONES - VIEDMA</v>
      </c>
      <c r="F27" s="481">
        <f>IF('[1]BASE'!F28="","",'[1]BASE'!F28)</f>
        <v>132</v>
      </c>
      <c r="G27" s="482">
        <f>IF('[1]BASE'!G28="","",'[1]BASE'!G28)</f>
        <v>2.7</v>
      </c>
      <c r="H27" s="478" t="str">
        <f>'[1]BASE'!H28</f>
        <v>C</v>
      </c>
      <c r="I27" s="479">
        <f>IF('[1]BASE'!EM28="","",'[1]BASE'!EM28)</f>
      </c>
      <c r="J27" s="479">
        <f>IF('[1]BASE'!EN28="","",'[1]BASE'!EN28)</f>
      </c>
      <c r="K27" s="479">
        <f>IF('[1]BASE'!EO28="","",'[1]BASE'!EO28)</f>
      </c>
      <c r="L27" s="479">
        <f>IF('[1]BASE'!EP28="","",'[1]BASE'!EP28)</f>
      </c>
      <c r="M27" s="479">
        <f>IF('[1]BASE'!EQ28="","",'[1]BASE'!EQ28)</f>
      </c>
      <c r="N27" s="479">
        <f>IF('[1]BASE'!ER28="","",'[1]BASE'!ER28)</f>
      </c>
      <c r="O27" s="479">
        <f>IF('[1]BASE'!ES28="","",'[1]BASE'!ES28)</f>
      </c>
      <c r="P27" s="479">
        <f>IF('[1]BASE'!ET28="","",'[1]BASE'!ET28)</f>
      </c>
      <c r="Q27" s="479">
        <f>IF('[1]BASE'!EU28="","",'[1]BASE'!EU28)</f>
      </c>
      <c r="R27" s="479">
        <f>IF('[1]BASE'!EV28="","",'[1]BASE'!EV28)</f>
      </c>
      <c r="S27" s="479">
        <f>IF('[1]BASE'!EW28="","",'[1]BASE'!EW28)</f>
      </c>
      <c r="T27" s="479">
        <f>IF('[1]BASE'!EX28="","",'[1]BASE'!EX28)</f>
      </c>
      <c r="U27" s="480"/>
      <c r="V27" s="475"/>
    </row>
    <row r="28" spans="2:22" s="469" customFormat="1" ht="19.5" customHeight="1">
      <c r="B28" s="470"/>
      <c r="C28" s="483">
        <f>IF('[1]BASE'!C29="","",'[1]BASE'!C29)</f>
        <v>13</v>
      </c>
      <c r="D28" s="483" t="str">
        <f>IF('[1]BASE'!D29="","",'[1]BASE'!D29)</f>
        <v>CE-000</v>
      </c>
      <c r="E28" s="483" t="str">
        <f>IF('[1]BASE'!E29="","",'[1]BASE'!E29)</f>
        <v>CAMPANA - NUEVA CAMPANA</v>
      </c>
      <c r="F28" s="483">
        <f>IF('[1]BASE'!F29="","",'[1]BASE'!F29)</f>
        <v>132</v>
      </c>
      <c r="G28" s="484">
        <f>IF('[1]BASE'!G29="","",'[1]BASE'!G29)</f>
        <v>6.5</v>
      </c>
      <c r="H28" s="478" t="str">
        <f>'[1]BASE'!H29</f>
        <v>C</v>
      </c>
      <c r="I28" s="479" t="str">
        <f>IF('[1]BASE'!EM29="","",'[1]BASE'!EM29)</f>
        <v>XXXX</v>
      </c>
      <c r="J28" s="479" t="str">
        <f>IF('[1]BASE'!EN29="","",'[1]BASE'!EN29)</f>
        <v>XXXX</v>
      </c>
      <c r="K28" s="479" t="str">
        <f>IF('[1]BASE'!EO29="","",'[1]BASE'!EO29)</f>
        <v>XXXX</v>
      </c>
      <c r="L28" s="479" t="str">
        <f>IF('[1]BASE'!EP29="","",'[1]BASE'!EP29)</f>
        <v>XXXX</v>
      </c>
      <c r="M28" s="479" t="str">
        <f>IF('[1]BASE'!EQ29="","",'[1]BASE'!EQ29)</f>
        <v>XXXX</v>
      </c>
      <c r="N28" s="479" t="str">
        <f>IF('[1]BASE'!ER29="","",'[1]BASE'!ER29)</f>
        <v>XXXX</v>
      </c>
      <c r="O28" s="479" t="str">
        <f>IF('[1]BASE'!ES29="","",'[1]BASE'!ES29)</f>
        <v>XXXX</v>
      </c>
      <c r="P28" s="479" t="str">
        <f>IF('[1]BASE'!ET29="","",'[1]BASE'!ET29)</f>
        <v>XXXX</v>
      </c>
      <c r="Q28" s="479" t="str">
        <f>IF('[1]BASE'!EU29="","",'[1]BASE'!EU29)</f>
        <v>XXXX</v>
      </c>
      <c r="R28" s="479" t="str">
        <f>IF('[1]BASE'!EV29="","",'[1]BASE'!EV29)</f>
        <v>XXXX</v>
      </c>
      <c r="S28" s="479" t="str">
        <f>IF('[1]BASE'!EW29="","",'[1]BASE'!EW29)</f>
        <v>XXXX</v>
      </c>
      <c r="T28" s="479" t="str">
        <f>IF('[1]BASE'!EX29="","",'[1]BASE'!EX29)</f>
        <v>XXXX</v>
      </c>
      <c r="U28" s="480"/>
      <c r="V28" s="475"/>
    </row>
    <row r="29" spans="2:22" s="469" customFormat="1" ht="19.5" customHeight="1">
      <c r="B29" s="470"/>
      <c r="C29" s="481">
        <f>IF('[1]BASE'!C30="","",'[1]BASE'!C30)</f>
        <v>14</v>
      </c>
      <c r="D29" s="481">
        <f>IF('[1]BASE'!D30="","",'[1]BASE'!D30)</f>
        <v>1432</v>
      </c>
      <c r="E29" s="481" t="str">
        <f>IF('[1]BASE'!E30="","",'[1]BASE'!E30)</f>
        <v>CAMPANA - SIDERCA</v>
      </c>
      <c r="F29" s="481">
        <f>IF('[1]BASE'!F30="","",'[1]BASE'!F30)</f>
        <v>132</v>
      </c>
      <c r="G29" s="482">
        <f>IF('[1]BASE'!G30="","",'[1]BASE'!G30)</f>
        <v>0.3</v>
      </c>
      <c r="H29" s="478" t="str">
        <f>'[1]BASE'!H30</f>
        <v>C</v>
      </c>
      <c r="I29" s="479">
        <f>IF('[1]BASE'!EM30="","",'[1]BASE'!EM30)</f>
      </c>
      <c r="J29" s="479">
        <f>IF('[1]BASE'!EN30="","",'[1]BASE'!EN30)</f>
      </c>
      <c r="K29" s="479">
        <f>IF('[1]BASE'!EO30="","",'[1]BASE'!EO30)</f>
      </c>
      <c r="L29" s="479">
        <f>IF('[1]BASE'!EP30="","",'[1]BASE'!EP30)</f>
      </c>
      <c r="M29" s="479">
        <f>IF('[1]BASE'!EQ30="","",'[1]BASE'!EQ30)</f>
      </c>
      <c r="N29" s="479">
        <f>IF('[1]BASE'!ER30="","",'[1]BASE'!ER30)</f>
      </c>
      <c r="O29" s="479">
        <f>IF('[1]BASE'!ES30="","",'[1]BASE'!ES30)</f>
      </c>
      <c r="P29" s="479">
        <f>IF('[1]BASE'!ET30="","",'[1]BASE'!ET30)</f>
      </c>
      <c r="Q29" s="479">
        <f>IF('[1]BASE'!EU30="","",'[1]BASE'!EU30)</f>
      </c>
      <c r="R29" s="479">
        <f>IF('[1]BASE'!EV30="","",'[1]BASE'!EV30)</f>
      </c>
      <c r="S29" s="479">
        <f>IF('[1]BASE'!EW30="","",'[1]BASE'!EW30)</f>
      </c>
      <c r="T29" s="479">
        <f>IF('[1]BASE'!EX30="","",'[1]BASE'!EX30)</f>
      </c>
      <c r="U29" s="480"/>
      <c r="V29" s="475"/>
    </row>
    <row r="30" spans="2:22" s="469" customFormat="1" ht="19.5" customHeight="1">
      <c r="B30" s="470"/>
      <c r="C30" s="483">
        <f>IF('[1]BASE'!C31="","",'[1]BASE'!C31)</f>
        <v>15</v>
      </c>
      <c r="D30" s="483">
        <f>IF('[1]BASE'!D31="","",'[1]BASE'!D31)</f>
        <v>1428</v>
      </c>
      <c r="E30" s="483" t="str">
        <f>IF('[1]BASE'!E31="","",'[1]BASE'!E31)</f>
        <v>CAMPANA - ZARATE</v>
      </c>
      <c r="F30" s="483">
        <f>IF('[1]BASE'!F31="","",'[1]BASE'!F31)</f>
        <v>132</v>
      </c>
      <c r="G30" s="484">
        <f>IF('[1]BASE'!G31="","",'[1]BASE'!G31)</f>
        <v>9.4</v>
      </c>
      <c r="H30" s="478" t="str">
        <f>'[1]BASE'!H31</f>
        <v>C</v>
      </c>
      <c r="I30" s="479">
        <f>IF('[1]BASE'!EM31="","",'[1]BASE'!EM31)</f>
      </c>
      <c r="J30" s="479">
        <f>IF('[1]BASE'!EN31="","",'[1]BASE'!EN31)</f>
      </c>
      <c r="K30" s="479">
        <f>IF('[1]BASE'!EO31="","",'[1]BASE'!EO31)</f>
      </c>
      <c r="L30" s="479">
        <f>IF('[1]BASE'!EP31="","",'[1]BASE'!EP31)</f>
      </c>
      <c r="M30" s="479">
        <f>IF('[1]BASE'!EQ31="","",'[1]BASE'!EQ31)</f>
      </c>
      <c r="N30" s="479">
        <f>IF('[1]BASE'!ER31="","",'[1]BASE'!ER31)</f>
      </c>
      <c r="O30" s="479">
        <f>IF('[1]BASE'!ES31="","",'[1]BASE'!ES31)</f>
      </c>
      <c r="P30" s="479">
        <f>IF('[1]BASE'!ET31="","",'[1]BASE'!ET31)</f>
      </c>
      <c r="Q30" s="479">
        <f>IF('[1]BASE'!EU31="","",'[1]BASE'!EU31)</f>
      </c>
      <c r="R30" s="479">
        <f>IF('[1]BASE'!EV31="","",'[1]BASE'!EV31)</f>
      </c>
      <c r="S30" s="479">
        <f>IF('[1]BASE'!EW31="","",'[1]BASE'!EW31)</f>
      </c>
      <c r="T30" s="479">
        <f>IF('[1]BASE'!EX31="","",'[1]BASE'!EX31)</f>
      </c>
      <c r="U30" s="480"/>
      <c r="V30" s="475"/>
    </row>
    <row r="31" spans="2:22" s="469" customFormat="1" ht="19.5" customHeight="1">
      <c r="B31" s="470"/>
      <c r="C31" s="481">
        <f>IF('[1]BASE'!C32="","",'[1]BASE'!C32)</f>
        <v>16</v>
      </c>
      <c r="D31" s="481">
        <f>IF('[1]BASE'!D32="","",'[1]BASE'!D32)</f>
        <v>1438</v>
      </c>
      <c r="E31" s="481" t="str">
        <f>IF('[1]BASE'!E32="","",'[1]BASE'!E32)</f>
        <v>CHASCOMUS - VERONICA</v>
      </c>
      <c r="F31" s="481">
        <f>IF('[1]BASE'!F32="","",'[1]BASE'!F32)</f>
        <v>132</v>
      </c>
      <c r="G31" s="482">
        <f>IF('[1]BASE'!G32="","",'[1]BASE'!G32)</f>
        <v>70.8</v>
      </c>
      <c r="H31" s="478" t="str">
        <f>'[1]BASE'!H32</f>
        <v>B</v>
      </c>
      <c r="I31" s="479">
        <f>IF('[1]BASE'!EM32="","",'[1]BASE'!EM32)</f>
        <v>2</v>
      </c>
      <c r="J31" s="479">
        <f>IF('[1]BASE'!EN32="","",'[1]BASE'!EN32)</f>
      </c>
      <c r="K31" s="479">
        <f>IF('[1]BASE'!EO32="","",'[1]BASE'!EO32)</f>
      </c>
      <c r="L31" s="479">
        <f>IF('[1]BASE'!EP32="","",'[1]BASE'!EP32)</f>
      </c>
      <c r="M31" s="479">
        <f>IF('[1]BASE'!EQ32="","",'[1]BASE'!EQ32)</f>
      </c>
      <c r="N31" s="479">
        <f>IF('[1]BASE'!ER32="","",'[1]BASE'!ER32)</f>
      </c>
      <c r="O31" s="479">
        <f>IF('[1]BASE'!ES32="","",'[1]BASE'!ES32)</f>
      </c>
      <c r="P31" s="479">
        <f>IF('[1]BASE'!ET32="","",'[1]BASE'!ET32)</f>
        <v>1</v>
      </c>
      <c r="Q31" s="479">
        <f>IF('[1]BASE'!EU32="","",'[1]BASE'!EU32)</f>
      </c>
      <c r="R31" s="479">
        <f>IF('[1]BASE'!EV32="","",'[1]BASE'!EV32)</f>
      </c>
      <c r="S31" s="479">
        <f>IF('[1]BASE'!EW32="","",'[1]BASE'!EW32)</f>
      </c>
      <c r="T31" s="479">
        <f>IF('[1]BASE'!EX32="","",'[1]BASE'!EX32)</f>
      </c>
      <c r="U31" s="480"/>
      <c r="V31" s="475"/>
    </row>
    <row r="32" spans="2:22" s="469" customFormat="1" ht="19.5" customHeight="1">
      <c r="B32" s="470"/>
      <c r="C32" s="483">
        <f>IF('[1]BASE'!C33="","",'[1]BASE'!C33)</f>
        <v>17</v>
      </c>
      <c r="D32" s="483">
        <f>IF('[1]BASE'!D33="","",'[1]BASE'!D33)</f>
        <v>1409</v>
      </c>
      <c r="E32" s="483" t="str">
        <f>IF('[1]BASE'!E33="","",'[1]BASE'!E33)</f>
        <v>CHIVILCOY - MERCEDES B.A.</v>
      </c>
      <c r="F32" s="483">
        <f>IF('[1]BASE'!F33="","",'[1]BASE'!F33)</f>
        <v>132</v>
      </c>
      <c r="G32" s="484">
        <f>IF('[1]BASE'!G33="","",'[1]BASE'!G33)</f>
        <v>69.1</v>
      </c>
      <c r="H32" s="478" t="str">
        <f>'[1]BASE'!H33</f>
        <v>C</v>
      </c>
      <c r="I32" s="479">
        <f>IF('[1]BASE'!EM33="","",'[1]BASE'!EM33)</f>
      </c>
      <c r="J32" s="479">
        <f>IF('[1]BASE'!EN33="","",'[1]BASE'!EN33)</f>
      </c>
      <c r="K32" s="479">
        <f>IF('[1]BASE'!EO33="","",'[1]BASE'!EO33)</f>
      </c>
      <c r="L32" s="479">
        <f>IF('[1]BASE'!EP33="","",'[1]BASE'!EP33)</f>
      </c>
      <c r="M32" s="479">
        <f>IF('[1]BASE'!EQ33="","",'[1]BASE'!EQ33)</f>
      </c>
      <c r="N32" s="479">
        <f>IF('[1]BASE'!ER33="","",'[1]BASE'!ER33)</f>
      </c>
      <c r="O32" s="479">
        <f>IF('[1]BASE'!ES33="","",'[1]BASE'!ES33)</f>
      </c>
      <c r="P32" s="479">
        <f>IF('[1]BASE'!ET33="","",'[1]BASE'!ET33)</f>
      </c>
      <c r="Q32" s="479">
        <f>IF('[1]BASE'!EU33="","",'[1]BASE'!EU33)</f>
      </c>
      <c r="R32" s="479">
        <f>IF('[1]BASE'!EV33="","",'[1]BASE'!EV33)</f>
      </c>
      <c r="S32" s="479">
        <f>IF('[1]BASE'!EW33="","",'[1]BASE'!EW33)</f>
      </c>
      <c r="T32" s="479">
        <f>IF('[1]BASE'!EX33="","",'[1]BASE'!EX33)</f>
      </c>
      <c r="U32" s="480"/>
      <c r="V32" s="475"/>
    </row>
    <row r="33" spans="2:22" s="469" customFormat="1" ht="19.5" customHeight="1">
      <c r="B33" s="470"/>
      <c r="C33" s="481">
        <f>IF('[1]BASE'!C34="","",'[1]BASE'!C34)</f>
        <v>18</v>
      </c>
      <c r="D33" s="481">
        <f>IF('[1]BASE'!D34="","",'[1]BASE'!D34)</f>
        <v>1539</v>
      </c>
      <c r="E33" s="481" t="str">
        <f>IF('[1]BASE'!E34="","",'[1]BASE'!E34)</f>
        <v>CNEL. DORREGO - BAHIA BLANCA</v>
      </c>
      <c r="F33" s="481">
        <f>IF('[1]BASE'!F34="","",'[1]BASE'!F34)</f>
        <v>132</v>
      </c>
      <c r="G33" s="482">
        <f>IF('[1]BASE'!G34="","",'[1]BASE'!G34)</f>
        <v>77.5</v>
      </c>
      <c r="H33" s="478" t="str">
        <f>'[1]BASE'!H34</f>
        <v>C</v>
      </c>
      <c r="I33" s="479">
        <f>IF('[1]BASE'!EM34="","",'[1]BASE'!EM34)</f>
      </c>
      <c r="J33" s="479">
        <f>IF('[1]BASE'!EN34="","",'[1]BASE'!EN34)</f>
      </c>
      <c r="K33" s="479">
        <f>IF('[1]BASE'!EO34="","",'[1]BASE'!EO34)</f>
      </c>
      <c r="L33" s="479">
        <f>IF('[1]BASE'!EP34="","",'[1]BASE'!EP34)</f>
      </c>
      <c r="M33" s="479">
        <f>IF('[1]BASE'!EQ34="","",'[1]BASE'!EQ34)</f>
      </c>
      <c r="N33" s="479">
        <f>IF('[1]BASE'!ER34="","",'[1]BASE'!ER34)</f>
      </c>
      <c r="O33" s="479">
        <f>IF('[1]BASE'!ES34="","",'[1]BASE'!ES34)</f>
      </c>
      <c r="P33" s="479">
        <f>IF('[1]BASE'!ET34="","",'[1]BASE'!ET34)</f>
      </c>
      <c r="Q33" s="479">
        <f>IF('[1]BASE'!EU34="","",'[1]BASE'!EU34)</f>
        <v>1</v>
      </c>
      <c r="R33" s="479">
        <f>IF('[1]BASE'!EV34="","",'[1]BASE'!EV34)</f>
      </c>
      <c r="S33" s="479">
        <f>IF('[1]BASE'!EW34="","",'[1]BASE'!EW34)</f>
      </c>
      <c r="T33" s="479">
        <f>IF('[1]BASE'!EX34="","",'[1]BASE'!EX34)</f>
      </c>
      <c r="U33" s="480"/>
      <c r="V33" s="475"/>
    </row>
    <row r="34" spans="2:22" s="469" customFormat="1" ht="19.5" customHeight="1">
      <c r="B34" s="470"/>
      <c r="C34" s="483">
        <f>IF('[1]BASE'!C35="","",'[1]BASE'!C35)</f>
        <v>19</v>
      </c>
      <c r="D34" s="483">
        <f>IF('[1]BASE'!D35="","",'[1]BASE'!D35)</f>
        <v>1538</v>
      </c>
      <c r="E34" s="483" t="str">
        <f>IF('[1]BASE'!E35="","",'[1]BASE'!E35)</f>
        <v>CNEL. DORREGO - TRES ARROYOS</v>
      </c>
      <c r="F34" s="483">
        <f>IF('[1]BASE'!F35="","",'[1]BASE'!F35)</f>
        <v>132</v>
      </c>
      <c r="G34" s="484">
        <f>IF('[1]BASE'!G35="","",'[1]BASE'!G35)</f>
        <v>99</v>
      </c>
      <c r="H34" s="478" t="str">
        <f>'[1]BASE'!H35</f>
        <v>C</v>
      </c>
      <c r="I34" s="479">
        <f>IF('[1]BASE'!EM35="","",'[1]BASE'!EM35)</f>
      </c>
      <c r="J34" s="479">
        <f>IF('[1]BASE'!EN35="","",'[1]BASE'!EN35)</f>
      </c>
      <c r="K34" s="479">
        <f>IF('[1]BASE'!EO35="","",'[1]BASE'!EO35)</f>
      </c>
      <c r="L34" s="479">
        <f>IF('[1]BASE'!EP35="","",'[1]BASE'!EP35)</f>
      </c>
      <c r="M34" s="479">
        <f>IF('[1]BASE'!EQ35="","",'[1]BASE'!EQ35)</f>
      </c>
      <c r="N34" s="479">
        <f>IF('[1]BASE'!ER35="","",'[1]BASE'!ER35)</f>
      </c>
      <c r="O34" s="479">
        <f>IF('[1]BASE'!ES35="","",'[1]BASE'!ES35)</f>
      </c>
      <c r="P34" s="479">
        <f>IF('[1]BASE'!ET35="","",'[1]BASE'!ET35)</f>
      </c>
      <c r="Q34" s="479">
        <f>IF('[1]BASE'!EU35="","",'[1]BASE'!EU35)</f>
      </c>
      <c r="R34" s="479">
        <f>IF('[1]BASE'!EV35="","",'[1]BASE'!EV35)</f>
      </c>
      <c r="S34" s="479">
        <f>IF('[1]BASE'!EW35="","",'[1]BASE'!EW35)</f>
      </c>
      <c r="T34" s="479">
        <f>IF('[1]BASE'!EX35="","",'[1]BASE'!EX35)</f>
      </c>
      <c r="U34" s="480"/>
      <c r="V34" s="475"/>
    </row>
    <row r="35" spans="2:22" s="469" customFormat="1" ht="19.5" customHeight="1">
      <c r="B35" s="470"/>
      <c r="C35" s="481">
        <f>IF('[1]BASE'!C36="","",'[1]BASE'!C36)</f>
        <v>20</v>
      </c>
      <c r="D35" s="481">
        <f>IF('[1]BASE'!D36="","",'[1]BASE'!D36)</f>
        <v>1537</v>
      </c>
      <c r="E35" s="481" t="str">
        <f>IF('[1]BASE'!E36="","",'[1]BASE'!E36)</f>
        <v>CNEL. SUAREZ - PIGUE</v>
      </c>
      <c r="F35" s="481">
        <f>IF('[1]BASE'!F36="","",'[1]BASE'!F36)</f>
        <v>132</v>
      </c>
      <c r="G35" s="482">
        <f>IF('[1]BASE'!G36="","",'[1]BASE'!G36)</f>
        <v>47.6</v>
      </c>
      <c r="H35" s="478" t="str">
        <f>'[1]BASE'!H36</f>
        <v>C</v>
      </c>
      <c r="I35" s="479">
        <f>IF('[1]BASE'!EM36="","",'[1]BASE'!EM36)</f>
      </c>
      <c r="J35" s="479">
        <f>IF('[1]BASE'!EN36="","",'[1]BASE'!EN36)</f>
      </c>
      <c r="K35" s="479">
        <f>IF('[1]BASE'!EO36="","",'[1]BASE'!EO36)</f>
      </c>
      <c r="L35" s="479">
        <f>IF('[1]BASE'!EP36="","",'[1]BASE'!EP36)</f>
      </c>
      <c r="M35" s="479">
        <f>IF('[1]BASE'!EQ36="","",'[1]BASE'!EQ36)</f>
      </c>
      <c r="N35" s="479">
        <f>IF('[1]BASE'!ER36="","",'[1]BASE'!ER36)</f>
      </c>
      <c r="O35" s="479">
        <f>IF('[1]BASE'!ES36="","",'[1]BASE'!ES36)</f>
        <v>1</v>
      </c>
      <c r="P35" s="479">
        <f>IF('[1]BASE'!ET36="","",'[1]BASE'!ET36)</f>
      </c>
      <c r="Q35" s="479">
        <f>IF('[1]BASE'!EU36="","",'[1]BASE'!EU36)</f>
      </c>
      <c r="R35" s="479">
        <f>IF('[1]BASE'!EV36="","",'[1]BASE'!EV36)</f>
      </c>
      <c r="S35" s="479">
        <f>IF('[1]BASE'!EW36="","",'[1]BASE'!EW36)</f>
      </c>
      <c r="T35" s="479">
        <f>IF('[1]BASE'!EX36="","",'[1]BASE'!EX36)</f>
      </c>
      <c r="U35" s="480"/>
      <c r="V35" s="475"/>
    </row>
    <row r="36" spans="2:22" s="469" customFormat="1" ht="19.5" customHeight="1">
      <c r="B36" s="470"/>
      <c r="C36" s="483">
        <f>IF('[1]BASE'!C37="","",'[1]BASE'!C37)</f>
        <v>21</v>
      </c>
      <c r="D36" s="483">
        <f>IF('[1]BASE'!D37="","",'[1]BASE'!D37)</f>
        <v>1437</v>
      </c>
      <c r="E36" s="483" t="str">
        <f>IF('[1]BASE'!E37="","",'[1]BASE'!E37)</f>
        <v>DOLORES - CHASCOMUS</v>
      </c>
      <c r="F36" s="483">
        <f>IF('[1]BASE'!F37="","",'[1]BASE'!F37)</f>
        <v>132</v>
      </c>
      <c r="G36" s="484">
        <f>IF('[1]BASE'!G37="","",'[1]BASE'!G37)</f>
        <v>87.4</v>
      </c>
      <c r="H36" s="478" t="str">
        <f>'[1]BASE'!H37</f>
        <v>C</v>
      </c>
      <c r="I36" s="479">
        <f>IF('[1]BASE'!EM37="","",'[1]BASE'!EM37)</f>
      </c>
      <c r="J36" s="479">
        <f>IF('[1]BASE'!EN37="","",'[1]BASE'!EN37)</f>
      </c>
      <c r="K36" s="479">
        <f>IF('[1]BASE'!EO37="","",'[1]BASE'!EO37)</f>
      </c>
      <c r="L36" s="479">
        <f>IF('[1]BASE'!EP37="","",'[1]BASE'!EP37)</f>
      </c>
      <c r="M36" s="479">
        <f>IF('[1]BASE'!EQ37="","",'[1]BASE'!EQ37)</f>
      </c>
      <c r="N36" s="479">
        <f>IF('[1]BASE'!ER37="","",'[1]BASE'!ER37)</f>
      </c>
      <c r="O36" s="479">
        <f>IF('[1]BASE'!ES37="","",'[1]BASE'!ES37)</f>
      </c>
      <c r="P36" s="479">
        <f>IF('[1]BASE'!ET37="","",'[1]BASE'!ET37)</f>
      </c>
      <c r="Q36" s="479">
        <f>IF('[1]BASE'!EU37="","",'[1]BASE'!EU37)</f>
      </c>
      <c r="R36" s="479">
        <f>IF('[1]BASE'!EV37="","",'[1]BASE'!EV37)</f>
      </c>
      <c r="S36" s="479">
        <f>IF('[1]BASE'!EW37="","",'[1]BASE'!EW37)</f>
      </c>
      <c r="T36" s="479">
        <f>IF('[1]BASE'!EX37="","",'[1]BASE'!EX37)</f>
      </c>
      <c r="U36" s="480"/>
      <c r="V36" s="475"/>
    </row>
    <row r="37" spans="2:22" s="469" customFormat="1" ht="19.5" customHeight="1">
      <c r="B37" s="470"/>
      <c r="C37" s="481">
        <f>IF('[1]BASE'!C38="","",'[1]BASE'!C38)</f>
        <v>22</v>
      </c>
      <c r="D37" s="485" t="str">
        <f>IF('[1]BASE'!D38="","",'[1]BASE'!D38)</f>
        <v>CE-000</v>
      </c>
      <c r="E37" s="485" t="str">
        <f>IF('[1]BASE'!E38="","",'[1]BASE'!E38)</f>
        <v>EASTMAN T - EASTMAN</v>
      </c>
      <c r="F37" s="485">
        <f>IF('[1]BASE'!F38="","",'[1]BASE'!F38)</f>
        <v>132</v>
      </c>
      <c r="G37" s="482">
        <f>IF('[1]BASE'!G38="","",'[1]BASE'!G38)</f>
        <v>6.5</v>
      </c>
      <c r="H37" s="478" t="str">
        <f>'[1]BASE'!H38</f>
        <v>C</v>
      </c>
      <c r="I37" s="479" t="str">
        <f>IF('[1]BASE'!EM38="","",'[1]BASE'!EM38)</f>
        <v>XXXX</v>
      </c>
      <c r="J37" s="479" t="str">
        <f>IF('[1]BASE'!EN38="","",'[1]BASE'!EN38)</f>
        <v>XXXX</v>
      </c>
      <c r="K37" s="479" t="str">
        <f>IF('[1]BASE'!EO38="","",'[1]BASE'!EO38)</f>
        <v>XXXX</v>
      </c>
      <c r="L37" s="479" t="str">
        <f>IF('[1]BASE'!EP38="","",'[1]BASE'!EP38)</f>
        <v>XXXX</v>
      </c>
      <c r="M37" s="479" t="str">
        <f>IF('[1]BASE'!EQ38="","",'[1]BASE'!EQ38)</f>
        <v>XXXX</v>
      </c>
      <c r="N37" s="479" t="str">
        <f>IF('[1]BASE'!ER38="","",'[1]BASE'!ER38)</f>
        <v>XXXX</v>
      </c>
      <c r="O37" s="479" t="str">
        <f>IF('[1]BASE'!ES38="","",'[1]BASE'!ES38)</f>
        <v>XXXX</v>
      </c>
      <c r="P37" s="479" t="str">
        <f>IF('[1]BASE'!ET38="","",'[1]BASE'!ET38)</f>
        <v>XXXX</v>
      </c>
      <c r="Q37" s="479" t="str">
        <f>IF('[1]BASE'!EU38="","",'[1]BASE'!EU38)</f>
        <v>XXXX</v>
      </c>
      <c r="R37" s="479" t="str">
        <f>IF('[1]BASE'!EV38="","",'[1]BASE'!EV38)</f>
        <v>XXXX</v>
      </c>
      <c r="S37" s="479" t="str">
        <f>IF('[1]BASE'!EW38="","",'[1]BASE'!EW38)</f>
        <v>XXXX</v>
      </c>
      <c r="T37" s="479" t="str">
        <f>IF('[1]BASE'!EX38="","",'[1]BASE'!EX38)</f>
        <v>XXXX</v>
      </c>
      <c r="U37" s="480"/>
      <c r="V37" s="475"/>
    </row>
    <row r="38" spans="2:22" s="469" customFormat="1" ht="19.5" customHeight="1">
      <c r="B38" s="470"/>
      <c r="C38" s="483">
        <f>IF('[1]BASE'!C39="","",'[1]BASE'!C39)</f>
        <v>23</v>
      </c>
      <c r="D38" s="483">
        <f>IF('[1]BASE'!D39="","",'[1]BASE'!D39)</f>
        <v>1516</v>
      </c>
      <c r="E38" s="483" t="str">
        <f>IF('[1]BASE'!E39="","",'[1]BASE'!E39)</f>
        <v>GONZALEZ CHAVEZ - NECOCHEA</v>
      </c>
      <c r="F38" s="483">
        <f>IF('[1]BASE'!F39="","",'[1]BASE'!F39)</f>
        <v>132</v>
      </c>
      <c r="G38" s="484">
        <f>IF('[1]BASE'!G39="","",'[1]BASE'!G39)</f>
        <v>134.8</v>
      </c>
      <c r="H38" s="478" t="str">
        <f>'[1]BASE'!H39</f>
        <v>A</v>
      </c>
      <c r="I38" s="479">
        <f>IF('[1]BASE'!EM39="","",'[1]BASE'!EM39)</f>
      </c>
      <c r="J38" s="479">
        <f>IF('[1]BASE'!EN39="","",'[1]BASE'!EN39)</f>
      </c>
      <c r="K38" s="479">
        <f>IF('[1]BASE'!EO39="","",'[1]BASE'!EO39)</f>
      </c>
      <c r="L38" s="479">
        <f>IF('[1]BASE'!EP39="","",'[1]BASE'!EP39)</f>
      </c>
      <c r="M38" s="479">
        <f>IF('[1]BASE'!EQ39="","",'[1]BASE'!EQ39)</f>
        <v>1</v>
      </c>
      <c r="N38" s="479">
        <f>IF('[1]BASE'!ER39="","",'[1]BASE'!ER39)</f>
        <v>2</v>
      </c>
      <c r="O38" s="479">
        <f>IF('[1]BASE'!ES39="","",'[1]BASE'!ES39)</f>
      </c>
      <c r="P38" s="479">
        <f>IF('[1]BASE'!ET39="","",'[1]BASE'!ET39)</f>
      </c>
      <c r="Q38" s="479">
        <f>IF('[1]BASE'!EU39="","",'[1]BASE'!EU39)</f>
      </c>
      <c r="R38" s="479">
        <f>IF('[1]BASE'!EV39="","",'[1]BASE'!EV39)</f>
      </c>
      <c r="S38" s="479">
        <f>IF('[1]BASE'!EW39="","",'[1]BASE'!EW39)</f>
      </c>
      <c r="T38" s="479">
        <f>IF('[1]BASE'!EX39="","",'[1]BASE'!EX39)</f>
      </c>
      <c r="U38" s="480"/>
      <c r="V38" s="475"/>
    </row>
    <row r="39" spans="2:22" s="469" customFormat="1" ht="19.5" customHeight="1">
      <c r="B39" s="470"/>
      <c r="C39" s="481">
        <f>IF('[1]BASE'!C40="","",'[1]BASE'!C40)</f>
        <v>24</v>
      </c>
      <c r="D39" s="481">
        <f>IF('[1]BASE'!D40="","",'[1]BASE'!D40)</f>
        <v>1515</v>
      </c>
      <c r="E39" s="481" t="str">
        <f>IF('[1]BASE'!E40="","",'[1]BASE'!E40)</f>
        <v>GONZALEZ CHAVEZ - TRES ARROYOS</v>
      </c>
      <c r="F39" s="481">
        <f>IF('[1]BASE'!F40="","",'[1]BASE'!F40)</f>
        <v>132</v>
      </c>
      <c r="G39" s="482">
        <f>IF('[1]BASE'!G40="","",'[1]BASE'!G40)</f>
        <v>47</v>
      </c>
      <c r="H39" s="478" t="str">
        <f>'[1]BASE'!H40</f>
        <v>C</v>
      </c>
      <c r="I39" s="479">
        <f>IF('[1]BASE'!EM40="","",'[1]BASE'!EM40)</f>
      </c>
      <c r="J39" s="479">
        <f>IF('[1]BASE'!EN40="","",'[1]BASE'!EN40)</f>
      </c>
      <c r="K39" s="479">
        <f>IF('[1]BASE'!EO40="","",'[1]BASE'!EO40)</f>
      </c>
      <c r="L39" s="479">
        <f>IF('[1]BASE'!EP40="","",'[1]BASE'!EP40)</f>
      </c>
      <c r="M39" s="479">
        <f>IF('[1]BASE'!EQ40="","",'[1]BASE'!EQ40)</f>
      </c>
      <c r="N39" s="479">
        <f>IF('[1]BASE'!ER40="","",'[1]BASE'!ER40)</f>
      </c>
      <c r="O39" s="479">
        <f>IF('[1]BASE'!ES40="","",'[1]BASE'!ES40)</f>
      </c>
      <c r="P39" s="479">
        <f>IF('[1]BASE'!ET40="","",'[1]BASE'!ET40)</f>
        <v>2</v>
      </c>
      <c r="Q39" s="479">
        <f>IF('[1]BASE'!EU40="","",'[1]BASE'!EU40)</f>
      </c>
      <c r="R39" s="479">
        <f>IF('[1]BASE'!EV40="","",'[1]BASE'!EV40)</f>
      </c>
      <c r="S39" s="479">
        <f>IF('[1]BASE'!EW40="","",'[1]BASE'!EW40)</f>
      </c>
      <c r="T39" s="479">
        <f>IF('[1]BASE'!EX40="","",'[1]BASE'!EX40)</f>
      </c>
      <c r="U39" s="480"/>
      <c r="V39" s="475"/>
    </row>
    <row r="40" spans="2:22" s="469" customFormat="1" ht="19.5" customHeight="1">
      <c r="B40" s="470"/>
      <c r="C40" s="483">
        <f>IF('[1]BASE'!C41="","",'[1]BASE'!C41)</f>
        <v>25</v>
      </c>
      <c r="D40" s="483">
        <f>IF('[1]BASE'!D41="","",'[1]BASE'!D41)</f>
        <v>1444</v>
      </c>
      <c r="E40" s="483" t="str">
        <f>IF('[1]BASE'!E41="","",'[1]BASE'!E41)</f>
        <v>GRAL. MADARIAGA - LAS ARMAS</v>
      </c>
      <c r="F40" s="483">
        <f>IF('[1]BASE'!F41="","",'[1]BASE'!F41)</f>
        <v>132</v>
      </c>
      <c r="G40" s="484">
        <f>IF('[1]BASE'!G41="","",'[1]BASE'!G41)</f>
        <v>64.4</v>
      </c>
      <c r="H40" s="478" t="str">
        <f>'[1]BASE'!H41</f>
        <v>C</v>
      </c>
      <c r="I40" s="479">
        <f>IF('[1]BASE'!EM41="","",'[1]BASE'!EM41)</f>
      </c>
      <c r="J40" s="479">
        <f>IF('[1]BASE'!EN41="","",'[1]BASE'!EN41)</f>
      </c>
      <c r="K40" s="479">
        <f>IF('[1]BASE'!EO41="","",'[1]BASE'!EO41)</f>
      </c>
      <c r="L40" s="479">
        <f>IF('[1]BASE'!EP41="","",'[1]BASE'!EP41)</f>
        <v>1</v>
      </c>
      <c r="M40" s="479">
        <f>IF('[1]BASE'!EQ41="","",'[1]BASE'!EQ41)</f>
      </c>
      <c r="N40" s="479">
        <f>IF('[1]BASE'!ER41="","",'[1]BASE'!ER41)</f>
      </c>
      <c r="O40" s="479">
        <f>IF('[1]BASE'!ES41="","",'[1]BASE'!ES41)</f>
      </c>
      <c r="P40" s="479">
        <f>IF('[1]BASE'!ET41="","",'[1]BASE'!ET41)</f>
      </c>
      <c r="Q40" s="479">
        <f>IF('[1]BASE'!EU41="","",'[1]BASE'!EU41)</f>
      </c>
      <c r="R40" s="479">
        <f>IF('[1]BASE'!EV41="","",'[1]BASE'!EV41)</f>
      </c>
      <c r="S40" s="479">
        <f>IF('[1]BASE'!EW41="","",'[1]BASE'!EW41)</f>
      </c>
      <c r="T40" s="479">
        <f>IF('[1]BASE'!EX41="","",'[1]BASE'!EX41)</f>
      </c>
      <c r="U40" s="480"/>
      <c r="V40" s="475"/>
    </row>
    <row r="41" spans="2:22" s="469" customFormat="1" ht="19.5" customHeight="1">
      <c r="B41" s="470"/>
      <c r="C41" s="481">
        <f>IF('[1]BASE'!C42="","",'[1]BASE'!C42)</f>
        <v>26</v>
      </c>
      <c r="D41" s="481">
        <f>IF('[1]BASE'!D42="","",'[1]BASE'!D42)</f>
        <v>1401</v>
      </c>
      <c r="E41" s="481" t="str">
        <f>IF('[1]BASE'!E42="","",'[1]BASE'!E42)</f>
        <v>HENDERSON - CNEL. SUAREZ</v>
      </c>
      <c r="F41" s="481">
        <f>IF('[1]BASE'!F42="","",'[1]BASE'!F42)</f>
        <v>132</v>
      </c>
      <c r="G41" s="482">
        <f>IF('[1]BASE'!G42="","",'[1]BASE'!G42)</f>
        <v>126.9</v>
      </c>
      <c r="H41" s="478" t="str">
        <f>'[1]BASE'!H42</f>
        <v>C</v>
      </c>
      <c r="I41" s="479">
        <f>IF('[1]BASE'!EM42="","",'[1]BASE'!EM42)</f>
      </c>
      <c r="J41" s="479">
        <f>IF('[1]BASE'!EN42="","",'[1]BASE'!EN42)</f>
      </c>
      <c r="K41" s="479">
        <f>IF('[1]BASE'!EO42="","",'[1]BASE'!EO42)</f>
      </c>
      <c r="L41" s="479">
        <f>IF('[1]BASE'!EP42="","",'[1]BASE'!EP42)</f>
      </c>
      <c r="M41" s="479">
        <f>IF('[1]BASE'!EQ42="","",'[1]BASE'!EQ42)</f>
      </c>
      <c r="N41" s="479">
        <f>IF('[1]BASE'!ER42="","",'[1]BASE'!ER42)</f>
      </c>
      <c r="O41" s="479">
        <f>IF('[1]BASE'!ES42="","",'[1]BASE'!ES42)</f>
      </c>
      <c r="P41" s="479">
        <f>IF('[1]BASE'!ET42="","",'[1]BASE'!ET42)</f>
      </c>
      <c r="Q41" s="479">
        <f>IF('[1]BASE'!EU42="","",'[1]BASE'!EU42)</f>
      </c>
      <c r="R41" s="479">
        <f>IF('[1]BASE'!EV42="","",'[1]BASE'!EV42)</f>
      </c>
      <c r="S41" s="479">
        <f>IF('[1]BASE'!EW42="","",'[1]BASE'!EW42)</f>
      </c>
      <c r="T41" s="479">
        <f>IF('[1]BASE'!EX42="","",'[1]BASE'!EX42)</f>
      </c>
      <c r="U41" s="480"/>
      <c r="V41" s="475"/>
    </row>
    <row r="42" spans="2:22" s="469" customFormat="1" ht="19.5" customHeight="1">
      <c r="B42" s="470"/>
      <c r="C42" s="483">
        <f>IF('[1]BASE'!C43="","",'[1]BASE'!C43)</f>
        <v>27</v>
      </c>
      <c r="D42" s="483" t="str">
        <f>IF('[1]BASE'!D43="","",'[1]BASE'!D43)</f>
        <v>C-001</v>
      </c>
      <c r="E42" s="483" t="str">
        <f>IF('[1]BASE'!E43="","",'[1]BASE'!E43)</f>
        <v>JUNIN - IMSA - LINCOLN</v>
      </c>
      <c r="F42" s="483">
        <f>IF('[1]BASE'!F43="","",'[1]BASE'!F43)</f>
        <v>132</v>
      </c>
      <c r="G42" s="484">
        <f>IF('[1]BASE'!G43="","",'[1]BASE'!G43)</f>
        <v>70</v>
      </c>
      <c r="H42" s="478" t="str">
        <f>'[1]BASE'!H43</f>
        <v>B</v>
      </c>
      <c r="I42" s="479">
        <f>IF('[1]BASE'!EM43="","",'[1]BASE'!EM43)</f>
      </c>
      <c r="J42" s="479">
        <f>IF('[1]BASE'!EN43="","",'[1]BASE'!EN43)</f>
      </c>
      <c r="K42" s="479">
        <f>IF('[1]BASE'!EO43="","",'[1]BASE'!EO43)</f>
      </c>
      <c r="L42" s="479">
        <f>IF('[1]BASE'!EP43="","",'[1]BASE'!EP43)</f>
      </c>
      <c r="M42" s="479">
        <f>IF('[1]BASE'!EQ43="","",'[1]BASE'!EQ43)</f>
      </c>
      <c r="N42" s="479">
        <f>IF('[1]BASE'!ER43="","",'[1]BASE'!ER43)</f>
      </c>
      <c r="O42" s="479">
        <f>IF('[1]BASE'!ES43="","",'[1]BASE'!ES43)</f>
      </c>
      <c r="P42" s="479">
        <f>IF('[1]BASE'!ET43="","",'[1]BASE'!ET43)</f>
      </c>
      <c r="Q42" s="479">
        <f>IF('[1]BASE'!EU43="","",'[1]BASE'!EU43)</f>
      </c>
      <c r="R42" s="479">
        <f>IF('[1]BASE'!EV43="","",'[1]BASE'!EV43)</f>
        <v>1</v>
      </c>
      <c r="S42" s="479">
        <f>IF('[1]BASE'!EW43="","",'[1]BASE'!EW43)</f>
      </c>
      <c r="T42" s="479">
        <f>IF('[1]BASE'!EX43="","",'[1]BASE'!EX43)</f>
      </c>
      <c r="U42" s="480"/>
      <c r="V42" s="475"/>
    </row>
    <row r="43" spans="2:22" s="469" customFormat="1" ht="19.5" customHeight="1">
      <c r="B43" s="470"/>
      <c r="C43" s="481">
        <f>IF('[1]BASE'!C44="","",'[1]BASE'!C44)</f>
        <v>28</v>
      </c>
      <c r="D43" s="481">
        <f>IF('[1]BASE'!D44="","",'[1]BASE'!D44)</f>
        <v>1456</v>
      </c>
      <c r="E43" s="481" t="str">
        <f>IF('[1]BASE'!E44="","",'[1]BASE'!E44)</f>
        <v>LAPRIDA - PRINGLES</v>
      </c>
      <c r="F43" s="481">
        <f>IF('[1]BASE'!F44="","",'[1]BASE'!F44)</f>
        <v>132</v>
      </c>
      <c r="G43" s="482">
        <f>IF('[1]BASE'!G44="","",'[1]BASE'!G44)</f>
        <v>71.5</v>
      </c>
      <c r="H43" s="478" t="str">
        <f>'[1]BASE'!H44</f>
        <v>C</v>
      </c>
      <c r="I43" s="479">
        <f>IF('[1]BASE'!EM44="","",'[1]BASE'!EM44)</f>
      </c>
      <c r="J43" s="479">
        <f>IF('[1]BASE'!EN44="","",'[1]BASE'!EN44)</f>
      </c>
      <c r="K43" s="479">
        <f>IF('[1]BASE'!EO44="","",'[1]BASE'!EO44)</f>
      </c>
      <c r="L43" s="479">
        <f>IF('[1]BASE'!EP44="","",'[1]BASE'!EP44)</f>
      </c>
      <c r="M43" s="479">
        <f>IF('[1]BASE'!EQ44="","",'[1]BASE'!EQ44)</f>
      </c>
      <c r="N43" s="479">
        <f>IF('[1]BASE'!ER44="","",'[1]BASE'!ER44)</f>
      </c>
      <c r="O43" s="479">
        <f>IF('[1]BASE'!ES44="","",'[1]BASE'!ES44)</f>
        <v>2</v>
      </c>
      <c r="P43" s="479">
        <f>IF('[1]BASE'!ET44="","",'[1]BASE'!ET44)</f>
      </c>
      <c r="Q43" s="479">
        <f>IF('[1]BASE'!EU44="","",'[1]BASE'!EU44)</f>
      </c>
      <c r="R43" s="479">
        <f>IF('[1]BASE'!EV44="","",'[1]BASE'!EV44)</f>
      </c>
      <c r="S43" s="479">
        <f>IF('[1]BASE'!EW44="","",'[1]BASE'!EW44)</f>
      </c>
      <c r="T43" s="479">
        <f>IF('[1]BASE'!EX44="","",'[1]BASE'!EX44)</f>
      </c>
      <c r="U43" s="480"/>
      <c r="V43" s="475"/>
    </row>
    <row r="44" spans="2:22" s="469" customFormat="1" ht="19.5" customHeight="1">
      <c r="B44" s="470"/>
      <c r="C44" s="483">
        <f>IF('[1]BASE'!C45="","",'[1]BASE'!C45)</f>
        <v>29</v>
      </c>
      <c r="D44" s="483">
        <f>IF('[1]BASE'!D45="","",'[1]BASE'!D45)</f>
        <v>1520</v>
      </c>
      <c r="E44" s="483" t="str">
        <f>IF('[1]BASE'!E45="","",'[1]BASE'!E45)</f>
        <v>LAS ARMAS - DOLORES</v>
      </c>
      <c r="F44" s="483">
        <f>IF('[1]BASE'!F45="","",'[1]BASE'!F45)</f>
        <v>132</v>
      </c>
      <c r="G44" s="484">
        <f>IF('[1]BASE'!G45="","",'[1]BASE'!G45)</f>
        <v>88.2</v>
      </c>
      <c r="H44" s="478" t="str">
        <f>'[1]BASE'!H45</f>
        <v>C</v>
      </c>
      <c r="I44" s="479">
        <f>IF('[1]BASE'!EM45="","",'[1]BASE'!EM45)</f>
      </c>
      <c r="J44" s="479">
        <f>IF('[1]BASE'!EN45="","",'[1]BASE'!EN45)</f>
      </c>
      <c r="K44" s="479">
        <f>IF('[1]BASE'!EO45="","",'[1]BASE'!EO45)</f>
      </c>
      <c r="L44" s="479">
        <f>IF('[1]BASE'!EP45="","",'[1]BASE'!EP45)</f>
      </c>
      <c r="M44" s="479">
        <f>IF('[1]BASE'!EQ45="","",'[1]BASE'!EQ45)</f>
      </c>
      <c r="N44" s="479">
        <f>IF('[1]BASE'!ER45="","",'[1]BASE'!ER45)</f>
      </c>
      <c r="O44" s="479">
        <f>IF('[1]BASE'!ES45="","",'[1]BASE'!ES45)</f>
      </c>
      <c r="P44" s="479">
        <f>IF('[1]BASE'!ET45="","",'[1]BASE'!ET45)</f>
      </c>
      <c r="Q44" s="479">
        <f>IF('[1]BASE'!EU45="","",'[1]BASE'!EU45)</f>
      </c>
      <c r="R44" s="479">
        <f>IF('[1]BASE'!EV45="","",'[1]BASE'!EV45)</f>
      </c>
      <c r="S44" s="479">
        <f>IF('[1]BASE'!EW45="","",'[1]BASE'!EW45)</f>
      </c>
      <c r="T44" s="479">
        <f>IF('[1]BASE'!EX45="","",'[1]BASE'!EX45)</f>
      </c>
      <c r="U44" s="480"/>
      <c r="V44" s="475"/>
    </row>
    <row r="45" spans="2:22" s="469" customFormat="1" ht="19.5" customHeight="1">
      <c r="B45" s="470"/>
      <c r="C45" s="481">
        <f>IF('[1]BASE'!C46="","",'[1]BASE'!C46)</f>
        <v>30</v>
      </c>
      <c r="D45" s="481">
        <f>IF('[1]BASE'!D46="","",'[1]BASE'!D46)</f>
        <v>1521</v>
      </c>
      <c r="E45" s="481" t="str">
        <f>IF('[1]BASE'!E46="","",'[1]BASE'!E46)</f>
        <v>LAS ARMAS - TANDIL</v>
      </c>
      <c r="F45" s="481">
        <f>IF('[1]BASE'!F46="","",'[1]BASE'!F46)</f>
        <v>132</v>
      </c>
      <c r="G45" s="482">
        <f>IF('[1]BASE'!G46="","",'[1]BASE'!G46)</f>
        <v>122.2</v>
      </c>
      <c r="H45" s="478" t="str">
        <f>'[1]BASE'!H46</f>
        <v>C</v>
      </c>
      <c r="I45" s="479">
        <f>IF('[1]BASE'!EM46="","",'[1]BASE'!EM46)</f>
      </c>
      <c r="J45" s="479">
        <f>IF('[1]BASE'!EN46="","",'[1]BASE'!EN46)</f>
      </c>
      <c r="K45" s="479">
        <f>IF('[1]BASE'!EO46="","",'[1]BASE'!EO46)</f>
      </c>
      <c r="L45" s="479">
        <f>IF('[1]BASE'!EP46="","",'[1]BASE'!EP46)</f>
      </c>
      <c r="M45" s="479">
        <f>IF('[1]BASE'!EQ46="","",'[1]BASE'!EQ46)</f>
      </c>
      <c r="N45" s="479">
        <f>IF('[1]BASE'!ER46="","",'[1]BASE'!ER46)</f>
      </c>
      <c r="O45" s="479">
        <f>IF('[1]BASE'!ES46="","",'[1]BASE'!ES46)</f>
      </c>
      <c r="P45" s="479">
        <f>IF('[1]BASE'!ET46="","",'[1]BASE'!ET46)</f>
      </c>
      <c r="Q45" s="479">
        <f>IF('[1]BASE'!EU46="","",'[1]BASE'!EU46)</f>
      </c>
      <c r="R45" s="479">
        <f>IF('[1]BASE'!EV46="","",'[1]BASE'!EV46)</f>
      </c>
      <c r="S45" s="479">
        <f>IF('[1]BASE'!EW46="","",'[1]BASE'!EW46)</f>
      </c>
      <c r="T45" s="479">
        <f>IF('[1]BASE'!EX46="","",'[1]BASE'!EX46)</f>
      </c>
      <c r="U45" s="480"/>
      <c r="V45" s="475"/>
    </row>
    <row r="46" spans="2:22" s="469" customFormat="1" ht="19.5" customHeight="1">
      <c r="B46" s="470"/>
      <c r="C46" s="483">
        <f>IF('[1]BASE'!C47="","",'[1]BASE'!C47)</f>
        <v>31</v>
      </c>
      <c r="D46" s="483" t="str">
        <f>IF('[1]BASE'!D47="","",'[1]BASE'!D47)</f>
        <v>CE-000</v>
      </c>
      <c r="E46" s="483" t="str">
        <f>IF('[1]BASE'!E47="","",'[1]BASE'!E47)</f>
        <v>LAS FLORES - MONTE</v>
      </c>
      <c r="F46" s="483">
        <f>IF('[1]BASE'!F47="","",'[1]BASE'!F47)</f>
        <v>132</v>
      </c>
      <c r="G46" s="484">
        <f>IF('[1]BASE'!G47="","",'[1]BASE'!G47)</f>
        <v>86.8</v>
      </c>
      <c r="H46" s="478" t="str">
        <f>'[1]BASE'!H47</f>
        <v>C</v>
      </c>
      <c r="I46" s="479" t="str">
        <f>IF('[1]BASE'!EM47="","",'[1]BASE'!EM47)</f>
        <v>XXXX</v>
      </c>
      <c r="J46" s="479" t="str">
        <f>IF('[1]BASE'!EN47="","",'[1]BASE'!EN47)</f>
        <v>XXXX</v>
      </c>
      <c r="K46" s="479" t="str">
        <f>IF('[1]BASE'!EO47="","",'[1]BASE'!EO47)</f>
        <v>XXXX</v>
      </c>
      <c r="L46" s="479" t="str">
        <f>IF('[1]BASE'!EP47="","",'[1]BASE'!EP47)</f>
        <v>XXXX</v>
      </c>
      <c r="M46" s="479" t="str">
        <f>IF('[1]BASE'!EQ47="","",'[1]BASE'!EQ47)</f>
        <v>XXXX</v>
      </c>
      <c r="N46" s="479" t="str">
        <f>IF('[1]BASE'!ER47="","",'[1]BASE'!ER47)</f>
        <v>XXXX</v>
      </c>
      <c r="O46" s="479" t="str">
        <f>IF('[1]BASE'!ES47="","",'[1]BASE'!ES47)</f>
        <v>XXXX</v>
      </c>
      <c r="P46" s="479" t="str">
        <f>IF('[1]BASE'!ET47="","",'[1]BASE'!ET47)</f>
        <v>XXXX</v>
      </c>
      <c r="Q46" s="479" t="str">
        <f>IF('[1]BASE'!EU47="","",'[1]BASE'!EU47)</f>
        <v>XXXX</v>
      </c>
      <c r="R46" s="479" t="str">
        <f>IF('[1]BASE'!EV47="","",'[1]BASE'!EV47)</f>
        <v>XXXX</v>
      </c>
      <c r="S46" s="479" t="str">
        <f>IF('[1]BASE'!EW47="","",'[1]BASE'!EW47)</f>
        <v>XXXX</v>
      </c>
      <c r="T46" s="479" t="str">
        <f>IF('[1]BASE'!EX47="","",'[1]BASE'!EX47)</f>
        <v>XXXX</v>
      </c>
      <c r="U46" s="480"/>
      <c r="V46" s="475"/>
    </row>
    <row r="47" spans="2:22" s="469" customFormat="1" ht="19.5" customHeight="1">
      <c r="B47" s="470"/>
      <c r="C47" s="481">
        <f>IF('[1]BASE'!C48="","",'[1]BASE'!C48)</f>
        <v>32</v>
      </c>
      <c r="D47" s="481">
        <f>IF('[1]BASE'!D48="","",'[1]BASE'!D48)</f>
        <v>1416</v>
      </c>
      <c r="E47" s="481" t="str">
        <f>IF('[1]BASE'!E48="","",'[1]BASE'!E48)</f>
        <v>LINCOLN - BRAGADO</v>
      </c>
      <c r="F47" s="481">
        <f>IF('[1]BASE'!F48="","",'[1]BASE'!F48)</f>
        <v>132</v>
      </c>
      <c r="G47" s="482">
        <f>IF('[1]BASE'!G48="","",'[1]BASE'!G48)</f>
        <v>109.4</v>
      </c>
      <c r="H47" s="478" t="str">
        <f>'[1]BASE'!H48</f>
        <v>C</v>
      </c>
      <c r="I47" s="479">
        <f>IF('[1]BASE'!EM48="","",'[1]BASE'!EM48)</f>
      </c>
      <c r="J47" s="479">
        <f>IF('[1]BASE'!EN48="","",'[1]BASE'!EN48)</f>
      </c>
      <c r="K47" s="479">
        <f>IF('[1]BASE'!EO48="","",'[1]BASE'!EO48)</f>
      </c>
      <c r="L47" s="479">
        <f>IF('[1]BASE'!EP48="","",'[1]BASE'!EP48)</f>
      </c>
      <c r="M47" s="479">
        <f>IF('[1]BASE'!EQ48="","",'[1]BASE'!EQ48)</f>
      </c>
      <c r="N47" s="479">
        <f>IF('[1]BASE'!ER48="","",'[1]BASE'!ER48)</f>
      </c>
      <c r="O47" s="479">
        <f>IF('[1]BASE'!ES48="","",'[1]BASE'!ES48)</f>
      </c>
      <c r="P47" s="479">
        <f>IF('[1]BASE'!ET48="","",'[1]BASE'!ET48)</f>
        <v>1</v>
      </c>
      <c r="Q47" s="479">
        <f>IF('[1]BASE'!EU48="","",'[1]BASE'!EU48)</f>
      </c>
      <c r="R47" s="479">
        <f>IF('[1]BASE'!EV48="","",'[1]BASE'!EV48)</f>
      </c>
      <c r="S47" s="479">
        <f>IF('[1]BASE'!EW48="","",'[1]BASE'!EW48)</f>
      </c>
      <c r="T47" s="479">
        <f>IF('[1]BASE'!EX48="","",'[1]BASE'!EX48)</f>
      </c>
      <c r="U47" s="480"/>
      <c r="V47" s="475"/>
    </row>
    <row r="48" spans="2:22" s="469" customFormat="1" ht="19.5" customHeight="1">
      <c r="B48" s="470"/>
      <c r="C48" s="483">
        <f>IF('[1]BASE'!C49="","",'[1]BASE'!C49)</f>
        <v>33</v>
      </c>
      <c r="D48" s="483">
        <f>IF('[1]BASE'!D49="","",'[1]BASE'!D49)</f>
        <v>1453</v>
      </c>
      <c r="E48" s="483" t="str">
        <f>IF('[1]BASE'!E49="","",'[1]BASE'!E49)</f>
        <v>LOMA NEGRA - C. AVELLANEDA</v>
      </c>
      <c r="F48" s="483">
        <f>IF('[1]BASE'!F49="","",'[1]BASE'!F49)</f>
        <v>132</v>
      </c>
      <c r="G48" s="484">
        <f>IF('[1]BASE'!G49="","",'[1]BASE'!G49)</f>
        <v>5.3</v>
      </c>
      <c r="H48" s="478" t="str">
        <f>'[1]BASE'!H49</f>
        <v>C</v>
      </c>
      <c r="I48" s="479">
        <f>IF('[1]BASE'!EM49="","",'[1]BASE'!EM49)</f>
      </c>
      <c r="J48" s="479">
        <f>IF('[1]BASE'!EN49="","",'[1]BASE'!EN49)</f>
      </c>
      <c r="K48" s="479">
        <f>IF('[1]BASE'!EO49="","",'[1]BASE'!EO49)</f>
      </c>
      <c r="L48" s="479">
        <f>IF('[1]BASE'!EP49="","",'[1]BASE'!EP49)</f>
      </c>
      <c r="M48" s="479">
        <f>IF('[1]BASE'!EQ49="","",'[1]BASE'!EQ49)</f>
      </c>
      <c r="N48" s="479">
        <f>IF('[1]BASE'!ER49="","",'[1]BASE'!ER49)</f>
      </c>
      <c r="O48" s="479">
        <f>IF('[1]BASE'!ES49="","",'[1]BASE'!ES49)</f>
      </c>
      <c r="P48" s="479">
        <f>IF('[1]BASE'!ET49="","",'[1]BASE'!ET49)</f>
      </c>
      <c r="Q48" s="479">
        <f>IF('[1]BASE'!EU49="","",'[1]BASE'!EU49)</f>
      </c>
      <c r="R48" s="479">
        <f>IF('[1]BASE'!EV49="","",'[1]BASE'!EV49)</f>
      </c>
      <c r="S48" s="479">
        <f>IF('[1]BASE'!EW49="","",'[1]BASE'!EW49)</f>
      </c>
      <c r="T48" s="479">
        <f>IF('[1]BASE'!EX49="","",'[1]BASE'!EX49)</f>
      </c>
      <c r="U48" s="480"/>
      <c r="V48" s="475"/>
    </row>
    <row r="49" spans="2:22" s="469" customFormat="1" ht="19.5" customHeight="1">
      <c r="B49" s="470"/>
      <c r="C49" s="481">
        <f>IF('[1]BASE'!C50="","",'[1]BASE'!C50)</f>
        <v>34</v>
      </c>
      <c r="D49" s="481">
        <f>IF('[1]BASE'!D50="","",'[1]BASE'!D50)</f>
        <v>1452</v>
      </c>
      <c r="E49" s="481" t="str">
        <f>IF('[1]BASE'!E50="","",'[1]BASE'!E50)</f>
        <v>LOMA NEGRA - OLAVARRIA</v>
      </c>
      <c r="F49" s="481">
        <f>IF('[1]BASE'!F50="","",'[1]BASE'!F50)</f>
        <v>132</v>
      </c>
      <c r="G49" s="482">
        <f>IF('[1]BASE'!G50="","",'[1]BASE'!G50)</f>
        <v>41.7</v>
      </c>
      <c r="H49" s="478" t="str">
        <f>'[1]BASE'!H50</f>
        <v>C</v>
      </c>
      <c r="I49" s="479">
        <f>IF('[1]BASE'!EM50="","",'[1]BASE'!EM50)</f>
      </c>
      <c r="J49" s="479">
        <f>IF('[1]BASE'!EN50="","",'[1]BASE'!EN50)</f>
      </c>
      <c r="K49" s="479">
        <f>IF('[1]BASE'!EO50="","",'[1]BASE'!EO50)</f>
      </c>
      <c r="L49" s="479">
        <f>IF('[1]BASE'!EP50="","",'[1]BASE'!EP50)</f>
      </c>
      <c r="M49" s="479">
        <f>IF('[1]BASE'!EQ50="","",'[1]BASE'!EQ50)</f>
      </c>
      <c r="N49" s="479">
        <f>IF('[1]BASE'!ER50="","",'[1]BASE'!ER50)</f>
        <v>2</v>
      </c>
      <c r="O49" s="479">
        <f>IF('[1]BASE'!ES50="","",'[1]BASE'!ES50)</f>
      </c>
      <c r="P49" s="479">
        <f>IF('[1]BASE'!ET50="","",'[1]BASE'!ET50)</f>
      </c>
      <c r="Q49" s="479">
        <f>IF('[1]BASE'!EU50="","",'[1]BASE'!EU50)</f>
      </c>
      <c r="R49" s="479">
        <f>IF('[1]BASE'!EV50="","",'[1]BASE'!EV50)</f>
      </c>
      <c r="S49" s="479">
        <f>IF('[1]BASE'!EW50="","",'[1]BASE'!EW50)</f>
      </c>
      <c r="T49" s="479">
        <f>IF('[1]BASE'!EX50="","",'[1]BASE'!EX50)</f>
      </c>
      <c r="U49" s="480"/>
      <c r="V49" s="475"/>
    </row>
    <row r="50" spans="2:22" s="469" customFormat="1" ht="19.5" customHeight="1">
      <c r="B50" s="470"/>
      <c r="C50" s="483">
        <f>IF('[1]BASE'!C51="","",'[1]BASE'!C51)</f>
        <v>35</v>
      </c>
      <c r="D50" s="483">
        <f>IF('[1]BASE'!D51="","",'[1]BASE'!D51)</f>
        <v>2620</v>
      </c>
      <c r="E50" s="483" t="str">
        <f>IF('[1]BASE'!E51="","",'[1]BASE'!E51)</f>
        <v>LUJAN  - MALV.1 - CATONAS 1 - MORÓN 1</v>
      </c>
      <c r="F50" s="483">
        <f>IF('[1]BASE'!F51="","",'[1]BASE'!F51)</f>
        <v>132</v>
      </c>
      <c r="G50" s="484">
        <f>IF('[1]BASE'!G51="","",'[1]BASE'!G51)</f>
        <v>43</v>
      </c>
      <c r="H50" s="478" t="str">
        <f>'[1]BASE'!H51</f>
        <v>A</v>
      </c>
      <c r="I50" s="479">
        <f>IF('[1]BASE'!EM51="","",'[1]BASE'!EM51)</f>
      </c>
      <c r="J50" s="479">
        <f>IF('[1]BASE'!EN51="","",'[1]BASE'!EN51)</f>
      </c>
      <c r="K50" s="479">
        <f>IF('[1]BASE'!EO51="","",'[1]BASE'!EO51)</f>
      </c>
      <c r="L50" s="479">
        <f>IF('[1]BASE'!EP51="","",'[1]BASE'!EP51)</f>
      </c>
      <c r="M50" s="479">
        <f>IF('[1]BASE'!EQ51="","",'[1]BASE'!EQ51)</f>
      </c>
      <c r="N50" s="479">
        <f>IF('[1]BASE'!ER51="","",'[1]BASE'!ER51)</f>
      </c>
      <c r="O50" s="479">
        <f>IF('[1]BASE'!ES51="","",'[1]BASE'!ES51)</f>
      </c>
      <c r="P50" s="479">
        <f>IF('[1]BASE'!ET51="","",'[1]BASE'!ET51)</f>
      </c>
      <c r="Q50" s="479">
        <f>IF('[1]BASE'!EU51="","",'[1]BASE'!EU51)</f>
      </c>
      <c r="R50" s="479">
        <f>IF('[1]BASE'!EV51="","",'[1]BASE'!EV51)</f>
      </c>
      <c r="S50" s="479">
        <f>IF('[1]BASE'!EW51="","",'[1]BASE'!EW51)</f>
      </c>
      <c r="T50" s="479" t="str">
        <f>IF('[1]BASE'!EX51="","",'[1]BASE'!EX51)</f>
        <v>XXXX</v>
      </c>
      <c r="U50" s="480"/>
      <c r="V50" s="475"/>
    </row>
    <row r="51" spans="2:22" s="469" customFormat="1" ht="19.5" customHeight="1">
      <c r="B51" s="470"/>
      <c r="C51" s="481">
        <f>IF('[1]BASE'!C52="","",'[1]BASE'!C52)</f>
        <v>36</v>
      </c>
      <c r="D51" s="481">
        <f>IF('[1]BASE'!D52="","",'[1]BASE'!D52)</f>
        <v>2621</v>
      </c>
      <c r="E51" s="481" t="str">
        <f>IF('[1]BASE'!E52="","",'[1]BASE'!E52)</f>
        <v>LUJAN - MALV.2 - CATONAS 2 - MORÓN 2</v>
      </c>
      <c r="F51" s="481">
        <f>IF('[1]BASE'!F52="","",'[1]BASE'!F52)</f>
        <v>132</v>
      </c>
      <c r="G51" s="482">
        <f>IF('[1]BASE'!G52="","",'[1]BASE'!G52)</f>
        <v>43</v>
      </c>
      <c r="H51" s="478" t="str">
        <f>'[1]BASE'!H52</f>
        <v>A</v>
      </c>
      <c r="I51" s="479">
        <f>IF('[1]BASE'!EM52="","",'[1]BASE'!EM52)</f>
      </c>
      <c r="J51" s="479">
        <f>IF('[1]BASE'!EN52="","",'[1]BASE'!EN52)</f>
      </c>
      <c r="K51" s="479">
        <f>IF('[1]BASE'!EO52="","",'[1]BASE'!EO52)</f>
      </c>
      <c r="L51" s="479">
        <f>IF('[1]BASE'!EP52="","",'[1]BASE'!EP52)</f>
      </c>
      <c r="M51" s="479">
        <f>IF('[1]BASE'!EQ52="","",'[1]BASE'!EQ52)</f>
      </c>
      <c r="N51" s="479">
        <f>IF('[1]BASE'!ER52="","",'[1]BASE'!ER52)</f>
      </c>
      <c r="O51" s="479">
        <f>IF('[1]BASE'!ES52="","",'[1]BASE'!ES52)</f>
      </c>
      <c r="P51" s="479">
        <f>IF('[1]BASE'!ET52="","",'[1]BASE'!ET52)</f>
      </c>
      <c r="Q51" s="479">
        <f>IF('[1]BASE'!EU52="","",'[1]BASE'!EU52)</f>
      </c>
      <c r="R51" s="479">
        <f>IF('[1]BASE'!EV52="","",'[1]BASE'!EV52)</f>
        <v>1</v>
      </c>
      <c r="S51" s="479">
        <f>IF('[1]BASE'!EW52="","",'[1]BASE'!EW52)</f>
        <v>1</v>
      </c>
      <c r="T51" s="479">
        <f>IF('[1]BASE'!EX52="","",'[1]BASE'!EX52)</f>
      </c>
      <c r="U51" s="480"/>
      <c r="V51" s="475"/>
    </row>
    <row r="52" spans="2:22" s="469" customFormat="1" ht="19.5" customHeight="1">
      <c r="B52" s="470"/>
      <c r="C52" s="483">
        <f>IF('[1]BASE'!C53="","",'[1]BASE'!C53)</f>
        <v>37</v>
      </c>
      <c r="D52" s="483">
        <f>IF('[1]BASE'!D53="","",'[1]BASE'!D53)</f>
        <v>1442</v>
      </c>
      <c r="E52" s="483" t="str">
        <f>IF('[1]BASE'!E53="","",'[1]BASE'!E53)</f>
        <v>MAR DE AJO - PINAMAR</v>
      </c>
      <c r="F52" s="483">
        <f>IF('[1]BASE'!F53="","",'[1]BASE'!F53)</f>
        <v>132</v>
      </c>
      <c r="G52" s="484">
        <f>IF('[1]BASE'!G53="","",'[1]BASE'!G53)</f>
        <v>46.4</v>
      </c>
      <c r="H52" s="478" t="str">
        <f>'[1]BASE'!H53</f>
        <v>C</v>
      </c>
      <c r="I52" s="479">
        <f>IF('[1]BASE'!EM53="","",'[1]BASE'!EM53)</f>
        <v>2</v>
      </c>
      <c r="J52" s="479">
        <f>IF('[1]BASE'!EN53="","",'[1]BASE'!EN53)</f>
      </c>
      <c r="K52" s="479">
        <f>IF('[1]BASE'!EO53="","",'[1]BASE'!EO53)</f>
      </c>
      <c r="L52" s="479">
        <f>IF('[1]BASE'!EP53="","",'[1]BASE'!EP53)</f>
        <v>1</v>
      </c>
      <c r="M52" s="479">
        <f>IF('[1]BASE'!EQ53="","",'[1]BASE'!EQ53)</f>
      </c>
      <c r="N52" s="479">
        <f>IF('[1]BASE'!ER53="","",'[1]BASE'!ER53)</f>
      </c>
      <c r="O52" s="479">
        <f>IF('[1]BASE'!ES53="","",'[1]BASE'!ES53)</f>
      </c>
      <c r="P52" s="479">
        <f>IF('[1]BASE'!ET53="","",'[1]BASE'!ET53)</f>
      </c>
      <c r="Q52" s="479">
        <f>IF('[1]BASE'!EU53="","",'[1]BASE'!EU53)</f>
      </c>
      <c r="R52" s="479">
        <f>IF('[1]BASE'!EV53="","",'[1]BASE'!EV53)</f>
      </c>
      <c r="S52" s="479">
        <f>IF('[1]BASE'!EW53="","",'[1]BASE'!EW53)</f>
      </c>
      <c r="T52" s="479">
        <f>IF('[1]BASE'!EX53="","",'[1]BASE'!EX53)</f>
      </c>
      <c r="U52" s="480"/>
      <c r="V52" s="475"/>
    </row>
    <row r="53" spans="2:22" s="469" customFormat="1" ht="19.5" customHeight="1">
      <c r="B53" s="470"/>
      <c r="C53" s="481">
        <f>IF('[1]BASE'!C54="","",'[1]BASE'!C54)</f>
        <v>38</v>
      </c>
      <c r="D53" s="481">
        <f>IF('[1]BASE'!D54="","",'[1]BASE'!D54)</f>
        <v>1525</v>
      </c>
      <c r="E53" s="481" t="str">
        <f>IF('[1]BASE'!E54="","",'[1]BASE'!E54)</f>
        <v>MAR DEL PLATA - MIRAMAR</v>
      </c>
      <c r="F53" s="481">
        <f>IF('[1]BASE'!F54="","",'[1]BASE'!F54)</f>
        <v>132</v>
      </c>
      <c r="G53" s="482">
        <f>IF('[1]BASE'!G54="","",'[1]BASE'!G54)</f>
        <v>49.9</v>
      </c>
      <c r="H53" s="478" t="str">
        <f>'[1]BASE'!H54</f>
        <v>C</v>
      </c>
      <c r="I53" s="479">
        <f>IF('[1]BASE'!EM54="","",'[1]BASE'!EM54)</f>
      </c>
      <c r="J53" s="479">
        <f>IF('[1]BASE'!EN54="","",'[1]BASE'!EN54)</f>
      </c>
      <c r="K53" s="479">
        <f>IF('[1]BASE'!EO54="","",'[1]BASE'!EO54)</f>
      </c>
      <c r="L53" s="479">
        <f>IF('[1]BASE'!EP54="","",'[1]BASE'!EP54)</f>
      </c>
      <c r="M53" s="479">
        <f>IF('[1]BASE'!EQ54="","",'[1]BASE'!EQ54)</f>
      </c>
      <c r="N53" s="479">
        <f>IF('[1]BASE'!ER54="","",'[1]BASE'!ER54)</f>
      </c>
      <c r="O53" s="479">
        <f>IF('[1]BASE'!ES54="","",'[1]BASE'!ES54)</f>
      </c>
      <c r="P53" s="479">
        <f>IF('[1]BASE'!ET54="","",'[1]BASE'!ET54)</f>
        <v>1</v>
      </c>
      <c r="Q53" s="479">
        <f>IF('[1]BASE'!EU54="","",'[1]BASE'!EU54)</f>
      </c>
      <c r="R53" s="479">
        <f>IF('[1]BASE'!EV54="","",'[1]BASE'!EV54)</f>
      </c>
      <c r="S53" s="479">
        <f>IF('[1]BASE'!EW54="","",'[1]BASE'!EW54)</f>
      </c>
      <c r="T53" s="479">
        <f>IF('[1]BASE'!EX54="","",'[1]BASE'!EX54)</f>
      </c>
      <c r="U53" s="480"/>
      <c r="V53" s="475"/>
    </row>
    <row r="54" spans="2:22" s="469" customFormat="1" ht="19.5" customHeight="1">
      <c r="B54" s="470"/>
      <c r="C54" s="483">
        <f>IF('[1]BASE'!C55="","",'[1]BASE'!C55)</f>
        <v>39</v>
      </c>
      <c r="D54" s="483" t="str">
        <f>IF('[1]BASE'!D55="","",'[1]BASE'!D55)</f>
        <v>CE-002</v>
      </c>
      <c r="E54" s="483" t="str">
        <f>IF('[1]BASE'!E55="","",'[1]BASE'!E55)</f>
        <v>MAR DEL PLATA - QUEQUEN -NECOCHEA</v>
      </c>
      <c r="F54" s="483">
        <f>IF('[1]BASE'!F55="","",'[1]BASE'!F55)</f>
        <v>132</v>
      </c>
      <c r="G54" s="484">
        <f>IF('[1]BASE'!G55="","",'[1]BASE'!G55)</f>
        <v>129</v>
      </c>
      <c r="H54" s="478" t="str">
        <f>'[1]BASE'!H55</f>
        <v>B</v>
      </c>
      <c r="I54" s="479">
        <f>IF('[1]BASE'!EM55="","",'[1]BASE'!EM55)</f>
      </c>
      <c r="J54" s="479">
        <f>IF('[1]BASE'!EN55="","",'[1]BASE'!EN55)</f>
      </c>
      <c r="K54" s="479">
        <f>IF('[1]BASE'!EO55="","",'[1]BASE'!EO55)</f>
      </c>
      <c r="L54" s="479">
        <f>IF('[1]BASE'!EP55="","",'[1]BASE'!EP55)</f>
      </c>
      <c r="M54" s="479">
        <f>IF('[1]BASE'!EQ55="","",'[1]BASE'!EQ55)</f>
      </c>
      <c r="N54" s="479">
        <f>IF('[1]BASE'!ER55="","",'[1]BASE'!ER55)</f>
      </c>
      <c r="O54" s="479">
        <f>IF('[1]BASE'!ES55="","",'[1]BASE'!ES55)</f>
      </c>
      <c r="P54" s="479">
        <f>IF('[1]BASE'!ET55="","",'[1]BASE'!ET55)</f>
      </c>
      <c r="Q54" s="479">
        <f>IF('[1]BASE'!EU55="","",'[1]BASE'!EU55)</f>
      </c>
      <c r="R54" s="479">
        <f>IF('[1]BASE'!EV55="","",'[1]BASE'!EV55)</f>
      </c>
      <c r="S54" s="479">
        <f>IF('[1]BASE'!EW55="","",'[1]BASE'!EW55)</f>
      </c>
      <c r="T54" s="479">
        <f>IF('[1]BASE'!EX55="","",'[1]BASE'!EX55)</f>
      </c>
      <c r="U54" s="480"/>
      <c r="V54" s="475"/>
    </row>
    <row r="55" spans="2:22" s="469" customFormat="1" ht="19.5" customHeight="1">
      <c r="B55" s="470"/>
      <c r="C55" s="481">
        <f>IF('[1]BASE'!C56="","",'[1]BASE'!C56)</f>
        <v>40</v>
      </c>
      <c r="D55" s="481">
        <f>IF('[1]BASE'!D56="","",'[1]BASE'!D56)</f>
        <v>1410</v>
      </c>
      <c r="E55" s="481" t="str">
        <f>IF('[1]BASE'!E56="","",'[1]BASE'!E56)</f>
        <v>MERCEDES B.A. - LUJAN</v>
      </c>
      <c r="F55" s="481">
        <f>IF('[1]BASE'!F56="","",'[1]BASE'!F56)</f>
        <v>132</v>
      </c>
      <c r="G55" s="482">
        <f>IF('[1]BASE'!G56="","",'[1]BASE'!G56)</f>
        <v>41.3</v>
      </c>
      <c r="H55" s="478" t="str">
        <f>'[1]BASE'!H56</f>
        <v>B</v>
      </c>
      <c r="I55" s="479">
        <f>IF('[1]BASE'!EM56="","",'[1]BASE'!EM56)</f>
      </c>
      <c r="J55" s="479">
        <f>IF('[1]BASE'!EN56="","",'[1]BASE'!EN56)</f>
      </c>
      <c r="K55" s="479">
        <f>IF('[1]BASE'!EO56="","",'[1]BASE'!EO56)</f>
      </c>
      <c r="L55" s="479">
        <f>IF('[1]BASE'!EP56="","",'[1]BASE'!EP56)</f>
      </c>
      <c r="M55" s="479">
        <f>IF('[1]BASE'!EQ56="","",'[1]BASE'!EQ56)</f>
      </c>
      <c r="N55" s="479">
        <f>IF('[1]BASE'!ER56="","",'[1]BASE'!ER56)</f>
      </c>
      <c r="O55" s="479">
        <f>IF('[1]BASE'!ES56="","",'[1]BASE'!ES56)</f>
      </c>
      <c r="P55" s="479">
        <f>IF('[1]BASE'!ET56="","",'[1]BASE'!ET56)</f>
      </c>
      <c r="Q55" s="479">
        <f>IF('[1]BASE'!EU56="","",'[1]BASE'!EU56)</f>
      </c>
      <c r="R55" s="479">
        <f>IF('[1]BASE'!EV56="","",'[1]BASE'!EV56)</f>
      </c>
      <c r="S55" s="479">
        <f>IF('[1]BASE'!EW56="","",'[1]BASE'!EW56)</f>
        <v>1</v>
      </c>
      <c r="T55" s="479">
        <f>IF('[1]BASE'!EX56="","",'[1]BASE'!EX56)</f>
      </c>
      <c r="U55" s="480"/>
      <c r="V55" s="475"/>
    </row>
    <row r="56" spans="2:22" s="469" customFormat="1" ht="19.5" customHeight="1">
      <c r="B56" s="470"/>
      <c r="C56" s="483">
        <f>IF('[1]BASE'!C57="","",'[1]BASE'!C57)</f>
        <v>41</v>
      </c>
      <c r="D56" s="483">
        <f>IF('[1]BASE'!D57="","",'[1]BASE'!D57)</f>
        <v>1529</v>
      </c>
      <c r="E56" s="483" t="str">
        <f>IF('[1]BASE'!E57="","",'[1]BASE'!E57)</f>
        <v>MIRAMAR - NECOCHEA</v>
      </c>
      <c r="F56" s="483">
        <f>IF('[1]BASE'!F57="","",'[1]BASE'!F57)</f>
        <v>132</v>
      </c>
      <c r="G56" s="484">
        <f>IF('[1]BASE'!G57="","",'[1]BASE'!G57)</f>
        <v>97.5</v>
      </c>
      <c r="H56" s="478" t="str">
        <f>'[1]BASE'!H57</f>
        <v>A</v>
      </c>
      <c r="I56" s="479">
        <f>IF('[1]BASE'!EM57="","",'[1]BASE'!EM57)</f>
      </c>
      <c r="J56" s="479">
        <f>IF('[1]BASE'!EN57="","",'[1]BASE'!EN57)</f>
      </c>
      <c r="K56" s="479">
        <f>IF('[1]BASE'!EO57="","",'[1]BASE'!EO57)</f>
        <v>1</v>
      </c>
      <c r="L56" s="479">
        <f>IF('[1]BASE'!EP57="","",'[1]BASE'!EP57)</f>
      </c>
      <c r="M56" s="479">
        <f>IF('[1]BASE'!EQ57="","",'[1]BASE'!EQ57)</f>
        <v>1</v>
      </c>
      <c r="N56" s="479">
        <f>IF('[1]BASE'!ER57="","",'[1]BASE'!ER57)</f>
      </c>
      <c r="O56" s="479">
        <f>IF('[1]BASE'!ES57="","",'[1]BASE'!ES57)</f>
      </c>
      <c r="P56" s="479">
        <f>IF('[1]BASE'!ET57="","",'[1]BASE'!ET57)</f>
      </c>
      <c r="Q56" s="479">
        <f>IF('[1]BASE'!EU57="","",'[1]BASE'!EU57)</f>
      </c>
      <c r="R56" s="479">
        <f>IF('[1]BASE'!EV57="","",'[1]BASE'!EV57)</f>
      </c>
      <c r="S56" s="479">
        <f>IF('[1]BASE'!EW57="","",'[1]BASE'!EW57)</f>
      </c>
      <c r="T56" s="479">
        <f>IF('[1]BASE'!EX57="","",'[1]BASE'!EX57)</f>
      </c>
      <c r="U56" s="480"/>
      <c r="V56" s="475"/>
    </row>
    <row r="57" spans="2:22" s="469" customFormat="1" ht="19.5" customHeight="1">
      <c r="B57" s="470"/>
      <c r="C57" s="481">
        <f>IF('[1]BASE'!C58="","",'[1]BASE'!C58)</f>
        <v>42</v>
      </c>
      <c r="D57" s="481">
        <f>IF('[1]BASE'!D58="","",'[1]BASE'!D58)</f>
        <v>1417</v>
      </c>
      <c r="E57" s="481" t="str">
        <f>IF('[1]BASE'!E58="","",'[1]BASE'!E58)</f>
        <v>MONTE - CHASCOMUS</v>
      </c>
      <c r="F57" s="481">
        <f>IF('[1]BASE'!F58="","",'[1]BASE'!F58)</f>
        <v>132</v>
      </c>
      <c r="G57" s="482">
        <f>IF('[1]BASE'!G58="","",'[1]BASE'!G58)</f>
        <v>114</v>
      </c>
      <c r="H57" s="478" t="str">
        <f>'[1]BASE'!H58</f>
        <v>C</v>
      </c>
      <c r="I57" s="479">
        <f>IF('[1]BASE'!EM58="","",'[1]BASE'!EM58)</f>
      </c>
      <c r="J57" s="479">
        <f>IF('[1]BASE'!EN58="","",'[1]BASE'!EN58)</f>
      </c>
      <c r="K57" s="479">
        <f>IF('[1]BASE'!EO58="","",'[1]BASE'!EO58)</f>
        <v>1</v>
      </c>
      <c r="L57" s="479">
        <f>IF('[1]BASE'!EP58="","",'[1]BASE'!EP58)</f>
      </c>
      <c r="M57" s="479">
        <f>IF('[1]BASE'!EQ58="","",'[1]BASE'!EQ58)</f>
      </c>
      <c r="N57" s="479">
        <f>IF('[1]BASE'!ER58="","",'[1]BASE'!ER58)</f>
      </c>
      <c r="O57" s="479">
        <f>IF('[1]BASE'!ES58="","",'[1]BASE'!ES58)</f>
      </c>
      <c r="P57" s="479">
        <f>IF('[1]BASE'!ET58="","",'[1]BASE'!ET58)</f>
      </c>
      <c r="Q57" s="479">
        <f>IF('[1]BASE'!EU58="","",'[1]BASE'!EU58)</f>
      </c>
      <c r="R57" s="479">
        <f>IF('[1]BASE'!EV58="","",'[1]BASE'!EV58)</f>
      </c>
      <c r="S57" s="479">
        <f>IF('[1]BASE'!EW58="","",'[1]BASE'!EW58)</f>
      </c>
      <c r="T57" s="479">
        <f>IF('[1]BASE'!EX58="","",'[1]BASE'!EX58)</f>
      </c>
      <c r="U57" s="480"/>
      <c r="V57" s="475"/>
    </row>
    <row r="58" spans="2:22" s="469" customFormat="1" ht="19.5" customHeight="1">
      <c r="B58" s="470"/>
      <c r="C58" s="483">
        <f>IF('[1]BASE'!C59="","",'[1]BASE'!C59)</f>
        <v>43</v>
      </c>
      <c r="D58" s="483">
        <f>IF('[1]BASE'!D59="","",'[1]BASE'!D59)</f>
        <v>1545</v>
      </c>
      <c r="E58" s="483" t="str">
        <f>IF('[1]BASE'!E59="","",'[1]BASE'!E59)</f>
        <v>NORTE II - PETROQ. BAHIA BLANCA</v>
      </c>
      <c r="F58" s="483">
        <f>IF('[1]BASE'!F59="","",'[1]BASE'!F59)</f>
        <v>132</v>
      </c>
      <c r="G58" s="484">
        <f>IF('[1]BASE'!G59="","",'[1]BASE'!G59)</f>
        <v>30</v>
      </c>
      <c r="H58" s="478" t="str">
        <f>'[1]BASE'!H59</f>
        <v>C</v>
      </c>
      <c r="I58" s="479">
        <f>IF('[1]BASE'!EM59="","",'[1]BASE'!EM59)</f>
      </c>
      <c r="J58" s="479">
        <f>IF('[1]BASE'!EN59="","",'[1]BASE'!EN59)</f>
      </c>
      <c r="K58" s="479">
        <f>IF('[1]BASE'!EO59="","",'[1]BASE'!EO59)</f>
      </c>
      <c r="L58" s="479">
        <f>IF('[1]BASE'!EP59="","",'[1]BASE'!EP59)</f>
      </c>
      <c r="M58" s="479">
        <f>IF('[1]BASE'!EQ59="","",'[1]BASE'!EQ59)</f>
      </c>
      <c r="N58" s="479">
        <f>IF('[1]BASE'!ER59="","",'[1]BASE'!ER59)</f>
      </c>
      <c r="O58" s="479">
        <f>IF('[1]BASE'!ES59="","",'[1]BASE'!ES59)</f>
      </c>
      <c r="P58" s="479">
        <f>IF('[1]BASE'!ET59="","",'[1]BASE'!ET59)</f>
      </c>
      <c r="Q58" s="479">
        <f>IF('[1]BASE'!EU59="","",'[1]BASE'!EU59)</f>
      </c>
      <c r="R58" s="479">
        <f>IF('[1]BASE'!EV59="","",'[1]BASE'!EV59)</f>
      </c>
      <c r="S58" s="479">
        <f>IF('[1]BASE'!EW59="","",'[1]BASE'!EW59)</f>
      </c>
      <c r="T58" s="479" t="str">
        <f>IF('[1]BASE'!EX59="","",'[1]BASE'!EX59)</f>
        <v>XXXX</v>
      </c>
      <c r="U58" s="480"/>
      <c r="V58" s="475"/>
    </row>
    <row r="59" spans="2:22" s="469" customFormat="1" ht="19.5" customHeight="1">
      <c r="B59" s="470"/>
      <c r="C59" s="481">
        <f>IF('[1]BASE'!C60="","",'[1]BASE'!C60)</f>
        <v>44</v>
      </c>
      <c r="D59" s="481">
        <f>IF('[1]BASE'!D60="","",'[1]BASE'!D60)</f>
        <v>2648</v>
      </c>
      <c r="E59" s="481" t="str">
        <f>IF('[1]BASE'!E60="","",'[1]BASE'!E60)</f>
        <v>NUEVA CAMPANA - SIDERCA 1</v>
      </c>
      <c r="F59" s="481">
        <f>IF('[1]BASE'!F60="","",'[1]BASE'!F60)</f>
        <v>132</v>
      </c>
      <c r="G59" s="482">
        <f>IF('[1]BASE'!G60="","",'[1]BASE'!G60)</f>
        <v>3.2</v>
      </c>
      <c r="H59" s="478" t="str">
        <f>'[1]BASE'!H60</f>
        <v>C</v>
      </c>
      <c r="I59" s="479">
        <f>IF('[1]BASE'!EM60="","",'[1]BASE'!EM60)</f>
      </c>
      <c r="J59" s="479">
        <f>IF('[1]BASE'!EN60="","",'[1]BASE'!EN60)</f>
      </c>
      <c r="K59" s="479">
        <f>IF('[1]BASE'!EO60="","",'[1]BASE'!EO60)</f>
      </c>
      <c r="L59" s="479">
        <f>IF('[1]BASE'!EP60="","",'[1]BASE'!EP60)</f>
      </c>
      <c r="M59" s="479">
        <f>IF('[1]BASE'!EQ60="","",'[1]BASE'!EQ60)</f>
      </c>
      <c r="N59" s="479">
        <f>IF('[1]BASE'!ER60="","",'[1]BASE'!ER60)</f>
      </c>
      <c r="O59" s="479">
        <f>IF('[1]BASE'!ES60="","",'[1]BASE'!ES60)</f>
      </c>
      <c r="P59" s="479">
        <f>IF('[1]BASE'!ET60="","",'[1]BASE'!ET60)</f>
      </c>
      <c r="Q59" s="479">
        <f>IF('[1]BASE'!EU60="","",'[1]BASE'!EU60)</f>
      </c>
      <c r="R59" s="479">
        <f>IF('[1]BASE'!EV60="","",'[1]BASE'!EV60)</f>
      </c>
      <c r="S59" s="479">
        <f>IF('[1]BASE'!EW60="","",'[1]BASE'!EW60)</f>
      </c>
      <c r="T59" s="479">
        <f>IF('[1]BASE'!EX60="","",'[1]BASE'!EX60)</f>
      </c>
      <c r="U59" s="480"/>
      <c r="V59" s="475"/>
    </row>
    <row r="60" spans="2:22" s="469" customFormat="1" ht="19.5" customHeight="1">
      <c r="B60" s="470"/>
      <c r="C60" s="483">
        <f>IF('[1]BASE'!C61="","",'[1]BASE'!C61)</f>
        <v>45</v>
      </c>
      <c r="D60" s="483" t="str">
        <f>IF('[1]BASE'!D61="","",'[1]BASE'!D61)</f>
        <v>CE-000</v>
      </c>
      <c r="E60" s="483" t="str">
        <f>IF('[1]BASE'!E61="","",'[1]BASE'!E61)</f>
        <v>NUEVA CAMPANA - ZARATE</v>
      </c>
      <c r="F60" s="483">
        <f>IF('[1]BASE'!F61="","",'[1]BASE'!F61)</f>
        <v>132</v>
      </c>
      <c r="G60" s="484">
        <f>IF('[1]BASE'!G61="","",'[1]BASE'!G61)</f>
        <v>10.6</v>
      </c>
      <c r="H60" s="478" t="str">
        <f>'[1]BASE'!H61</f>
        <v>C</v>
      </c>
      <c r="I60" s="479" t="str">
        <f>IF('[1]BASE'!EM61="","",'[1]BASE'!EM61)</f>
        <v>XXXX</v>
      </c>
      <c r="J60" s="479" t="str">
        <f>IF('[1]BASE'!EN61="","",'[1]BASE'!EN61)</f>
        <v>XXXX</v>
      </c>
      <c r="K60" s="479" t="str">
        <f>IF('[1]BASE'!EO61="","",'[1]BASE'!EO61)</f>
        <v>XXXX</v>
      </c>
      <c r="L60" s="479" t="str">
        <f>IF('[1]BASE'!EP61="","",'[1]BASE'!EP61)</f>
        <v>XXXX</v>
      </c>
      <c r="M60" s="479" t="str">
        <f>IF('[1]BASE'!EQ61="","",'[1]BASE'!EQ61)</f>
        <v>XXXX</v>
      </c>
      <c r="N60" s="479" t="str">
        <f>IF('[1]BASE'!ER61="","",'[1]BASE'!ER61)</f>
        <v>XXXX</v>
      </c>
      <c r="O60" s="479" t="str">
        <f>IF('[1]BASE'!ES61="","",'[1]BASE'!ES61)</f>
        <v>XXXX</v>
      </c>
      <c r="P60" s="479" t="str">
        <f>IF('[1]BASE'!ET61="","",'[1]BASE'!ET61)</f>
        <v>XXXX</v>
      </c>
      <c r="Q60" s="479" t="str">
        <f>IF('[1]BASE'!EU61="","",'[1]BASE'!EU61)</f>
        <v>XXXX</v>
      </c>
      <c r="R60" s="479" t="str">
        <f>IF('[1]BASE'!EV61="","",'[1]BASE'!EV61)</f>
        <v>XXXX</v>
      </c>
      <c r="S60" s="479" t="str">
        <f>IF('[1]BASE'!EW61="","",'[1]BASE'!EW61)</f>
        <v>XXXX</v>
      </c>
      <c r="T60" s="479" t="str">
        <f>IF('[1]BASE'!EX61="","",'[1]BASE'!EX61)</f>
        <v>XXXX</v>
      </c>
      <c r="U60" s="480"/>
      <c r="V60" s="475"/>
    </row>
    <row r="61" spans="2:22" s="469" customFormat="1" ht="19.5" customHeight="1">
      <c r="B61" s="470"/>
      <c r="C61" s="481">
        <f>IF('[1]BASE'!C62="","",'[1]BASE'!C62)</f>
        <v>46</v>
      </c>
      <c r="D61" s="481">
        <f>IF('[1]BASE'!D62="","",'[1]BASE'!D62)</f>
        <v>1433</v>
      </c>
      <c r="E61" s="481" t="str">
        <f>IF('[1]BASE'!E62="","",'[1]BASE'!E62)</f>
        <v>NUEVA CAMPANA - SIDERCA "0"</v>
      </c>
      <c r="F61" s="481">
        <f>IF('[1]BASE'!F62="","",'[1]BASE'!F62)</f>
        <v>132</v>
      </c>
      <c r="G61" s="482">
        <f>IF('[1]BASE'!G62="","",'[1]BASE'!G62)</f>
        <v>2.2</v>
      </c>
      <c r="H61" s="478" t="str">
        <f>'[1]BASE'!H62</f>
        <v>C</v>
      </c>
      <c r="I61" s="479">
        <f>IF('[1]BASE'!EM62="","",'[1]BASE'!EM62)</f>
      </c>
      <c r="J61" s="479">
        <f>IF('[1]BASE'!EN62="","",'[1]BASE'!EN62)</f>
      </c>
      <c r="K61" s="479">
        <f>IF('[1]BASE'!EO62="","",'[1]BASE'!EO62)</f>
      </c>
      <c r="L61" s="479">
        <f>IF('[1]BASE'!EP62="","",'[1]BASE'!EP62)</f>
      </c>
      <c r="M61" s="479">
        <f>IF('[1]BASE'!EQ62="","",'[1]BASE'!EQ62)</f>
      </c>
      <c r="N61" s="479">
        <f>IF('[1]BASE'!ER62="","",'[1]BASE'!ER62)</f>
      </c>
      <c r="O61" s="479">
        <f>IF('[1]BASE'!ES62="","",'[1]BASE'!ES62)</f>
      </c>
      <c r="P61" s="479">
        <f>IF('[1]BASE'!ET62="","",'[1]BASE'!ET62)</f>
      </c>
      <c r="Q61" s="479">
        <f>IF('[1]BASE'!EU62="","",'[1]BASE'!EU62)</f>
      </c>
      <c r="R61" s="479">
        <f>IF('[1]BASE'!EV62="","",'[1]BASE'!EV62)</f>
      </c>
      <c r="S61" s="479">
        <f>IF('[1]BASE'!EW62="","",'[1]BASE'!EW62)</f>
      </c>
      <c r="T61" s="479">
        <f>IF('[1]BASE'!EX62="","",'[1]BASE'!EX62)</f>
      </c>
      <c r="U61" s="480"/>
      <c r="V61" s="475"/>
    </row>
    <row r="62" spans="2:22" s="469" customFormat="1" ht="19.5" customHeight="1">
      <c r="B62" s="470"/>
      <c r="C62" s="483">
        <f>IF('[1]BASE'!C63="","",'[1]BASE'!C63)</f>
        <v>47</v>
      </c>
      <c r="D62" s="483">
        <f>IF('[1]BASE'!D63="","",'[1]BASE'!D63)</f>
        <v>1450</v>
      </c>
      <c r="E62" s="483" t="str">
        <f>IF('[1]BASE'!E63="","",'[1]BASE'!E63)</f>
        <v>OLAVARRIA - AZUL</v>
      </c>
      <c r="F62" s="483">
        <f>IF('[1]BASE'!F63="","",'[1]BASE'!F63)</f>
        <v>132</v>
      </c>
      <c r="G62" s="484">
        <f>IF('[1]BASE'!G63="","",'[1]BASE'!G63)</f>
        <v>51.4</v>
      </c>
      <c r="H62" s="478" t="str">
        <f>'[1]BASE'!H63</f>
        <v>C</v>
      </c>
      <c r="I62" s="479">
        <f>IF('[1]BASE'!EM63="","",'[1]BASE'!EM63)</f>
      </c>
      <c r="J62" s="479">
        <f>IF('[1]BASE'!EN63="","",'[1]BASE'!EN63)</f>
      </c>
      <c r="K62" s="479">
        <f>IF('[1]BASE'!EO63="","",'[1]BASE'!EO63)</f>
      </c>
      <c r="L62" s="479">
        <f>IF('[1]BASE'!EP63="","",'[1]BASE'!EP63)</f>
      </c>
      <c r="M62" s="479">
        <f>IF('[1]BASE'!EQ63="","",'[1]BASE'!EQ63)</f>
      </c>
      <c r="N62" s="479">
        <f>IF('[1]BASE'!ER63="","",'[1]BASE'!ER63)</f>
      </c>
      <c r="O62" s="479">
        <f>IF('[1]BASE'!ES63="","",'[1]BASE'!ES63)</f>
      </c>
      <c r="P62" s="479">
        <f>IF('[1]BASE'!ET63="","",'[1]BASE'!ET63)</f>
      </c>
      <c r="Q62" s="479">
        <f>IF('[1]BASE'!EU63="","",'[1]BASE'!EU63)</f>
      </c>
      <c r="R62" s="479">
        <f>IF('[1]BASE'!EV63="","",'[1]BASE'!EV63)</f>
      </c>
      <c r="S62" s="479">
        <f>IF('[1]BASE'!EW63="","",'[1]BASE'!EW63)</f>
      </c>
      <c r="T62" s="479">
        <f>IF('[1]BASE'!EX63="","",'[1]BASE'!EX63)</f>
      </c>
      <c r="U62" s="480"/>
      <c r="V62" s="475"/>
    </row>
    <row r="63" spans="2:22" s="469" customFormat="1" ht="19.5" customHeight="1">
      <c r="B63" s="470"/>
      <c r="C63" s="481">
        <f>IF('[1]BASE'!C64="","",'[1]BASE'!C64)</f>
        <v>48</v>
      </c>
      <c r="D63" s="481" t="str">
        <f>IF('[1]BASE'!D64="","",'[1]BASE'!D64)</f>
        <v>CE-000</v>
      </c>
      <c r="E63" s="481" t="str">
        <f>IF('[1]BASE'!E64="","",'[1]BASE'!E64)</f>
        <v>OLAVARRIA - GONZALEZ CHAVEZ</v>
      </c>
      <c r="F63" s="481">
        <f>IF('[1]BASE'!F64="","",'[1]BASE'!F64)</f>
        <v>132</v>
      </c>
      <c r="G63" s="482">
        <f>IF('[1]BASE'!G64="","",'[1]BASE'!G64)</f>
        <v>152</v>
      </c>
      <c r="H63" s="478" t="str">
        <f>'[1]BASE'!H64</f>
        <v>C</v>
      </c>
      <c r="I63" s="479" t="str">
        <f>IF('[1]BASE'!EM64="","",'[1]BASE'!EM64)</f>
        <v>XXXX</v>
      </c>
      <c r="J63" s="479" t="str">
        <f>IF('[1]BASE'!EN64="","",'[1]BASE'!EN64)</f>
        <v>XXXX</v>
      </c>
      <c r="K63" s="479" t="str">
        <f>IF('[1]BASE'!EO64="","",'[1]BASE'!EO64)</f>
        <v>XXXX</v>
      </c>
      <c r="L63" s="479" t="str">
        <f>IF('[1]BASE'!EP64="","",'[1]BASE'!EP64)</f>
        <v>XXXX</v>
      </c>
      <c r="M63" s="479" t="str">
        <f>IF('[1]BASE'!EQ64="","",'[1]BASE'!EQ64)</f>
        <v>XXXX</v>
      </c>
      <c r="N63" s="479" t="str">
        <f>IF('[1]BASE'!ER64="","",'[1]BASE'!ER64)</f>
        <v>XXXX</v>
      </c>
      <c r="O63" s="479" t="str">
        <f>IF('[1]BASE'!ES64="","",'[1]BASE'!ES64)</f>
        <v>XXXX</v>
      </c>
      <c r="P63" s="479" t="str">
        <f>IF('[1]BASE'!ET64="","",'[1]BASE'!ET64)</f>
        <v>XXXX</v>
      </c>
      <c r="Q63" s="479" t="str">
        <f>IF('[1]BASE'!EU64="","",'[1]BASE'!EU64)</f>
        <v>XXXX</v>
      </c>
      <c r="R63" s="479" t="str">
        <f>IF('[1]BASE'!EV64="","",'[1]BASE'!EV64)</f>
        <v>XXXX</v>
      </c>
      <c r="S63" s="479" t="str">
        <f>IF('[1]BASE'!EW64="","",'[1]BASE'!EW64)</f>
        <v>XXXX</v>
      </c>
      <c r="T63" s="479" t="str">
        <f>IF('[1]BASE'!EX64="","",'[1]BASE'!EX64)</f>
        <v>XXXX</v>
      </c>
      <c r="U63" s="480"/>
      <c r="V63" s="475"/>
    </row>
    <row r="64" spans="2:22" s="469" customFormat="1" ht="19.5" customHeight="1">
      <c r="B64" s="470"/>
      <c r="C64" s="483">
        <f>IF('[1]BASE'!C65="","",'[1]BASE'!C65)</f>
        <v>49</v>
      </c>
      <c r="D64" s="483">
        <f>IF('[1]BASE'!D65="","",'[1]BASE'!D65)</f>
        <v>1446</v>
      </c>
      <c r="E64" s="483" t="str">
        <f>IF('[1]BASE'!E65="","",'[1]BASE'!E65)</f>
        <v>OLAVARRIA - HENDERSON</v>
      </c>
      <c r="F64" s="483">
        <f>IF('[1]BASE'!F65="","",'[1]BASE'!F65)</f>
        <v>132</v>
      </c>
      <c r="G64" s="484">
        <f>IF('[1]BASE'!G65="","",'[1]BASE'!G65)</f>
        <v>120.6</v>
      </c>
      <c r="H64" s="478" t="str">
        <f>'[1]BASE'!H65</f>
        <v>C</v>
      </c>
      <c r="I64" s="479">
        <f>IF('[1]BASE'!EM65="","",'[1]BASE'!EM65)</f>
      </c>
      <c r="J64" s="479">
        <f>IF('[1]BASE'!EN65="","",'[1]BASE'!EN65)</f>
      </c>
      <c r="K64" s="479">
        <f>IF('[1]BASE'!EO65="","",'[1]BASE'!EO65)</f>
      </c>
      <c r="L64" s="479">
        <f>IF('[1]BASE'!EP65="","",'[1]BASE'!EP65)</f>
      </c>
      <c r="M64" s="479">
        <f>IF('[1]BASE'!EQ65="","",'[1]BASE'!EQ65)</f>
      </c>
      <c r="N64" s="479">
        <f>IF('[1]BASE'!ER65="","",'[1]BASE'!ER65)</f>
      </c>
      <c r="O64" s="479">
        <f>IF('[1]BASE'!ES65="","",'[1]BASE'!ES65)</f>
      </c>
      <c r="P64" s="479">
        <f>IF('[1]BASE'!ET65="","",'[1]BASE'!ET65)</f>
      </c>
      <c r="Q64" s="479">
        <f>IF('[1]BASE'!EU65="","",'[1]BASE'!EU65)</f>
      </c>
      <c r="R64" s="479">
        <f>IF('[1]BASE'!EV65="","",'[1]BASE'!EV65)</f>
      </c>
      <c r="S64" s="479">
        <f>IF('[1]BASE'!EW65="","",'[1]BASE'!EW65)</f>
      </c>
      <c r="T64" s="479">
        <f>IF('[1]BASE'!EX65="","",'[1]BASE'!EX65)</f>
      </c>
      <c r="U64" s="480"/>
      <c r="V64" s="475"/>
    </row>
    <row r="65" spans="2:22" s="469" customFormat="1" ht="19.5" customHeight="1">
      <c r="B65" s="470"/>
      <c r="C65" s="481">
        <f>IF('[1]BASE'!C66="","",'[1]BASE'!C66)</f>
        <v>50</v>
      </c>
      <c r="D65" s="481" t="str">
        <f>IF('[1]BASE'!D66="","",'[1]BASE'!D66)</f>
        <v>CE-000</v>
      </c>
      <c r="E65" s="481" t="str">
        <f>IF('[1]BASE'!E66="","",'[1]BASE'!E66)</f>
        <v>OLAVARRIA - LAPRIDA</v>
      </c>
      <c r="F65" s="481">
        <f>IF('[1]BASE'!F66="","",'[1]BASE'!F66)</f>
        <v>132</v>
      </c>
      <c r="G65" s="482">
        <f>IF('[1]BASE'!G66="","",'[1]BASE'!G66)</f>
        <v>99.7</v>
      </c>
      <c r="H65" s="478" t="str">
        <f>'[1]BASE'!H66</f>
        <v>C</v>
      </c>
      <c r="I65" s="479">
        <f>IF('[1]BASE'!EM66="","",'[1]BASE'!EM66)</f>
      </c>
      <c r="J65" s="479">
        <f>IF('[1]BASE'!EN66="","",'[1]BASE'!EN66)</f>
      </c>
      <c r="K65" s="479">
        <f>IF('[1]BASE'!EO66="","",'[1]BASE'!EO66)</f>
      </c>
      <c r="L65" s="479">
        <f>IF('[1]BASE'!EP66="","",'[1]BASE'!EP66)</f>
      </c>
      <c r="M65" s="479">
        <f>IF('[1]BASE'!EQ66="","",'[1]BASE'!EQ66)</f>
      </c>
      <c r="N65" s="479">
        <f>IF('[1]BASE'!ER66="","",'[1]BASE'!ER66)</f>
      </c>
      <c r="O65" s="479">
        <f>IF('[1]BASE'!ES66="","",'[1]BASE'!ES66)</f>
      </c>
      <c r="P65" s="479">
        <f>IF('[1]BASE'!ET66="","",'[1]BASE'!ET66)</f>
      </c>
      <c r="Q65" s="479">
        <f>IF('[1]BASE'!EU66="","",'[1]BASE'!EU66)</f>
      </c>
      <c r="R65" s="479">
        <f>IF('[1]BASE'!EV66="","",'[1]BASE'!EV66)</f>
      </c>
      <c r="S65" s="479">
        <f>IF('[1]BASE'!EW66="","",'[1]BASE'!EW66)</f>
      </c>
      <c r="T65" s="479">
        <f>IF('[1]BASE'!EX66="","",'[1]BASE'!EX66)</f>
      </c>
      <c r="U65" s="480"/>
      <c r="V65" s="475"/>
    </row>
    <row r="66" spans="2:22" s="469" customFormat="1" ht="19.5" customHeight="1">
      <c r="B66" s="470"/>
      <c r="C66" s="483">
        <f>IF('[1]BASE'!C67="","",'[1]BASE'!C67)</f>
        <v>51</v>
      </c>
      <c r="D66" s="483">
        <f>IF('[1]BASE'!D67="","",'[1]BASE'!D67)</f>
        <v>1449</v>
      </c>
      <c r="E66" s="483" t="str">
        <f>IF('[1]BASE'!E67="","",'[1]BASE'!E67)</f>
        <v>OLAVARRIA - TANDIL</v>
      </c>
      <c r="F66" s="483">
        <f>IF('[1]BASE'!F67="","",'[1]BASE'!F67)</f>
        <v>132</v>
      </c>
      <c r="G66" s="484">
        <f>IF('[1]BASE'!G67="","",'[1]BASE'!G67)</f>
        <v>133.2</v>
      </c>
      <c r="H66" s="478" t="str">
        <f>'[1]BASE'!H67</f>
        <v>A</v>
      </c>
      <c r="I66" s="479">
        <f>IF('[1]BASE'!EM67="","",'[1]BASE'!EM67)</f>
      </c>
      <c r="J66" s="479">
        <f>IF('[1]BASE'!EN67="","",'[1]BASE'!EN67)</f>
      </c>
      <c r="K66" s="479">
        <f>IF('[1]BASE'!EO67="","",'[1]BASE'!EO67)</f>
      </c>
      <c r="L66" s="479">
        <f>IF('[1]BASE'!EP67="","",'[1]BASE'!EP67)</f>
      </c>
      <c r="M66" s="479">
        <f>IF('[1]BASE'!EQ67="","",'[1]BASE'!EQ67)</f>
      </c>
      <c r="N66" s="479">
        <f>IF('[1]BASE'!ER67="","",'[1]BASE'!ER67)</f>
      </c>
      <c r="O66" s="479">
        <f>IF('[1]BASE'!ES67="","",'[1]BASE'!ES67)</f>
      </c>
      <c r="P66" s="479">
        <f>IF('[1]BASE'!ET67="","",'[1]BASE'!ET67)</f>
      </c>
      <c r="Q66" s="479">
        <f>IF('[1]BASE'!EU67="","",'[1]BASE'!EU67)</f>
      </c>
      <c r="R66" s="479">
        <f>IF('[1]BASE'!EV67="","",'[1]BASE'!EV67)</f>
      </c>
      <c r="S66" s="479">
        <f>IF('[1]BASE'!EW67="","",'[1]BASE'!EW67)</f>
      </c>
      <c r="T66" s="479">
        <f>IF('[1]BASE'!EX67="","",'[1]BASE'!EX67)</f>
      </c>
      <c r="U66" s="480"/>
      <c r="V66" s="475"/>
    </row>
    <row r="67" spans="2:22" s="469" customFormat="1" ht="19.5" customHeight="1">
      <c r="B67" s="470"/>
      <c r="C67" s="481">
        <f>IF('[1]BASE'!C68="","",'[1]BASE'!C68)</f>
        <v>52</v>
      </c>
      <c r="D67" s="481">
        <f>IF('[1]BASE'!D68="","",'[1]BASE'!D68)</f>
        <v>1451</v>
      </c>
      <c r="E67" s="481" t="str">
        <f>IF('[1]BASE'!E68="","",'[1]BASE'!E68)</f>
        <v>OLAVARRIA VIEJA - OLAVARRIA</v>
      </c>
      <c r="F67" s="481">
        <f>IF('[1]BASE'!F68="","",'[1]BASE'!F68)</f>
        <v>132</v>
      </c>
      <c r="G67" s="482">
        <f>IF('[1]BASE'!G68="","",'[1]BASE'!G68)</f>
        <v>31.2</v>
      </c>
      <c r="H67" s="478" t="str">
        <f>'[1]BASE'!H68</f>
        <v>C</v>
      </c>
      <c r="I67" s="479">
        <f>IF('[1]BASE'!EM68="","",'[1]BASE'!EM68)</f>
        <v>1</v>
      </c>
      <c r="J67" s="479">
        <f>IF('[1]BASE'!EN68="","",'[1]BASE'!EN68)</f>
      </c>
      <c r="K67" s="479">
        <f>IF('[1]BASE'!EO68="","",'[1]BASE'!EO68)</f>
      </c>
      <c r="L67" s="479">
        <f>IF('[1]BASE'!EP68="","",'[1]BASE'!EP68)</f>
      </c>
      <c r="M67" s="479">
        <f>IF('[1]BASE'!EQ68="","",'[1]BASE'!EQ68)</f>
      </c>
      <c r="N67" s="479">
        <f>IF('[1]BASE'!ER68="","",'[1]BASE'!ER68)</f>
      </c>
      <c r="O67" s="479">
        <f>IF('[1]BASE'!ES68="","",'[1]BASE'!ES68)</f>
      </c>
      <c r="P67" s="479">
        <f>IF('[1]BASE'!ET68="","",'[1]BASE'!ET68)</f>
      </c>
      <c r="Q67" s="479">
        <f>IF('[1]BASE'!EU68="","",'[1]BASE'!EU68)</f>
      </c>
      <c r="R67" s="479">
        <f>IF('[1]BASE'!EV68="","",'[1]BASE'!EV68)</f>
      </c>
      <c r="S67" s="479">
        <f>IF('[1]BASE'!EW68="","",'[1]BASE'!EW68)</f>
        <v>1</v>
      </c>
      <c r="T67" s="479">
        <f>IF('[1]BASE'!EX68="","",'[1]BASE'!EX68)</f>
      </c>
      <c r="U67" s="480"/>
      <c r="V67" s="475"/>
    </row>
    <row r="68" spans="2:22" s="469" customFormat="1" ht="19.5" customHeight="1">
      <c r="B68" s="470"/>
      <c r="C68" s="483">
        <f>IF('[1]BASE'!C69="","",'[1]BASE'!C69)</f>
        <v>53</v>
      </c>
      <c r="D68" s="483">
        <f>IF('[1]BASE'!D69="","",'[1]BASE'!D69)</f>
        <v>1533</v>
      </c>
      <c r="E68" s="483" t="str">
        <f>IF('[1]BASE'!E69="","",'[1]BASE'!E69)</f>
        <v>P. LURO - C. PATAGONES</v>
      </c>
      <c r="F68" s="483">
        <f>IF('[1]BASE'!F69="","",'[1]BASE'!F69)</f>
        <v>132</v>
      </c>
      <c r="G68" s="484">
        <f>IF('[1]BASE'!G69="","",'[1]BASE'!G69)</f>
        <v>151</v>
      </c>
      <c r="H68" s="478" t="str">
        <f>'[1]BASE'!H69</f>
        <v>C</v>
      </c>
      <c r="I68" s="479">
        <f>IF('[1]BASE'!EM69="","",'[1]BASE'!EM69)</f>
      </c>
      <c r="J68" s="479">
        <f>IF('[1]BASE'!EN69="","",'[1]BASE'!EN69)</f>
        <v>1</v>
      </c>
      <c r="K68" s="479">
        <f>IF('[1]BASE'!EO69="","",'[1]BASE'!EO69)</f>
        <v>3</v>
      </c>
      <c r="L68" s="479">
        <f>IF('[1]BASE'!EP69="","",'[1]BASE'!EP69)</f>
      </c>
      <c r="M68" s="479">
        <f>IF('[1]BASE'!EQ69="","",'[1]BASE'!EQ69)</f>
      </c>
      <c r="N68" s="479">
        <f>IF('[1]BASE'!ER69="","",'[1]BASE'!ER69)</f>
      </c>
      <c r="O68" s="479">
        <f>IF('[1]BASE'!ES69="","",'[1]BASE'!ES69)</f>
      </c>
      <c r="P68" s="479">
        <f>IF('[1]BASE'!ET69="","",'[1]BASE'!ET69)</f>
      </c>
      <c r="Q68" s="479">
        <f>IF('[1]BASE'!EU69="","",'[1]BASE'!EU69)</f>
      </c>
      <c r="R68" s="479">
        <f>IF('[1]BASE'!EV69="","",'[1]BASE'!EV69)</f>
      </c>
      <c r="S68" s="479">
        <f>IF('[1]BASE'!EW69="","",'[1]BASE'!EW69)</f>
      </c>
      <c r="T68" s="479">
        <f>IF('[1]BASE'!EX69="","",'[1]BASE'!EX69)</f>
      </c>
      <c r="U68" s="480"/>
      <c r="V68" s="475"/>
    </row>
    <row r="69" spans="2:22" s="469" customFormat="1" ht="19.5" customHeight="1">
      <c r="B69" s="470"/>
      <c r="C69" s="481">
        <f>IF('[1]BASE'!C70="","",'[1]BASE'!C70)</f>
        <v>54</v>
      </c>
      <c r="D69" s="481">
        <f>IF('[1]BASE'!D70="","",'[1]BASE'!D70)</f>
        <v>2740</v>
      </c>
      <c r="E69" s="481" t="str">
        <f>IF('[1]BASE'!E70="","",'[1]BASE'!E70)</f>
        <v>PERGAMINO - RAMALLO</v>
      </c>
      <c r="F69" s="481">
        <f>IF('[1]BASE'!F70="","",'[1]BASE'!F70)</f>
        <v>132</v>
      </c>
      <c r="G69" s="482">
        <f>IF('[1]BASE'!G70="","",'[1]BASE'!G70)</f>
        <v>66.8</v>
      </c>
      <c r="H69" s="478" t="str">
        <f>'[1]BASE'!H70</f>
        <v>C</v>
      </c>
      <c r="I69" s="479">
        <f>IF('[1]BASE'!EM70="","",'[1]BASE'!EM70)</f>
      </c>
      <c r="J69" s="479">
        <f>IF('[1]BASE'!EN70="","",'[1]BASE'!EN70)</f>
      </c>
      <c r="K69" s="479">
        <f>IF('[1]BASE'!EO70="","",'[1]BASE'!EO70)</f>
      </c>
      <c r="L69" s="479">
        <f>IF('[1]BASE'!EP70="","",'[1]BASE'!EP70)</f>
      </c>
      <c r="M69" s="479">
        <f>IF('[1]BASE'!EQ70="","",'[1]BASE'!EQ70)</f>
      </c>
      <c r="N69" s="479">
        <f>IF('[1]BASE'!ER70="","",'[1]BASE'!ER70)</f>
      </c>
      <c r="O69" s="479">
        <f>IF('[1]BASE'!ES70="","",'[1]BASE'!ES70)</f>
      </c>
      <c r="P69" s="479">
        <f>IF('[1]BASE'!ET70="","",'[1]BASE'!ET70)</f>
        <v>1</v>
      </c>
      <c r="Q69" s="479">
        <f>IF('[1]BASE'!EU70="","",'[1]BASE'!EU70)</f>
      </c>
      <c r="R69" s="479">
        <f>IF('[1]BASE'!EV70="","",'[1]BASE'!EV70)</f>
      </c>
      <c r="S69" s="479">
        <f>IF('[1]BASE'!EW70="","",'[1]BASE'!EW70)</f>
      </c>
      <c r="T69" s="479">
        <f>IF('[1]BASE'!EX70="","",'[1]BASE'!EX70)</f>
      </c>
      <c r="U69" s="480"/>
      <c r="V69" s="475"/>
    </row>
    <row r="70" spans="2:22" s="469" customFormat="1" ht="19.5" customHeight="1">
      <c r="B70" s="470"/>
      <c r="C70" s="483">
        <f>IF('[1]BASE'!C71="","",'[1]BASE'!C71)</f>
        <v>55</v>
      </c>
      <c r="D70" s="483">
        <f>IF('[1]BASE'!D71="","",'[1]BASE'!D71)</f>
        <v>1420</v>
      </c>
      <c r="E70" s="483" t="str">
        <f>IF('[1]BASE'!E71="","",'[1]BASE'!E71)</f>
        <v>PERGAMINO - ROJAS</v>
      </c>
      <c r="F70" s="483">
        <f>IF('[1]BASE'!F71="","",'[1]BASE'!F71)</f>
        <v>132</v>
      </c>
      <c r="G70" s="484">
        <f>IF('[1]BASE'!G71="","",'[1]BASE'!G71)</f>
        <v>36</v>
      </c>
      <c r="H70" s="478" t="str">
        <f>'[1]BASE'!H71</f>
        <v>C</v>
      </c>
      <c r="I70" s="479">
        <f>IF('[1]BASE'!EM71="","",'[1]BASE'!EM71)</f>
      </c>
      <c r="J70" s="479">
        <f>IF('[1]BASE'!EN71="","",'[1]BASE'!EN71)</f>
      </c>
      <c r="K70" s="479">
        <f>IF('[1]BASE'!EO71="","",'[1]BASE'!EO71)</f>
      </c>
      <c r="L70" s="479">
        <f>IF('[1]BASE'!EP71="","",'[1]BASE'!EP71)</f>
      </c>
      <c r="M70" s="479">
        <f>IF('[1]BASE'!EQ71="","",'[1]BASE'!EQ71)</f>
      </c>
      <c r="N70" s="479">
        <f>IF('[1]BASE'!ER71="","",'[1]BASE'!ER71)</f>
      </c>
      <c r="O70" s="479">
        <f>IF('[1]BASE'!ES71="","",'[1]BASE'!ES71)</f>
      </c>
      <c r="P70" s="479">
        <f>IF('[1]BASE'!ET71="","",'[1]BASE'!ET71)</f>
      </c>
      <c r="Q70" s="479">
        <f>IF('[1]BASE'!EU71="","",'[1]BASE'!EU71)</f>
      </c>
      <c r="R70" s="479">
        <f>IF('[1]BASE'!EV71="","",'[1]BASE'!EV71)</f>
        <v>1</v>
      </c>
      <c r="S70" s="479">
        <f>IF('[1]BASE'!EW71="","",'[1]BASE'!EW71)</f>
      </c>
      <c r="T70" s="479">
        <f>IF('[1]BASE'!EX71="","",'[1]BASE'!EX71)</f>
      </c>
      <c r="U70" s="480"/>
      <c r="V70" s="475"/>
    </row>
    <row r="71" spans="2:22" s="469" customFormat="1" ht="19.5" customHeight="1">
      <c r="B71" s="470"/>
      <c r="C71" s="481">
        <f>IF('[1]BASE'!C72="","",'[1]BASE'!C72)</f>
        <v>56</v>
      </c>
      <c r="D71" s="481">
        <f>IF('[1]BASE'!D72="","",'[1]BASE'!D72)</f>
        <v>1419</v>
      </c>
      <c r="E71" s="481" t="str">
        <f>IF('[1]BASE'!E72="","",'[1]BASE'!E72)</f>
        <v>PERGAMINO - SAN NICOLAS</v>
      </c>
      <c r="F71" s="481">
        <f>IF('[1]BASE'!F72="","",'[1]BASE'!F72)</f>
        <v>132</v>
      </c>
      <c r="G71" s="482">
        <f>IF('[1]BASE'!G72="","",'[1]BASE'!G72)</f>
        <v>70.8</v>
      </c>
      <c r="H71" s="478" t="str">
        <f>'[1]BASE'!H72</f>
        <v>C</v>
      </c>
      <c r="I71" s="479">
        <f>IF('[1]BASE'!EM72="","",'[1]BASE'!EM72)</f>
      </c>
      <c r="J71" s="479">
        <f>IF('[1]BASE'!EN72="","",'[1]BASE'!EN72)</f>
      </c>
      <c r="K71" s="479">
        <f>IF('[1]BASE'!EO72="","",'[1]BASE'!EO72)</f>
      </c>
      <c r="L71" s="479">
        <f>IF('[1]BASE'!EP72="","",'[1]BASE'!EP72)</f>
      </c>
      <c r="M71" s="479">
        <f>IF('[1]BASE'!EQ72="","",'[1]BASE'!EQ72)</f>
      </c>
      <c r="N71" s="479">
        <f>IF('[1]BASE'!ER72="","",'[1]BASE'!ER72)</f>
      </c>
      <c r="O71" s="479">
        <f>IF('[1]BASE'!ES72="","",'[1]BASE'!ES72)</f>
      </c>
      <c r="P71" s="479">
        <f>IF('[1]BASE'!ET72="","",'[1]BASE'!ET72)</f>
        <v>1</v>
      </c>
      <c r="Q71" s="479">
        <f>IF('[1]BASE'!EU72="","",'[1]BASE'!EU72)</f>
      </c>
      <c r="R71" s="479">
        <f>IF('[1]BASE'!EV72="","",'[1]BASE'!EV72)</f>
      </c>
      <c r="S71" s="479">
        <f>IF('[1]BASE'!EW72="","",'[1]BASE'!EW72)</f>
      </c>
      <c r="T71" s="479">
        <f>IF('[1]BASE'!EX72="","",'[1]BASE'!EX72)</f>
      </c>
      <c r="U71" s="480"/>
      <c r="V71" s="475"/>
    </row>
    <row r="72" spans="2:22" s="469" customFormat="1" ht="19.5" customHeight="1">
      <c r="B72" s="470"/>
      <c r="C72" s="483">
        <f>IF('[1]BASE'!C73="","",'[1]BASE'!C73)</f>
        <v>57</v>
      </c>
      <c r="D72" s="483">
        <f>IF('[1]BASE'!D73="","",'[1]BASE'!D73)</f>
        <v>1546</v>
      </c>
      <c r="E72" s="483" t="str">
        <f>IF('[1]BASE'!E73="","",'[1]BASE'!E73)</f>
        <v>PETROQ. BAHIA BLANCA - URBANA BB</v>
      </c>
      <c r="F72" s="483">
        <f>IF('[1]BASE'!F73="","",'[1]BASE'!F73)</f>
        <v>132</v>
      </c>
      <c r="G72" s="484">
        <f>IF('[1]BASE'!G73="","",'[1]BASE'!G73)</f>
        <v>3.2</v>
      </c>
      <c r="H72" s="478" t="str">
        <f>'[1]BASE'!H73</f>
        <v>C</v>
      </c>
      <c r="I72" s="479">
        <f>IF('[1]BASE'!EM73="","",'[1]BASE'!EM73)</f>
      </c>
      <c r="J72" s="479">
        <f>IF('[1]BASE'!EN73="","",'[1]BASE'!EN73)</f>
      </c>
      <c r="K72" s="479">
        <f>IF('[1]BASE'!EO73="","",'[1]BASE'!EO73)</f>
      </c>
      <c r="L72" s="479">
        <f>IF('[1]BASE'!EP73="","",'[1]BASE'!EP73)</f>
      </c>
      <c r="M72" s="479">
        <f>IF('[1]BASE'!EQ73="","",'[1]BASE'!EQ73)</f>
      </c>
      <c r="N72" s="479">
        <f>IF('[1]BASE'!ER73="","",'[1]BASE'!ER73)</f>
      </c>
      <c r="O72" s="479">
        <f>IF('[1]BASE'!ES73="","",'[1]BASE'!ES73)</f>
      </c>
      <c r="P72" s="479">
        <f>IF('[1]BASE'!ET73="","",'[1]BASE'!ET73)</f>
      </c>
      <c r="Q72" s="479">
        <f>IF('[1]BASE'!EU73="","",'[1]BASE'!EU73)</f>
      </c>
      <c r="R72" s="479">
        <f>IF('[1]BASE'!EV73="","",'[1]BASE'!EV73)</f>
      </c>
      <c r="S72" s="479">
        <f>IF('[1]BASE'!EW73="","",'[1]BASE'!EW73)</f>
      </c>
      <c r="T72" s="479">
        <f>IF('[1]BASE'!EX73="","",'[1]BASE'!EX73)</f>
      </c>
      <c r="U72" s="480"/>
      <c r="V72" s="475"/>
    </row>
    <row r="73" spans="2:22" s="469" customFormat="1" ht="19.5" customHeight="1">
      <c r="B73" s="470"/>
      <c r="C73" s="481">
        <f>IF('[1]BASE'!C74="","",'[1]BASE'!C74)</f>
        <v>58</v>
      </c>
      <c r="D73" s="481">
        <f>IF('[1]BASE'!D74="","",'[1]BASE'!D74)</f>
      </c>
      <c r="E73" s="481" t="str">
        <f>IF('[1]BASE'!E74="","",'[1]BASE'!E74)</f>
        <v>C. PIEDRABUENA - ING. WHITE</v>
      </c>
      <c r="F73" s="481">
        <f>IF('[1]BASE'!F74="","",'[1]BASE'!F74)</f>
        <v>132</v>
      </c>
      <c r="G73" s="482">
        <f>IF('[1]BASE'!G74="","",'[1]BASE'!G74)</f>
        <v>1.1</v>
      </c>
      <c r="H73" s="478" t="str">
        <f>'[1]BASE'!H74</f>
        <v>C</v>
      </c>
      <c r="I73" s="479">
        <f>IF('[1]BASE'!EM74="","",'[1]BASE'!EM74)</f>
      </c>
      <c r="J73" s="479">
        <f>IF('[1]BASE'!EN74="","",'[1]BASE'!EN74)</f>
      </c>
      <c r="K73" s="479">
        <f>IF('[1]BASE'!EO74="","",'[1]BASE'!EO74)</f>
      </c>
      <c r="L73" s="479">
        <f>IF('[1]BASE'!EP74="","",'[1]BASE'!EP74)</f>
      </c>
      <c r="M73" s="479">
        <f>IF('[1]BASE'!EQ74="","",'[1]BASE'!EQ74)</f>
      </c>
      <c r="N73" s="479">
        <f>IF('[1]BASE'!ER74="","",'[1]BASE'!ER74)</f>
      </c>
      <c r="O73" s="479">
        <f>IF('[1]BASE'!ES74="","",'[1]BASE'!ES74)</f>
      </c>
      <c r="P73" s="479">
        <f>IF('[1]BASE'!ET74="","",'[1]BASE'!ET74)</f>
      </c>
      <c r="Q73" s="479">
        <f>IF('[1]BASE'!EU74="","",'[1]BASE'!EU74)</f>
      </c>
      <c r="R73" s="479">
        <f>IF('[1]BASE'!EV74="","",'[1]BASE'!EV74)</f>
      </c>
      <c r="S73" s="479">
        <f>IF('[1]BASE'!EW74="","",'[1]BASE'!EW74)</f>
      </c>
      <c r="T73" s="479">
        <f>IF('[1]BASE'!EX74="","",'[1]BASE'!EX74)</f>
      </c>
      <c r="U73" s="480"/>
      <c r="V73" s="475"/>
    </row>
    <row r="74" spans="2:22" s="469" customFormat="1" ht="19.5" customHeight="1">
      <c r="B74" s="470"/>
      <c r="C74" s="483">
        <f>IF('[1]BASE'!C75="","",'[1]BASE'!C75)</f>
        <v>59</v>
      </c>
      <c r="D74" s="483">
        <f>IF('[1]BASE'!D75="","",'[1]BASE'!D75)</f>
        <v>2616</v>
      </c>
      <c r="E74" s="483" t="str">
        <f>IF('[1]BASE'!E75="","",'[1]BASE'!E75)</f>
        <v>PIGUE - GUATRACHE</v>
      </c>
      <c r="F74" s="483">
        <f>IF('[1]BASE'!F75="","",'[1]BASE'!F75)</f>
        <v>132</v>
      </c>
      <c r="G74" s="484">
        <f>IF('[1]BASE'!G75="","",'[1]BASE'!G75)</f>
        <v>102</v>
      </c>
      <c r="H74" s="478" t="str">
        <f>'[1]BASE'!H75</f>
        <v>C</v>
      </c>
      <c r="I74" s="479">
        <f>IF('[1]BASE'!EM75="","",'[1]BASE'!EM75)</f>
      </c>
      <c r="J74" s="479">
        <f>IF('[1]BASE'!EN75="","",'[1]BASE'!EN75)</f>
      </c>
      <c r="K74" s="479">
        <f>IF('[1]BASE'!EO75="","",'[1]BASE'!EO75)</f>
      </c>
      <c r="L74" s="479">
        <f>IF('[1]BASE'!EP75="","",'[1]BASE'!EP75)</f>
      </c>
      <c r="M74" s="479">
        <f>IF('[1]BASE'!EQ75="","",'[1]BASE'!EQ75)</f>
      </c>
      <c r="N74" s="479">
        <f>IF('[1]BASE'!ER75="","",'[1]BASE'!ER75)</f>
        <v>1</v>
      </c>
      <c r="O74" s="479">
        <f>IF('[1]BASE'!ES75="","",'[1]BASE'!ES75)</f>
      </c>
      <c r="P74" s="479">
        <f>IF('[1]BASE'!ET75="","",'[1]BASE'!ET75)</f>
      </c>
      <c r="Q74" s="479">
        <f>IF('[1]BASE'!EU75="","",'[1]BASE'!EU75)</f>
      </c>
      <c r="R74" s="479">
        <f>IF('[1]BASE'!EV75="","",'[1]BASE'!EV75)</f>
      </c>
      <c r="S74" s="479">
        <f>IF('[1]BASE'!EW75="","",'[1]BASE'!EW75)</f>
      </c>
      <c r="T74" s="479">
        <f>IF('[1]BASE'!EX75="","",'[1]BASE'!EX75)</f>
      </c>
      <c r="U74" s="480"/>
      <c r="V74" s="475"/>
    </row>
    <row r="75" spans="2:22" s="469" customFormat="1" ht="19.5" customHeight="1">
      <c r="B75" s="470"/>
      <c r="C75" s="481">
        <f>IF('[1]BASE'!C76="","",'[1]BASE'!C76)</f>
        <v>60</v>
      </c>
      <c r="D75" s="481" t="str">
        <f>IF('[1]BASE'!D76="","",'[1]BASE'!D76)</f>
        <v>CE-004</v>
      </c>
      <c r="E75" s="481" t="str">
        <f>IF('[1]BASE'!E76="","",'[1]BASE'!E76)</f>
        <v>PIGÜE - TORNQUIST - BAHIA BLANCA</v>
      </c>
      <c r="F75" s="481">
        <f>IF('[1]BASE'!F76="","",'[1]BASE'!F76)</f>
        <v>132</v>
      </c>
      <c r="G75" s="482">
        <f>IF('[1]BASE'!G76="","",'[1]BASE'!G76)</f>
        <v>132.3</v>
      </c>
      <c r="H75" s="478" t="str">
        <f>'[1]BASE'!H76</f>
        <v>C</v>
      </c>
      <c r="I75" s="479">
        <f>IF('[1]BASE'!EM76="","",'[1]BASE'!EM76)</f>
      </c>
      <c r="J75" s="479">
        <f>IF('[1]BASE'!EN76="","",'[1]BASE'!EN76)</f>
        <v>1</v>
      </c>
      <c r="K75" s="479">
        <f>IF('[1]BASE'!EO76="","",'[1]BASE'!EO76)</f>
        <v>2</v>
      </c>
      <c r="L75" s="479">
        <f>IF('[1]BASE'!EP76="","",'[1]BASE'!EP76)</f>
      </c>
      <c r="M75" s="479">
        <f>IF('[1]BASE'!EQ76="","",'[1]BASE'!EQ76)</f>
      </c>
      <c r="N75" s="479">
        <f>IF('[1]BASE'!ER76="","",'[1]BASE'!ER76)</f>
      </c>
      <c r="O75" s="479">
        <f>IF('[1]BASE'!ES76="","",'[1]BASE'!ES76)</f>
      </c>
      <c r="P75" s="479">
        <f>IF('[1]BASE'!ET76="","",'[1]BASE'!ET76)</f>
      </c>
      <c r="Q75" s="479">
        <f>IF('[1]BASE'!EU76="","",'[1]BASE'!EU76)</f>
      </c>
      <c r="R75" s="479">
        <f>IF('[1]BASE'!EV76="","",'[1]BASE'!EV76)</f>
      </c>
      <c r="S75" s="479">
        <f>IF('[1]BASE'!EW76="","",'[1]BASE'!EW76)</f>
      </c>
      <c r="T75" s="479">
        <f>IF('[1]BASE'!EX76="","",'[1]BASE'!EX76)</f>
      </c>
      <c r="U75" s="480"/>
      <c r="V75" s="475"/>
    </row>
    <row r="76" spans="2:22" s="469" customFormat="1" ht="19.5" customHeight="1">
      <c r="B76" s="470"/>
      <c r="C76" s="483">
        <f>IF('[1]BASE'!C77="","",'[1]BASE'!C77)</f>
        <v>61</v>
      </c>
      <c r="D76" s="483">
        <f>IF('[1]BASE'!D77="","",'[1]BASE'!D77)</f>
        <v>1443</v>
      </c>
      <c r="E76" s="483" t="str">
        <f>IF('[1]BASE'!E77="","",'[1]BASE'!E77)</f>
        <v>PINAMAR - VILLA GESELL</v>
      </c>
      <c r="F76" s="483">
        <f>IF('[1]BASE'!F77="","",'[1]BASE'!F77)</f>
        <v>132</v>
      </c>
      <c r="G76" s="484">
        <f>IF('[1]BASE'!G77="","",'[1]BASE'!G77)</f>
        <v>16.3</v>
      </c>
      <c r="H76" s="478" t="str">
        <f>'[1]BASE'!H77</f>
        <v>C</v>
      </c>
      <c r="I76" s="479">
        <f>IF('[1]BASE'!EM77="","",'[1]BASE'!EM77)</f>
      </c>
      <c r="J76" s="479">
        <f>IF('[1]BASE'!EN77="","",'[1]BASE'!EN77)</f>
      </c>
      <c r="K76" s="479">
        <f>IF('[1]BASE'!EO77="","",'[1]BASE'!EO77)</f>
      </c>
      <c r="L76" s="479">
        <f>IF('[1]BASE'!EP77="","",'[1]BASE'!EP77)</f>
      </c>
      <c r="M76" s="479">
        <f>IF('[1]BASE'!EQ77="","",'[1]BASE'!EQ77)</f>
      </c>
      <c r="N76" s="479">
        <f>IF('[1]BASE'!ER77="","",'[1]BASE'!ER77)</f>
      </c>
      <c r="O76" s="479">
        <f>IF('[1]BASE'!ES77="","",'[1]BASE'!ES77)</f>
      </c>
      <c r="P76" s="479">
        <f>IF('[1]BASE'!ET77="","",'[1]BASE'!ET77)</f>
      </c>
      <c r="Q76" s="479">
        <f>IF('[1]BASE'!EU77="","",'[1]BASE'!EU77)</f>
      </c>
      <c r="R76" s="479">
        <f>IF('[1]BASE'!EV77="","",'[1]BASE'!EV77)</f>
      </c>
      <c r="S76" s="479">
        <f>IF('[1]BASE'!EW77="","",'[1]BASE'!EW77)</f>
      </c>
      <c r="T76" s="479">
        <f>IF('[1]BASE'!EX77="","",'[1]BASE'!EX77)</f>
      </c>
      <c r="U76" s="480"/>
      <c r="V76" s="475"/>
    </row>
    <row r="77" spans="2:22" s="469" customFormat="1" ht="19.5" customHeight="1">
      <c r="B77" s="470"/>
      <c r="C77" s="481">
        <f>IF('[1]BASE'!C78="","",'[1]BASE'!C78)</f>
        <v>62</v>
      </c>
      <c r="D77" s="481">
        <f>IF('[1]BASE'!D78="","",'[1]BASE'!D78)</f>
        <v>1543</v>
      </c>
      <c r="E77" s="481" t="str">
        <f>IF('[1]BASE'!E78="","",'[1]BASE'!E78)</f>
        <v>PUNTA ALTA - BAHIA BLANCA</v>
      </c>
      <c r="F77" s="481">
        <f>IF('[1]BASE'!F78="","",'[1]BASE'!F78)</f>
        <v>132</v>
      </c>
      <c r="G77" s="482">
        <f>IF('[1]BASE'!G78="","",'[1]BASE'!G78)</f>
        <v>24.1</v>
      </c>
      <c r="H77" s="478" t="str">
        <f>'[1]BASE'!H78</f>
        <v>C</v>
      </c>
      <c r="I77" s="479">
        <f>IF('[1]BASE'!EM78="","",'[1]BASE'!EM78)</f>
      </c>
      <c r="J77" s="479">
        <f>IF('[1]BASE'!EN78="","",'[1]BASE'!EN78)</f>
        <v>1</v>
      </c>
      <c r="K77" s="479">
        <f>IF('[1]BASE'!EO78="","",'[1]BASE'!EO78)</f>
        <v>1</v>
      </c>
      <c r="L77" s="479">
        <f>IF('[1]BASE'!EP78="","",'[1]BASE'!EP78)</f>
      </c>
      <c r="M77" s="479">
        <f>IF('[1]BASE'!EQ78="","",'[1]BASE'!EQ78)</f>
      </c>
      <c r="N77" s="479">
        <f>IF('[1]BASE'!ER78="","",'[1]BASE'!ER78)</f>
      </c>
      <c r="O77" s="479">
        <f>IF('[1]BASE'!ES78="","",'[1]BASE'!ES78)</f>
      </c>
      <c r="P77" s="479">
        <f>IF('[1]BASE'!ET78="","",'[1]BASE'!ET78)</f>
      </c>
      <c r="Q77" s="479">
        <f>IF('[1]BASE'!EU78="","",'[1]BASE'!EU78)</f>
      </c>
      <c r="R77" s="479">
        <f>IF('[1]BASE'!EV78="","",'[1]BASE'!EV78)</f>
      </c>
      <c r="S77" s="479">
        <f>IF('[1]BASE'!EW78="","",'[1]BASE'!EW78)</f>
      </c>
      <c r="T77" s="479">
        <f>IF('[1]BASE'!EX78="","",'[1]BASE'!EX78)</f>
      </c>
      <c r="U77" s="480"/>
      <c r="V77" s="475"/>
    </row>
    <row r="78" spans="2:22" s="469" customFormat="1" ht="19.5" customHeight="1">
      <c r="B78" s="470"/>
      <c r="C78" s="483">
        <f>IF('[1]BASE'!C79="","",'[1]BASE'!C79)</f>
        <v>63</v>
      </c>
      <c r="D78" s="483">
        <f>IF('[1]BASE'!D79="","",'[1]BASE'!D79)</f>
        <v>1544</v>
      </c>
      <c r="E78" s="483" t="str">
        <f>IF('[1]BASE'!E79="","",'[1]BASE'!E79)</f>
        <v>PUNTA ALTA - C. PIEDRABUENA</v>
      </c>
      <c r="F78" s="483">
        <f>IF('[1]BASE'!F79="","",'[1]BASE'!F79)</f>
        <v>132</v>
      </c>
      <c r="G78" s="484">
        <f>IF('[1]BASE'!G79="","",'[1]BASE'!G79)</f>
        <v>25</v>
      </c>
      <c r="H78" s="478" t="str">
        <f>'[1]BASE'!H79</f>
        <v>C</v>
      </c>
      <c r="I78" s="479">
        <f>IF('[1]BASE'!EM79="","",'[1]BASE'!EM79)</f>
      </c>
      <c r="J78" s="479">
        <f>IF('[1]BASE'!EN79="","",'[1]BASE'!EN79)</f>
        <v>1</v>
      </c>
      <c r="K78" s="479">
        <f>IF('[1]BASE'!EO79="","",'[1]BASE'!EO79)</f>
        <v>1</v>
      </c>
      <c r="L78" s="479">
        <f>IF('[1]BASE'!EP79="","",'[1]BASE'!EP79)</f>
      </c>
      <c r="M78" s="479">
        <f>IF('[1]BASE'!EQ79="","",'[1]BASE'!EQ79)</f>
      </c>
      <c r="N78" s="479">
        <f>IF('[1]BASE'!ER79="","",'[1]BASE'!ER79)</f>
      </c>
      <c r="O78" s="479">
        <f>IF('[1]BASE'!ES79="","",'[1]BASE'!ES79)</f>
      </c>
      <c r="P78" s="479">
        <f>IF('[1]BASE'!ET79="","",'[1]BASE'!ET79)</f>
      </c>
      <c r="Q78" s="479">
        <f>IF('[1]BASE'!EU79="","",'[1]BASE'!EU79)</f>
      </c>
      <c r="R78" s="479">
        <f>IF('[1]BASE'!EV79="","",'[1]BASE'!EV79)</f>
      </c>
      <c r="S78" s="479">
        <f>IF('[1]BASE'!EW79="","",'[1]BASE'!EW79)</f>
      </c>
      <c r="T78" s="479">
        <f>IF('[1]BASE'!EX79="","",'[1]BASE'!EX79)</f>
      </c>
      <c r="U78" s="480"/>
      <c r="V78" s="475"/>
    </row>
    <row r="79" spans="2:22" s="469" customFormat="1" ht="19.5" customHeight="1">
      <c r="B79" s="470"/>
      <c r="C79" s="481">
        <f>IF('[1]BASE'!C80="","",'[1]BASE'!C80)</f>
        <v>64</v>
      </c>
      <c r="D79" s="481">
        <f>IF('[1]BASE'!D80="","",'[1]BASE'!D80)</f>
        <v>2741</v>
      </c>
      <c r="E79" s="481" t="str">
        <f>IF('[1]BASE'!E80="","",'[1]BASE'!E80)</f>
        <v>RAMALLO - URBANA SAN NICOLAS</v>
      </c>
      <c r="F79" s="481">
        <f>IF('[1]BASE'!F80="","",'[1]BASE'!F80)</f>
        <v>132</v>
      </c>
      <c r="G79" s="482">
        <f>IF('[1]BASE'!G80="","",'[1]BASE'!G80)</f>
        <v>13</v>
      </c>
      <c r="H79" s="478" t="str">
        <f>'[1]BASE'!H80</f>
        <v>C</v>
      </c>
      <c r="I79" s="479">
        <f>IF('[1]BASE'!EM80="","",'[1]BASE'!EM80)</f>
      </c>
      <c r="J79" s="479">
        <f>IF('[1]BASE'!EN80="","",'[1]BASE'!EN80)</f>
      </c>
      <c r="K79" s="479">
        <f>IF('[1]BASE'!EO80="","",'[1]BASE'!EO80)</f>
      </c>
      <c r="L79" s="479">
        <f>IF('[1]BASE'!EP80="","",'[1]BASE'!EP80)</f>
      </c>
      <c r="M79" s="479">
        <f>IF('[1]BASE'!EQ80="","",'[1]BASE'!EQ80)</f>
      </c>
      <c r="N79" s="479">
        <f>IF('[1]BASE'!ER80="","",'[1]BASE'!ER80)</f>
      </c>
      <c r="O79" s="479">
        <f>IF('[1]BASE'!ES80="","",'[1]BASE'!ES80)</f>
      </c>
      <c r="P79" s="479">
        <f>IF('[1]BASE'!ET80="","",'[1]BASE'!ET80)</f>
      </c>
      <c r="Q79" s="479">
        <f>IF('[1]BASE'!EU80="","",'[1]BASE'!EU80)</f>
        <v>1</v>
      </c>
      <c r="R79" s="479">
        <f>IF('[1]BASE'!EV80="","",'[1]BASE'!EV80)</f>
      </c>
      <c r="S79" s="479">
        <f>IF('[1]BASE'!EW80="","",'[1]BASE'!EW80)</f>
      </c>
      <c r="T79" s="479">
        <f>IF('[1]BASE'!EX80="","",'[1]BASE'!EX80)</f>
      </c>
      <c r="U79" s="480"/>
      <c r="V79" s="475"/>
    </row>
    <row r="80" spans="2:22" s="469" customFormat="1" ht="19.5" customHeight="1">
      <c r="B80" s="470"/>
      <c r="C80" s="483">
        <f>IF('[1]BASE'!C81="","",'[1]BASE'!C81)</f>
        <v>65</v>
      </c>
      <c r="D80" s="483">
        <f>IF('[1]BASE'!D81="","",'[1]BASE'!D81)</f>
        <v>1418</v>
      </c>
      <c r="E80" s="483" t="str">
        <f>IF('[1]BASE'!E81="","",'[1]BASE'!E81)</f>
        <v>ROJAS - JUNIN</v>
      </c>
      <c r="F80" s="483">
        <f>IF('[1]BASE'!F81="","",'[1]BASE'!F81)</f>
        <v>132</v>
      </c>
      <c r="G80" s="484">
        <f>IF('[1]BASE'!G81="","",'[1]BASE'!G81)</f>
        <v>47.7</v>
      </c>
      <c r="H80" s="478" t="str">
        <f>'[1]BASE'!H81</f>
        <v>C</v>
      </c>
      <c r="I80" s="479">
        <f>IF('[1]BASE'!EM81="","",'[1]BASE'!EM81)</f>
      </c>
      <c r="J80" s="479">
        <f>IF('[1]BASE'!EN81="","",'[1]BASE'!EN81)</f>
      </c>
      <c r="K80" s="479">
        <f>IF('[1]BASE'!EO81="","",'[1]BASE'!EO81)</f>
      </c>
      <c r="L80" s="479">
        <f>IF('[1]BASE'!EP81="","",'[1]BASE'!EP81)</f>
      </c>
      <c r="M80" s="479">
        <f>IF('[1]BASE'!EQ81="","",'[1]BASE'!EQ81)</f>
      </c>
      <c r="N80" s="479">
        <f>IF('[1]BASE'!ER81="","",'[1]BASE'!ER81)</f>
      </c>
      <c r="O80" s="479">
        <f>IF('[1]BASE'!ES81="","",'[1]BASE'!ES81)</f>
      </c>
      <c r="P80" s="479">
        <f>IF('[1]BASE'!ET81="","",'[1]BASE'!ET81)</f>
      </c>
      <c r="Q80" s="479">
        <f>IF('[1]BASE'!EU81="","",'[1]BASE'!EU81)</f>
      </c>
      <c r="R80" s="479">
        <f>IF('[1]BASE'!EV81="","",'[1]BASE'!EV81)</f>
      </c>
      <c r="S80" s="479">
        <f>IF('[1]BASE'!EW81="","",'[1]BASE'!EW81)</f>
      </c>
      <c r="T80" s="479">
        <f>IF('[1]BASE'!EX81="","",'[1]BASE'!EX81)</f>
      </c>
      <c r="U80" s="480"/>
      <c r="V80" s="475"/>
    </row>
    <row r="81" spans="2:22" s="469" customFormat="1" ht="19.5" customHeight="1">
      <c r="B81" s="470"/>
      <c r="C81" s="481">
        <f>IF('[1]BASE'!C82="","",'[1]BASE'!C82)</f>
        <v>66</v>
      </c>
      <c r="D81" s="481">
        <f>IF('[1]BASE'!D82="","",'[1]BASE'!D82)</f>
        <v>1407</v>
      </c>
      <c r="E81" s="481" t="str">
        <f>IF('[1]BASE'!E82="","",'[1]BASE'!E82)</f>
        <v>SALADILLO - LAS FLORES</v>
      </c>
      <c r="F81" s="481">
        <f>IF('[1]BASE'!F82="","",'[1]BASE'!F82)</f>
        <v>132</v>
      </c>
      <c r="G81" s="482">
        <f>IF('[1]BASE'!G82="","",'[1]BASE'!G82)</f>
        <v>76.3</v>
      </c>
      <c r="H81" s="478" t="str">
        <f>'[1]BASE'!H82</f>
        <v>C</v>
      </c>
      <c r="I81" s="479">
        <f>IF('[1]BASE'!EM82="","",'[1]BASE'!EM82)</f>
      </c>
      <c r="J81" s="479">
        <f>IF('[1]BASE'!EN82="","",'[1]BASE'!EN82)</f>
      </c>
      <c r="K81" s="479">
        <f>IF('[1]BASE'!EO82="","",'[1]BASE'!EO82)</f>
      </c>
      <c r="L81" s="479">
        <f>IF('[1]BASE'!EP82="","",'[1]BASE'!EP82)</f>
      </c>
      <c r="M81" s="479">
        <f>IF('[1]BASE'!EQ82="","",'[1]BASE'!EQ82)</f>
        <v>1</v>
      </c>
      <c r="N81" s="479">
        <f>IF('[1]BASE'!ER82="","",'[1]BASE'!ER82)</f>
        <v>1</v>
      </c>
      <c r="O81" s="479">
        <f>IF('[1]BASE'!ES82="","",'[1]BASE'!ES82)</f>
      </c>
      <c r="P81" s="479">
        <f>IF('[1]BASE'!ET82="","",'[1]BASE'!ET82)</f>
        <v>1</v>
      </c>
      <c r="Q81" s="479">
        <f>IF('[1]BASE'!EU82="","",'[1]BASE'!EU82)</f>
      </c>
      <c r="R81" s="479">
        <f>IF('[1]BASE'!EV82="","",'[1]BASE'!EV82)</f>
      </c>
      <c r="S81" s="479">
        <f>IF('[1]BASE'!EW82="","",'[1]BASE'!EW82)</f>
      </c>
      <c r="T81" s="479">
        <f>IF('[1]BASE'!EX82="","",'[1]BASE'!EX82)</f>
      </c>
      <c r="U81" s="480"/>
      <c r="V81" s="475"/>
    </row>
    <row r="82" spans="2:22" s="469" customFormat="1" ht="19.5" customHeight="1">
      <c r="B82" s="470"/>
      <c r="C82" s="483">
        <f>IF('[1]BASE'!C83="","",'[1]BASE'!C83)</f>
        <v>67</v>
      </c>
      <c r="D82" s="483">
        <f>IF('[1]BASE'!D83="","",'[1]BASE'!D83)</f>
        <v>1439</v>
      </c>
      <c r="E82" s="483" t="str">
        <f>IF('[1]BASE'!E83="","",'[1]BASE'!E83)</f>
        <v>SAN CLEMENTE - DOLORES</v>
      </c>
      <c r="F82" s="483">
        <f>IF('[1]BASE'!F83="","",'[1]BASE'!F83)</f>
        <v>132</v>
      </c>
      <c r="G82" s="484">
        <f>IF('[1]BASE'!G83="","",'[1]BASE'!G83)</f>
        <v>102.6</v>
      </c>
      <c r="H82" s="478" t="str">
        <f>'[1]BASE'!H83</f>
        <v>C</v>
      </c>
      <c r="I82" s="479">
        <f>IF('[1]BASE'!EM83="","",'[1]BASE'!EM83)</f>
      </c>
      <c r="J82" s="479">
        <f>IF('[1]BASE'!EN83="","",'[1]BASE'!EN83)</f>
      </c>
      <c r="K82" s="479">
        <f>IF('[1]BASE'!EO83="","",'[1]BASE'!EO83)</f>
      </c>
      <c r="L82" s="479">
        <f>IF('[1]BASE'!EP83="","",'[1]BASE'!EP83)</f>
      </c>
      <c r="M82" s="479">
        <f>IF('[1]BASE'!EQ83="","",'[1]BASE'!EQ83)</f>
      </c>
      <c r="N82" s="479">
        <f>IF('[1]BASE'!ER83="","",'[1]BASE'!ER83)</f>
      </c>
      <c r="O82" s="479">
        <f>IF('[1]BASE'!ES83="","",'[1]BASE'!ES83)</f>
      </c>
      <c r="P82" s="479">
        <f>IF('[1]BASE'!ET83="","",'[1]BASE'!ET83)</f>
      </c>
      <c r="Q82" s="479">
        <f>IF('[1]BASE'!EU83="","",'[1]BASE'!EU83)</f>
      </c>
      <c r="R82" s="479">
        <f>IF('[1]BASE'!EV83="","",'[1]BASE'!EV83)</f>
      </c>
      <c r="S82" s="479">
        <f>IF('[1]BASE'!EW83="","",'[1]BASE'!EW83)</f>
      </c>
      <c r="T82" s="479">
        <f>IF('[1]BASE'!EX83="","",'[1]BASE'!EX83)</f>
      </c>
      <c r="U82" s="480"/>
      <c r="V82" s="475"/>
    </row>
    <row r="83" spans="2:22" s="469" customFormat="1" ht="19.5" customHeight="1">
      <c r="B83" s="470"/>
      <c r="C83" s="481">
        <f>IF('[1]BASE'!C84="","",'[1]BASE'!C84)</f>
        <v>68</v>
      </c>
      <c r="D83" s="481" t="str">
        <f>IF('[1]BASE'!D84="","",'[1]BASE'!D84)</f>
        <v>C-000</v>
      </c>
      <c r="E83" s="481" t="str">
        <f>IF('[1]BASE'!E84="","",'[1]BASE'!E84)</f>
        <v>SAN CLEMENTE - MAR DEL TUYÚ - MAR DE AJÓ</v>
      </c>
      <c r="F83" s="481">
        <f>IF('[1]BASE'!F84="","",'[1]BASE'!F84)</f>
        <v>132</v>
      </c>
      <c r="G83" s="482">
        <f>IF('[1]BASE'!G84="","",'[1]BASE'!G84)</f>
        <v>39</v>
      </c>
      <c r="H83" s="478" t="str">
        <f>'[1]BASE'!H84</f>
        <v>B</v>
      </c>
      <c r="I83" s="479" t="str">
        <f>IF('[1]BASE'!EM84="","",'[1]BASE'!EM84)</f>
        <v>XXXX</v>
      </c>
      <c r="J83" s="479" t="str">
        <f>IF('[1]BASE'!EN84="","",'[1]BASE'!EN84)</f>
        <v>XXXX</v>
      </c>
      <c r="K83" s="479" t="str">
        <f>IF('[1]BASE'!EO84="","",'[1]BASE'!EO84)</f>
        <v>XXXX</v>
      </c>
      <c r="L83" s="479" t="str">
        <f>IF('[1]BASE'!EP84="","",'[1]BASE'!EP84)</f>
        <v>XXXX</v>
      </c>
      <c r="M83" s="479" t="str">
        <f>IF('[1]BASE'!EQ84="","",'[1]BASE'!EQ84)</f>
        <v>XXXX</v>
      </c>
      <c r="N83" s="479" t="str">
        <f>IF('[1]BASE'!ER84="","",'[1]BASE'!ER84)</f>
        <v>XXXX</v>
      </c>
      <c r="O83" s="479" t="str">
        <f>IF('[1]BASE'!ES84="","",'[1]BASE'!ES84)</f>
        <v>XXXX</v>
      </c>
      <c r="P83" s="479" t="str">
        <f>IF('[1]BASE'!ET84="","",'[1]BASE'!ET84)</f>
        <v>XXXX</v>
      </c>
      <c r="Q83" s="479" t="str">
        <f>IF('[1]BASE'!EU84="","",'[1]BASE'!EU84)</f>
        <v>XXXX</v>
      </c>
      <c r="R83" s="479" t="str">
        <f>IF('[1]BASE'!EV84="","",'[1]BASE'!EV84)</f>
        <v>XXXX</v>
      </c>
      <c r="S83" s="479" t="str">
        <f>IF('[1]BASE'!EW84="","",'[1]BASE'!EW84)</f>
        <v>XXXX</v>
      </c>
      <c r="T83" s="479" t="str">
        <f>IF('[1]BASE'!EX84="","",'[1]BASE'!EX84)</f>
        <v>XXXX</v>
      </c>
      <c r="U83" s="480"/>
      <c r="V83" s="475"/>
    </row>
    <row r="84" spans="2:22" s="469" customFormat="1" ht="19.5" customHeight="1">
      <c r="B84" s="470"/>
      <c r="C84" s="483">
        <f>IF('[1]BASE'!C85="","",'[1]BASE'!C85)</f>
        <v>69</v>
      </c>
      <c r="D84" s="483">
        <f>IF('[1]BASE'!D85="","",'[1]BASE'!D85)</f>
        <v>4293</v>
      </c>
      <c r="E84" s="483" t="str">
        <f>IF('[1]BASE'!E85="","",'[1]BASE'!E85)</f>
        <v>SAN CLEMENTE - LAS TONINAS</v>
      </c>
      <c r="F84" s="483">
        <f>IF('[1]BASE'!F85="","",'[1]BASE'!F85)</f>
        <v>132</v>
      </c>
      <c r="G84" s="484">
        <f>IF('[1]BASE'!G85="","",'[1]BASE'!G85)</f>
        <v>14.6</v>
      </c>
      <c r="H84" s="478" t="str">
        <f>'[1]BASE'!H85</f>
        <v>B</v>
      </c>
      <c r="I84" s="479">
        <f>IF('[1]BASE'!EM85="","",'[1]BASE'!EM85)</f>
      </c>
      <c r="J84" s="479">
        <f>IF('[1]BASE'!EN85="","",'[1]BASE'!EN85)</f>
      </c>
      <c r="K84" s="479">
        <f>IF('[1]BASE'!EO85="","",'[1]BASE'!EO85)</f>
      </c>
      <c r="L84" s="479">
        <f>IF('[1]BASE'!EP85="","",'[1]BASE'!EP85)</f>
      </c>
      <c r="M84" s="479">
        <f>IF('[1]BASE'!EQ85="","",'[1]BASE'!EQ85)</f>
      </c>
      <c r="N84" s="479">
        <f>IF('[1]BASE'!ER85="","",'[1]BASE'!ER85)</f>
      </c>
      <c r="O84" s="479">
        <f>IF('[1]BASE'!ES85="","",'[1]BASE'!ES85)</f>
      </c>
      <c r="P84" s="479">
        <f>IF('[1]BASE'!ET85="","",'[1]BASE'!ET85)</f>
      </c>
      <c r="Q84" s="479">
        <f>IF('[1]BASE'!EU85="","",'[1]BASE'!EU85)</f>
      </c>
      <c r="R84" s="479">
        <f>IF('[1]BASE'!EV85="","",'[1]BASE'!EV85)</f>
      </c>
      <c r="S84" s="479">
        <f>IF('[1]BASE'!EW85="","",'[1]BASE'!EW85)</f>
      </c>
      <c r="T84" s="479">
        <f>IF('[1]BASE'!EX85="","",'[1]BASE'!EX85)</f>
      </c>
      <c r="U84" s="480"/>
      <c r="V84" s="475"/>
    </row>
    <row r="85" spans="2:22" s="469" customFormat="1" ht="19.5" customHeight="1">
      <c r="B85" s="470"/>
      <c r="C85" s="481">
        <f>IF('[1]BASE'!C86="","",'[1]BASE'!C86)</f>
        <v>70</v>
      </c>
      <c r="D85" s="481" t="str">
        <f>IF('[1]BASE'!D86="","",'[1]BASE'!D86)</f>
        <v>CE-003</v>
      </c>
      <c r="E85" s="481" t="str">
        <f>IF('[1]BASE'!E86="","",'[1]BASE'!E86)</f>
        <v>LAS TONINAS-MAR DEL TUYU-MAR DE AJO</v>
      </c>
      <c r="F85" s="481">
        <f>IF('[1]BASE'!F86="","",'[1]BASE'!F86)</f>
        <v>132</v>
      </c>
      <c r="G85" s="482">
        <f>IF('[1]BASE'!G86="","",'[1]BASE'!G86)</f>
        <v>24.4</v>
      </c>
      <c r="H85" s="478" t="str">
        <f>'[1]BASE'!H86</f>
        <v>B</v>
      </c>
      <c r="I85" s="479">
        <f>IF('[1]BASE'!EM86="","",'[1]BASE'!EM86)</f>
      </c>
      <c r="J85" s="479">
        <f>IF('[1]BASE'!EN86="","",'[1]BASE'!EN86)</f>
      </c>
      <c r="K85" s="479">
        <f>IF('[1]BASE'!EO86="","",'[1]BASE'!EO86)</f>
      </c>
      <c r="L85" s="479">
        <f>IF('[1]BASE'!EP86="","",'[1]BASE'!EP86)</f>
      </c>
      <c r="M85" s="479">
        <f>IF('[1]BASE'!EQ86="","",'[1]BASE'!EQ86)</f>
      </c>
      <c r="N85" s="479">
        <f>IF('[1]BASE'!ER86="","",'[1]BASE'!ER86)</f>
      </c>
      <c r="O85" s="479">
        <f>IF('[1]BASE'!ES86="","",'[1]BASE'!ES86)</f>
      </c>
      <c r="P85" s="479">
        <f>IF('[1]BASE'!ET86="","",'[1]BASE'!ET86)</f>
      </c>
      <c r="Q85" s="479">
        <f>IF('[1]BASE'!EU86="","",'[1]BASE'!EU86)</f>
      </c>
      <c r="R85" s="479">
        <f>IF('[1]BASE'!EV86="","",'[1]BASE'!EV86)</f>
      </c>
      <c r="S85" s="479">
        <f>IF('[1]BASE'!EW86="","",'[1]BASE'!EW86)</f>
      </c>
      <c r="T85" s="479">
        <f>IF('[1]BASE'!EX86="","",'[1]BASE'!EX86)</f>
      </c>
      <c r="U85" s="480"/>
      <c r="V85" s="475"/>
    </row>
    <row r="86" spans="2:22" s="469" customFormat="1" ht="19.5" customHeight="1">
      <c r="B86" s="470"/>
      <c r="C86" s="483">
        <f>IF('[1]BASE'!C87="","",'[1]BASE'!C87)</f>
        <v>71</v>
      </c>
      <c r="D86" s="483">
        <f>IF('[1]BASE'!D87="","",'[1]BASE'!D87)</f>
        <v>1999</v>
      </c>
      <c r="E86" s="483" t="str">
        <f>IF('[1]BASE'!E87="","",'[1]BASE'!E87)</f>
        <v>SAN NICOLÁS - VILLA CONSTITUCIÓN IND.</v>
      </c>
      <c r="F86" s="483">
        <f>IF('[1]BASE'!F87="","",'[1]BASE'!F87)</f>
        <v>132</v>
      </c>
      <c r="G86" s="484">
        <f>IF('[1]BASE'!G87="","",'[1]BASE'!G87)</f>
        <v>14.7</v>
      </c>
      <c r="H86" s="478" t="str">
        <f>'[1]BASE'!H87</f>
        <v>C</v>
      </c>
      <c r="I86" s="479">
        <f>IF('[1]BASE'!EM87="","",'[1]BASE'!EM87)</f>
      </c>
      <c r="J86" s="479">
        <f>IF('[1]BASE'!EN87="","",'[1]BASE'!EN87)</f>
      </c>
      <c r="K86" s="479">
        <f>IF('[1]BASE'!EO87="","",'[1]BASE'!EO87)</f>
      </c>
      <c r="L86" s="479">
        <f>IF('[1]BASE'!EP87="","",'[1]BASE'!EP87)</f>
      </c>
      <c r="M86" s="479">
        <f>IF('[1]BASE'!EQ87="","",'[1]BASE'!EQ87)</f>
      </c>
      <c r="N86" s="479">
        <f>IF('[1]BASE'!ER87="","",'[1]BASE'!ER87)</f>
      </c>
      <c r="O86" s="479">
        <f>IF('[1]BASE'!ES87="","",'[1]BASE'!ES87)</f>
        <v>1</v>
      </c>
      <c r="P86" s="479">
        <f>IF('[1]BASE'!ET87="","",'[1]BASE'!ET87)</f>
      </c>
      <c r="Q86" s="479">
        <f>IF('[1]BASE'!EU87="","",'[1]BASE'!EU87)</f>
      </c>
      <c r="R86" s="479">
        <f>IF('[1]BASE'!EV87="","",'[1]BASE'!EV87)</f>
        <v>1</v>
      </c>
      <c r="S86" s="479">
        <f>IF('[1]BASE'!EW87="","",'[1]BASE'!EW87)</f>
      </c>
      <c r="T86" s="479">
        <f>IF('[1]BASE'!EX87="","",'[1]BASE'!EX87)</f>
      </c>
      <c r="U86" s="480"/>
      <c r="V86" s="475"/>
    </row>
    <row r="87" spans="2:22" s="469" customFormat="1" ht="19.5" customHeight="1">
      <c r="B87" s="470"/>
      <c r="C87" s="481">
        <f>IF('[1]BASE'!C88="","",'[1]BASE'!C88)</f>
        <v>72</v>
      </c>
      <c r="D87" s="481">
        <f>IF('[1]BASE'!D88="","",'[1]BASE'!D88)</f>
        <v>1997</v>
      </c>
      <c r="E87" s="481" t="str">
        <f>IF('[1]BASE'!E88="","",'[1]BASE'!E88)</f>
        <v>SAN NICOLÁS - VILLA CONSTITUCIÓN RES.</v>
      </c>
      <c r="F87" s="481">
        <f>IF('[1]BASE'!F88="","",'[1]BASE'!F88)</f>
        <v>132</v>
      </c>
      <c r="G87" s="482">
        <f>IF('[1]BASE'!G88="","",'[1]BASE'!G88)</f>
        <v>13.6</v>
      </c>
      <c r="H87" s="478" t="str">
        <f>'[1]BASE'!H88</f>
        <v>B</v>
      </c>
      <c r="I87" s="479">
        <f>IF('[1]BASE'!EM88="","",'[1]BASE'!EM88)</f>
      </c>
      <c r="J87" s="479">
        <f>IF('[1]BASE'!EN88="","",'[1]BASE'!EN88)</f>
      </c>
      <c r="K87" s="479">
        <f>IF('[1]BASE'!EO88="","",'[1]BASE'!EO88)</f>
      </c>
      <c r="L87" s="479">
        <f>IF('[1]BASE'!EP88="","",'[1]BASE'!EP88)</f>
      </c>
      <c r="M87" s="479">
        <f>IF('[1]BASE'!EQ88="","",'[1]BASE'!EQ88)</f>
      </c>
      <c r="N87" s="479">
        <f>IF('[1]BASE'!ER88="","",'[1]BASE'!ER88)</f>
      </c>
      <c r="O87" s="479">
        <f>IF('[1]BASE'!ES88="","",'[1]BASE'!ES88)</f>
      </c>
      <c r="P87" s="479">
        <f>IF('[1]BASE'!ET88="","",'[1]BASE'!ET88)</f>
      </c>
      <c r="Q87" s="479">
        <f>IF('[1]BASE'!EU88="","",'[1]BASE'!EU88)</f>
      </c>
      <c r="R87" s="479">
        <f>IF('[1]BASE'!EV88="","",'[1]BASE'!EV88)</f>
      </c>
      <c r="S87" s="479">
        <f>IF('[1]BASE'!EW88="","",'[1]BASE'!EW88)</f>
      </c>
      <c r="T87" s="479">
        <f>IF('[1]BASE'!EX88="","",'[1]BASE'!EX88)</f>
      </c>
      <c r="U87" s="480"/>
      <c r="V87" s="475"/>
    </row>
    <row r="88" spans="2:22" s="469" customFormat="1" ht="19.5" customHeight="1">
      <c r="B88" s="470"/>
      <c r="C88" s="483">
        <f>IF('[1]BASE'!C89="","",'[1]BASE'!C89)</f>
        <v>73</v>
      </c>
      <c r="D88" s="483" t="str">
        <f>IF('[1]BASE'!D89="","",'[1]BASE'!D89)</f>
        <v>CE-000</v>
      </c>
      <c r="E88" s="483" t="str">
        <f>IF('[1]BASE'!E89="","",'[1]BASE'!E89)</f>
        <v>SAN NICOLAS EXTG - SAN NICOLAS</v>
      </c>
      <c r="F88" s="483">
        <f>IF('[1]BASE'!F89="","",'[1]BASE'!F89)</f>
        <v>132</v>
      </c>
      <c r="G88" s="484">
        <f>IF('[1]BASE'!G89="","",'[1]BASE'!G89)</f>
        <v>0.4</v>
      </c>
      <c r="H88" s="478" t="str">
        <f>'[1]BASE'!H89</f>
        <v>C</v>
      </c>
      <c r="I88" s="479" t="str">
        <f>IF('[1]BASE'!EM89="","",'[1]BASE'!EM89)</f>
        <v>XXXX</v>
      </c>
      <c r="J88" s="479" t="str">
        <f>IF('[1]BASE'!EN89="","",'[1]BASE'!EN89)</f>
        <v>XXXX</v>
      </c>
      <c r="K88" s="479" t="str">
        <f>IF('[1]BASE'!EO89="","",'[1]BASE'!EO89)</f>
        <v>XXXX</v>
      </c>
      <c r="L88" s="479" t="str">
        <f>IF('[1]BASE'!EP89="","",'[1]BASE'!EP89)</f>
        <v>XXXX</v>
      </c>
      <c r="M88" s="479" t="str">
        <f>IF('[1]BASE'!EQ89="","",'[1]BASE'!EQ89)</f>
        <v>XXXX</v>
      </c>
      <c r="N88" s="479" t="str">
        <f>IF('[1]BASE'!ER89="","",'[1]BASE'!ER89)</f>
        <v>XXXX</v>
      </c>
      <c r="O88" s="479" t="str">
        <f>IF('[1]BASE'!ES89="","",'[1]BASE'!ES89)</f>
        <v>XXXX</v>
      </c>
      <c r="P88" s="479" t="str">
        <f>IF('[1]BASE'!ET89="","",'[1]BASE'!ET89)</f>
        <v>XXXX</v>
      </c>
      <c r="Q88" s="479" t="str">
        <f>IF('[1]BASE'!EU89="","",'[1]BASE'!EU89)</f>
        <v>XXXX</v>
      </c>
      <c r="R88" s="479" t="str">
        <f>IF('[1]BASE'!EV89="","",'[1]BASE'!EV89)</f>
        <v>XXXX</v>
      </c>
      <c r="S88" s="479" t="str">
        <f>IF('[1]BASE'!EW89="","",'[1]BASE'!EW89)</f>
        <v>XXXX</v>
      </c>
      <c r="T88" s="479" t="str">
        <f>IF('[1]BASE'!EX89="","",'[1]BASE'!EX89)</f>
        <v>XXXX</v>
      </c>
      <c r="U88" s="480"/>
      <c r="V88" s="475"/>
    </row>
    <row r="89" spans="2:22" s="469" customFormat="1" ht="19.5" customHeight="1">
      <c r="B89" s="470"/>
      <c r="C89" s="481">
        <f>IF('[1]BASE'!C90="","",'[1]BASE'!C90)</f>
        <v>74</v>
      </c>
      <c r="D89" s="481">
        <f>IF('[1]BASE'!D90="","",'[1]BASE'!D90)</f>
        <v>2957</v>
      </c>
      <c r="E89" s="481" t="str">
        <f>IF('[1]BASE'!E90="","",'[1]BASE'!E90)</f>
        <v>SAN PEDRO - EASTMAN T</v>
      </c>
      <c r="F89" s="481">
        <f>IF('[1]BASE'!F90="","",'[1]BASE'!F90)</f>
        <v>132</v>
      </c>
      <c r="G89" s="482">
        <f>IF('[1]BASE'!G90="","",'[1]BASE'!G90)</f>
        <v>63.1</v>
      </c>
      <c r="H89" s="478" t="str">
        <f>'[1]BASE'!H90</f>
        <v>C</v>
      </c>
      <c r="I89" s="479">
        <f>IF('[1]BASE'!EM90="","",'[1]BASE'!EM90)</f>
      </c>
      <c r="J89" s="479">
        <f>IF('[1]BASE'!EN90="","",'[1]BASE'!EN90)</f>
        <v>1</v>
      </c>
      <c r="K89" s="479">
        <f>IF('[1]BASE'!EO90="","",'[1]BASE'!EO90)</f>
      </c>
      <c r="L89" s="479">
        <f>IF('[1]BASE'!EP90="","",'[1]BASE'!EP90)</f>
      </c>
      <c r="M89" s="479">
        <f>IF('[1]BASE'!EQ90="","",'[1]BASE'!EQ90)</f>
      </c>
      <c r="N89" s="479">
        <f>IF('[1]BASE'!ER90="","",'[1]BASE'!ER90)</f>
      </c>
      <c r="O89" s="479">
        <f>IF('[1]BASE'!ES90="","",'[1]BASE'!ES90)</f>
        <v>1</v>
      </c>
      <c r="P89" s="479">
        <f>IF('[1]BASE'!ET90="","",'[1]BASE'!ET90)</f>
      </c>
      <c r="Q89" s="479">
        <f>IF('[1]BASE'!EU90="","",'[1]BASE'!EU90)</f>
      </c>
      <c r="R89" s="479">
        <f>IF('[1]BASE'!EV90="","",'[1]BASE'!EV90)</f>
      </c>
      <c r="S89" s="479">
        <f>IF('[1]BASE'!EW90="","",'[1]BASE'!EW90)</f>
      </c>
      <c r="T89" s="479" t="str">
        <f>IF('[1]BASE'!EX90="","",'[1]BASE'!EX90)</f>
        <v>XXXX</v>
      </c>
      <c r="U89" s="480"/>
      <c r="V89" s="475"/>
    </row>
    <row r="90" spans="2:22" s="469" customFormat="1" ht="19.5" customHeight="1">
      <c r="B90" s="470"/>
      <c r="C90" s="483">
        <f>IF('[1]BASE'!C91="","",'[1]BASE'!C91)</f>
        <v>75</v>
      </c>
      <c r="D90" s="483">
        <f>IF('[1]BASE'!D91="","",'[1]BASE'!D91)</f>
        <v>1427</v>
      </c>
      <c r="E90" s="483" t="str">
        <f>IF('[1]BASE'!E91="","",'[1]BASE'!E91)</f>
        <v>SAN PEDRO - PAPEL PRENSA</v>
      </c>
      <c r="F90" s="483">
        <f>IF('[1]BASE'!F91="","",'[1]BASE'!F91)</f>
        <v>132</v>
      </c>
      <c r="G90" s="484">
        <f>IF('[1]BASE'!G91="","",'[1]BASE'!G91)</f>
        <v>10.9</v>
      </c>
      <c r="H90" s="478" t="str">
        <f>'[1]BASE'!H91</f>
        <v>B</v>
      </c>
      <c r="I90" s="479">
        <f>IF('[1]BASE'!EM91="","",'[1]BASE'!EM91)</f>
      </c>
      <c r="J90" s="479">
        <f>IF('[1]BASE'!EN91="","",'[1]BASE'!EN91)</f>
      </c>
      <c r="K90" s="479">
        <f>IF('[1]BASE'!EO91="","",'[1]BASE'!EO91)</f>
      </c>
      <c r="L90" s="479">
        <f>IF('[1]BASE'!EP91="","",'[1]BASE'!EP91)</f>
      </c>
      <c r="M90" s="479">
        <f>IF('[1]BASE'!EQ91="","",'[1]BASE'!EQ91)</f>
      </c>
      <c r="N90" s="479">
        <f>IF('[1]BASE'!ER91="","",'[1]BASE'!ER91)</f>
      </c>
      <c r="O90" s="479">
        <f>IF('[1]BASE'!ES91="","",'[1]BASE'!ES91)</f>
      </c>
      <c r="P90" s="479">
        <f>IF('[1]BASE'!ET91="","",'[1]BASE'!ET91)</f>
      </c>
      <c r="Q90" s="479">
        <f>IF('[1]BASE'!EU91="","",'[1]BASE'!EU91)</f>
      </c>
      <c r="R90" s="479">
        <f>IF('[1]BASE'!EV91="","",'[1]BASE'!EV91)</f>
      </c>
      <c r="S90" s="479">
        <f>IF('[1]BASE'!EW91="","",'[1]BASE'!EW91)</f>
      </c>
      <c r="T90" s="479">
        <f>IF('[1]BASE'!EX91="","",'[1]BASE'!EX91)</f>
      </c>
      <c r="U90" s="480"/>
      <c r="V90" s="475"/>
    </row>
    <row r="91" spans="2:22" s="469" customFormat="1" ht="19.5" customHeight="1">
      <c r="B91" s="470"/>
      <c r="C91" s="481">
        <f>IF('[1]BASE'!C92="","",'[1]BASE'!C92)</f>
        <v>76</v>
      </c>
      <c r="D91" s="481" t="str">
        <f>IF('[1]BASE'!D92="","",'[1]BASE'!D92)</f>
        <v>CE-000</v>
      </c>
      <c r="E91" s="481" t="str">
        <f>IF('[1]BASE'!E92="","",'[1]BASE'!E92)</f>
        <v>SAN PEDRO - SAN NICOLÁS</v>
      </c>
      <c r="F91" s="481">
        <f>IF('[1]BASE'!F92="","",'[1]BASE'!F92)</f>
        <v>132</v>
      </c>
      <c r="G91" s="482">
        <f>IF('[1]BASE'!G92="","",'[1]BASE'!G92)</f>
        <v>65</v>
      </c>
      <c r="H91" s="478" t="str">
        <f>'[1]BASE'!H92</f>
        <v>C</v>
      </c>
      <c r="I91" s="479" t="str">
        <f>IF('[1]BASE'!EM92="","",'[1]BASE'!EM92)</f>
        <v>XXXX</v>
      </c>
      <c r="J91" s="479" t="str">
        <f>IF('[1]BASE'!EN92="","",'[1]BASE'!EN92)</f>
        <v>XXXX</v>
      </c>
      <c r="K91" s="479" t="str">
        <f>IF('[1]BASE'!EO92="","",'[1]BASE'!EO92)</f>
        <v>XXXX</v>
      </c>
      <c r="L91" s="479" t="str">
        <f>IF('[1]BASE'!EP92="","",'[1]BASE'!EP92)</f>
        <v>XXXX</v>
      </c>
      <c r="M91" s="479" t="str">
        <f>IF('[1]BASE'!EQ92="","",'[1]BASE'!EQ92)</f>
        <v>XXXX</v>
      </c>
      <c r="N91" s="479" t="str">
        <f>IF('[1]BASE'!ER92="","",'[1]BASE'!ER92)</f>
        <v>XXXX</v>
      </c>
      <c r="O91" s="479" t="str">
        <f>IF('[1]BASE'!ES92="","",'[1]BASE'!ES92)</f>
        <v>XXXX</v>
      </c>
      <c r="P91" s="479" t="str">
        <f>IF('[1]BASE'!ET92="","",'[1]BASE'!ET92)</f>
        <v>XXXX</v>
      </c>
      <c r="Q91" s="479" t="str">
        <f>IF('[1]BASE'!EU92="","",'[1]BASE'!EU92)</f>
        <v>XXXX</v>
      </c>
      <c r="R91" s="479" t="str">
        <f>IF('[1]BASE'!EV92="","",'[1]BASE'!EV92)</f>
        <v>XXXX</v>
      </c>
      <c r="S91" s="479" t="str">
        <f>IF('[1]BASE'!EW92="","",'[1]BASE'!EW92)</f>
        <v>XXXX</v>
      </c>
      <c r="T91" s="479" t="str">
        <f>IF('[1]BASE'!EX92="","",'[1]BASE'!EX92)</f>
        <v>XXXX</v>
      </c>
      <c r="U91" s="480"/>
      <c r="V91" s="475"/>
    </row>
    <row r="92" spans="2:22" s="469" customFormat="1" ht="19.5" customHeight="1">
      <c r="B92" s="470"/>
      <c r="C92" s="483">
        <f>IF('[1]BASE'!C93="","",'[1]BASE'!C93)</f>
        <v>77</v>
      </c>
      <c r="D92" s="483">
        <f>IF('[1]BASE'!D93="","",'[1]BASE'!D93)</f>
        <v>4277</v>
      </c>
      <c r="E92" s="483" t="str">
        <f>IF('[1]BASE'!E93="","",'[1]BASE'!E93)</f>
        <v>SAN PEDRO - RAMALLO INDUSTRIAL</v>
      </c>
      <c r="F92" s="483">
        <f>IF('[1]BASE'!F93="","",'[1]BASE'!F93)</f>
        <v>132</v>
      </c>
      <c r="G92" s="484">
        <f>IF('[1]BASE'!G93="","",'[1]BASE'!G93)</f>
        <v>58</v>
      </c>
      <c r="H92" s="478" t="str">
        <f>'[1]BASE'!H93</f>
        <v>C</v>
      </c>
      <c r="I92" s="479">
        <f>IF('[1]BASE'!EM93="","",'[1]BASE'!EM93)</f>
      </c>
      <c r="J92" s="479">
        <f>IF('[1]BASE'!EN93="","",'[1]BASE'!EN93)</f>
        <v>1</v>
      </c>
      <c r="K92" s="479">
        <f>IF('[1]BASE'!EO93="","",'[1]BASE'!EO93)</f>
      </c>
      <c r="L92" s="479">
        <f>IF('[1]BASE'!EP93="","",'[1]BASE'!EP93)</f>
      </c>
      <c r="M92" s="479">
        <f>IF('[1]BASE'!EQ93="","",'[1]BASE'!EQ93)</f>
      </c>
      <c r="N92" s="479">
        <f>IF('[1]BASE'!ER93="","",'[1]BASE'!ER93)</f>
      </c>
      <c r="O92" s="479">
        <f>IF('[1]BASE'!ES93="","",'[1]BASE'!ES93)</f>
        <v>1</v>
      </c>
      <c r="P92" s="479">
        <f>IF('[1]BASE'!ET93="","",'[1]BASE'!ET93)</f>
      </c>
      <c r="Q92" s="479">
        <f>IF('[1]BASE'!EU93="","",'[1]BASE'!EU93)</f>
      </c>
      <c r="R92" s="479">
        <f>IF('[1]BASE'!EV93="","",'[1]BASE'!EV93)</f>
      </c>
      <c r="S92" s="479">
        <f>IF('[1]BASE'!EW93="","",'[1]BASE'!EW93)</f>
      </c>
      <c r="T92" s="479">
        <f>IF('[1]BASE'!EX93="","",'[1]BASE'!EX93)</f>
      </c>
      <c r="U92" s="480"/>
      <c r="V92" s="475"/>
    </row>
    <row r="93" spans="2:22" s="469" customFormat="1" ht="19.5" customHeight="1">
      <c r="B93" s="470"/>
      <c r="C93" s="481">
        <f>IF('[1]BASE'!C94="","",'[1]BASE'!C94)</f>
        <v>78</v>
      </c>
      <c r="D93" s="481">
        <f>IF('[1]BASE'!D94="","",'[1]BASE'!D94)</f>
        <v>4278</v>
      </c>
      <c r="E93" s="481" t="str">
        <f>IF('[1]BASE'!E94="","",'[1]BASE'!E94)</f>
        <v>SAN NICOLÁS - RAMALLO INDUSTRIAL</v>
      </c>
      <c r="F93" s="481">
        <f>IF('[1]BASE'!F94="","",'[1]BASE'!F94)</f>
        <v>132</v>
      </c>
      <c r="G93" s="482">
        <f>IF('[1]BASE'!G94="","",'[1]BASE'!G94)</f>
        <v>23.5</v>
      </c>
      <c r="H93" s="478" t="str">
        <f>'[1]BASE'!H94</f>
        <v>C</v>
      </c>
      <c r="I93" s="479">
        <f>IF('[1]BASE'!EM94="","",'[1]BASE'!EM94)</f>
      </c>
      <c r="J93" s="479">
        <f>IF('[1]BASE'!EN94="","",'[1]BASE'!EN94)</f>
      </c>
      <c r="K93" s="479">
        <f>IF('[1]BASE'!EO94="","",'[1]BASE'!EO94)</f>
      </c>
      <c r="L93" s="479">
        <f>IF('[1]BASE'!EP94="","",'[1]BASE'!EP94)</f>
      </c>
      <c r="M93" s="479">
        <f>IF('[1]BASE'!EQ94="","",'[1]BASE'!EQ94)</f>
      </c>
      <c r="N93" s="479">
        <f>IF('[1]BASE'!ER94="","",'[1]BASE'!ER94)</f>
      </c>
      <c r="O93" s="479">
        <f>IF('[1]BASE'!ES94="","",'[1]BASE'!ES94)</f>
      </c>
      <c r="P93" s="479">
        <f>IF('[1]BASE'!ET94="","",'[1]BASE'!ET94)</f>
      </c>
      <c r="Q93" s="479">
        <f>IF('[1]BASE'!EU94="","",'[1]BASE'!EU94)</f>
      </c>
      <c r="R93" s="479">
        <f>IF('[1]BASE'!EV94="","",'[1]BASE'!EV94)</f>
      </c>
      <c r="S93" s="479">
        <f>IF('[1]BASE'!EW94="","",'[1]BASE'!EW94)</f>
      </c>
      <c r="T93" s="479" t="str">
        <f>IF('[1]BASE'!EX94="","",'[1]BASE'!EX94)</f>
        <v>XXXX</v>
      </c>
      <c r="U93" s="480"/>
      <c r="V93" s="475"/>
    </row>
    <row r="94" spans="2:22" s="469" customFormat="1" ht="19.5" customHeight="1">
      <c r="B94" s="470"/>
      <c r="C94" s="483">
        <f>IF('[1]BASE'!C95="","",'[1]BASE'!C95)</f>
        <v>79</v>
      </c>
      <c r="D94" s="483">
        <f>IF('[1]BASE'!D95="","",'[1]BASE'!D95)</f>
        <v>1517</v>
      </c>
      <c r="E94" s="483" t="str">
        <f>IF('[1]BASE'!E95="","",'[1]BASE'!E95)</f>
        <v>TANDIL - BALCARCE</v>
      </c>
      <c r="F94" s="483">
        <f>IF('[1]BASE'!F95="","",'[1]BASE'!F95)</f>
        <v>132</v>
      </c>
      <c r="G94" s="484">
        <f>IF('[1]BASE'!G95="","",'[1]BASE'!G95)</f>
        <v>103.6</v>
      </c>
      <c r="H94" s="478" t="str">
        <f>'[1]BASE'!H95</f>
        <v>C</v>
      </c>
      <c r="I94" s="479">
        <f>IF('[1]BASE'!EM95="","",'[1]BASE'!EM95)</f>
      </c>
      <c r="J94" s="479">
        <f>IF('[1]BASE'!EN95="","",'[1]BASE'!EN95)</f>
      </c>
      <c r="K94" s="479">
        <f>IF('[1]BASE'!EO95="","",'[1]BASE'!EO95)</f>
      </c>
      <c r="L94" s="479">
        <f>IF('[1]BASE'!EP95="","",'[1]BASE'!EP95)</f>
      </c>
      <c r="M94" s="479">
        <f>IF('[1]BASE'!EQ95="","",'[1]BASE'!EQ95)</f>
      </c>
      <c r="N94" s="479">
        <f>IF('[1]BASE'!ER95="","",'[1]BASE'!ER95)</f>
      </c>
      <c r="O94" s="479">
        <f>IF('[1]BASE'!ES95="","",'[1]BASE'!ES95)</f>
      </c>
      <c r="P94" s="479">
        <f>IF('[1]BASE'!ET95="","",'[1]BASE'!ET95)</f>
      </c>
      <c r="Q94" s="479">
        <f>IF('[1]BASE'!EU95="","",'[1]BASE'!EU95)</f>
      </c>
      <c r="R94" s="479">
        <f>IF('[1]BASE'!EV95="","",'[1]BASE'!EV95)</f>
      </c>
      <c r="S94" s="479">
        <f>IF('[1]BASE'!EW95="","",'[1]BASE'!EW95)</f>
        <v>1</v>
      </c>
      <c r="T94" s="479">
        <f>IF('[1]BASE'!EX95="","",'[1]BASE'!EX95)</f>
      </c>
      <c r="U94" s="480"/>
      <c r="V94" s="475"/>
    </row>
    <row r="95" spans="2:22" s="469" customFormat="1" ht="19.5" customHeight="1">
      <c r="B95" s="470"/>
      <c r="C95" s="481">
        <f>IF('[1]BASE'!C96="","",'[1]BASE'!C96)</f>
        <v>80</v>
      </c>
      <c r="D95" s="481">
        <f>IF('[1]BASE'!D96="","",'[1]BASE'!D96)</f>
        <v>1519</v>
      </c>
      <c r="E95" s="481" t="str">
        <f>IF('[1]BASE'!E96="","",'[1]BASE'!E96)</f>
        <v>TANDIL - NECOCHEA</v>
      </c>
      <c r="F95" s="481">
        <f>IF('[1]BASE'!F96="","",'[1]BASE'!F96)</f>
        <v>132</v>
      </c>
      <c r="G95" s="482">
        <f>IF('[1]BASE'!G96="","",'[1]BASE'!G96)</f>
        <v>149.2</v>
      </c>
      <c r="H95" s="478" t="str">
        <f>'[1]BASE'!H96</f>
        <v>C</v>
      </c>
      <c r="I95" s="479">
        <f>IF('[1]BASE'!EM96="","",'[1]BASE'!EM96)</f>
      </c>
      <c r="J95" s="479">
        <f>IF('[1]BASE'!EN96="","",'[1]BASE'!EN96)</f>
        <v>1</v>
      </c>
      <c r="K95" s="479">
        <f>IF('[1]BASE'!EO96="","",'[1]BASE'!EO96)</f>
        <v>2</v>
      </c>
      <c r="L95" s="479">
        <f>IF('[1]BASE'!EP96="","",'[1]BASE'!EP96)</f>
      </c>
      <c r="M95" s="479">
        <f>IF('[1]BASE'!EQ96="","",'[1]BASE'!EQ96)</f>
      </c>
      <c r="N95" s="479">
        <f>IF('[1]BASE'!ER96="","",'[1]BASE'!ER96)</f>
      </c>
      <c r="O95" s="479">
        <f>IF('[1]BASE'!ES96="","",'[1]BASE'!ES96)</f>
      </c>
      <c r="P95" s="479">
        <f>IF('[1]BASE'!ET96="","",'[1]BASE'!ET96)</f>
      </c>
      <c r="Q95" s="479">
        <f>IF('[1]BASE'!EU96="","",'[1]BASE'!EU96)</f>
      </c>
      <c r="R95" s="479">
        <f>IF('[1]BASE'!EV96="","",'[1]BASE'!EV96)</f>
      </c>
      <c r="S95" s="479">
        <f>IF('[1]BASE'!EW96="","",'[1]BASE'!EW96)</f>
        <v>1</v>
      </c>
      <c r="T95" s="479">
        <f>IF('[1]BASE'!EX96="","",'[1]BASE'!EX96)</f>
      </c>
      <c r="U95" s="480"/>
      <c r="V95" s="475"/>
    </row>
    <row r="96" spans="2:22" s="469" customFormat="1" ht="19.5" customHeight="1">
      <c r="B96" s="470"/>
      <c r="C96" s="483">
        <f>IF('[1]BASE'!C97="","",'[1]BASE'!C97)</f>
        <v>81</v>
      </c>
      <c r="D96" s="483">
        <f>IF('[1]BASE'!D97="","",'[1]BASE'!D97)</f>
        <v>1518</v>
      </c>
      <c r="E96" s="483" t="str">
        <f>IF('[1]BASE'!E97="","",'[1]BASE'!E97)</f>
        <v>TANDIL - BARKER</v>
      </c>
      <c r="F96" s="483">
        <f>IF('[1]BASE'!F97="","",'[1]BASE'!F97)</f>
        <v>132</v>
      </c>
      <c r="G96" s="484">
        <f>IF('[1]BASE'!G97="","",'[1]BASE'!G97)</f>
        <v>47.7</v>
      </c>
      <c r="H96" s="478" t="str">
        <f>'[1]BASE'!H97</f>
        <v>C</v>
      </c>
      <c r="I96" s="479">
        <f>IF('[1]BASE'!EM97="","",'[1]BASE'!EM97)</f>
      </c>
      <c r="J96" s="479">
        <f>IF('[1]BASE'!EN97="","",'[1]BASE'!EN97)</f>
      </c>
      <c r="K96" s="479">
        <f>IF('[1]BASE'!EO97="","",'[1]BASE'!EO97)</f>
      </c>
      <c r="L96" s="479">
        <f>IF('[1]BASE'!EP97="","",'[1]BASE'!EP97)</f>
      </c>
      <c r="M96" s="479">
        <f>IF('[1]BASE'!EQ97="","",'[1]BASE'!EQ97)</f>
      </c>
      <c r="N96" s="479">
        <f>IF('[1]BASE'!ER97="","",'[1]BASE'!ER97)</f>
      </c>
      <c r="O96" s="479">
        <f>IF('[1]BASE'!ES97="","",'[1]BASE'!ES97)</f>
      </c>
      <c r="P96" s="479">
        <f>IF('[1]BASE'!ET97="","",'[1]BASE'!ET97)</f>
      </c>
      <c r="Q96" s="479">
        <f>IF('[1]BASE'!EU97="","",'[1]BASE'!EU97)</f>
      </c>
      <c r="R96" s="479">
        <f>IF('[1]BASE'!EV97="","",'[1]BASE'!EV97)</f>
      </c>
      <c r="S96" s="479">
        <f>IF('[1]BASE'!EW97="","",'[1]BASE'!EW97)</f>
      </c>
      <c r="T96" s="479">
        <f>IF('[1]BASE'!EX97="","",'[1]BASE'!EX97)</f>
      </c>
      <c r="U96" s="480"/>
      <c r="V96" s="475"/>
    </row>
    <row r="97" spans="2:22" s="469" customFormat="1" ht="19.5" customHeight="1">
      <c r="B97" s="470"/>
      <c r="C97" s="481">
        <f>IF('[1]BASE'!C98="","",'[1]BASE'!C98)</f>
        <v>82</v>
      </c>
      <c r="D97" s="481">
        <f>IF('[1]BASE'!D98="","",'[1]BASE'!D98)</f>
        <v>2712</v>
      </c>
      <c r="E97" s="481" t="str">
        <f>IF('[1]BASE'!E98="","",'[1]BASE'!E98)</f>
        <v>TRENQUE LAUQUEN - GRAL. PICO</v>
      </c>
      <c r="F97" s="481">
        <f>IF('[1]BASE'!F98="","",'[1]BASE'!F98)</f>
        <v>132</v>
      </c>
      <c r="G97" s="482">
        <f>IF('[1]BASE'!G98="","",'[1]BASE'!G98)</f>
        <v>77</v>
      </c>
      <c r="H97" s="478" t="str">
        <f>'[1]BASE'!H98</f>
        <v>C</v>
      </c>
      <c r="I97" s="479">
        <f>IF('[1]BASE'!EM98="","",'[1]BASE'!EM98)</f>
      </c>
      <c r="J97" s="479">
        <f>IF('[1]BASE'!EN98="","",'[1]BASE'!EN98)</f>
      </c>
      <c r="K97" s="479">
        <f>IF('[1]BASE'!EO98="","",'[1]BASE'!EO98)</f>
      </c>
      <c r="L97" s="479">
        <f>IF('[1]BASE'!EP98="","",'[1]BASE'!EP98)</f>
      </c>
      <c r="M97" s="479">
        <f>IF('[1]BASE'!EQ98="","",'[1]BASE'!EQ98)</f>
      </c>
      <c r="N97" s="479">
        <f>IF('[1]BASE'!ER98="","",'[1]BASE'!ER98)</f>
      </c>
      <c r="O97" s="479">
        <f>IF('[1]BASE'!ES98="","",'[1]BASE'!ES98)</f>
      </c>
      <c r="P97" s="479">
        <f>IF('[1]BASE'!ET98="","",'[1]BASE'!ET98)</f>
      </c>
      <c r="Q97" s="479">
        <f>IF('[1]BASE'!EU98="","",'[1]BASE'!EU98)</f>
      </c>
      <c r="R97" s="479">
        <f>IF('[1]BASE'!EV98="","",'[1]BASE'!EV98)</f>
      </c>
      <c r="S97" s="479">
        <f>IF('[1]BASE'!EW98="","",'[1]BASE'!EW98)</f>
      </c>
      <c r="T97" s="479">
        <f>IF('[1]BASE'!EX98="","",'[1]BASE'!EX98)</f>
      </c>
      <c r="U97" s="480"/>
      <c r="V97" s="475"/>
    </row>
    <row r="98" spans="2:22" s="469" customFormat="1" ht="19.5" customHeight="1">
      <c r="B98" s="470"/>
      <c r="C98" s="483">
        <f>IF('[1]BASE'!C99="","",'[1]BASE'!C99)</f>
        <v>83</v>
      </c>
      <c r="D98" s="483">
        <f>IF('[1]BASE'!D99="","",'[1]BASE'!D99)</f>
        <v>1402</v>
      </c>
      <c r="E98" s="483" t="str">
        <f>IF('[1]BASE'!E99="","",'[1]BASE'!E99)</f>
        <v>TRENQUE LAUQUEN - HENDERSON</v>
      </c>
      <c r="F98" s="483">
        <f>IF('[1]BASE'!F99="","",'[1]BASE'!F99)</f>
        <v>132</v>
      </c>
      <c r="G98" s="484">
        <f>IF('[1]BASE'!G99="","",'[1]BASE'!G99)</f>
        <v>105.4</v>
      </c>
      <c r="H98" s="478" t="str">
        <f>'[1]BASE'!H99</f>
        <v>A</v>
      </c>
      <c r="I98" s="479">
        <f>IF('[1]BASE'!EM99="","",'[1]BASE'!EM99)</f>
      </c>
      <c r="J98" s="479">
        <f>IF('[1]BASE'!EN99="","",'[1]BASE'!EN99)</f>
      </c>
      <c r="K98" s="479">
        <f>IF('[1]BASE'!EO99="","",'[1]BASE'!EO99)</f>
      </c>
      <c r="L98" s="479">
        <f>IF('[1]BASE'!EP99="","",'[1]BASE'!EP99)</f>
      </c>
      <c r="M98" s="479">
        <f>IF('[1]BASE'!EQ99="","",'[1]BASE'!EQ99)</f>
      </c>
      <c r="N98" s="479">
        <f>IF('[1]BASE'!ER99="","",'[1]BASE'!ER99)</f>
      </c>
      <c r="O98" s="479">
        <f>IF('[1]BASE'!ES99="","",'[1]BASE'!ES99)</f>
      </c>
      <c r="P98" s="479">
        <f>IF('[1]BASE'!ET99="","",'[1]BASE'!ET99)</f>
      </c>
      <c r="Q98" s="479">
        <f>IF('[1]BASE'!EU99="","",'[1]BASE'!EU99)</f>
      </c>
      <c r="R98" s="479">
        <f>IF('[1]BASE'!EV99="","",'[1]BASE'!EV99)</f>
      </c>
      <c r="S98" s="479">
        <f>IF('[1]BASE'!EW99="","",'[1]BASE'!EW99)</f>
      </c>
      <c r="T98" s="479">
        <f>IF('[1]BASE'!EX99="","",'[1]BASE'!EX99)</f>
      </c>
      <c r="U98" s="480"/>
      <c r="V98" s="475"/>
    </row>
    <row r="99" spans="2:22" s="469" customFormat="1" ht="19.5" customHeight="1">
      <c r="B99" s="470"/>
      <c r="C99" s="481">
        <f>IF('[1]BASE'!C100="","",'[1]BASE'!C100)</f>
        <v>84</v>
      </c>
      <c r="D99" s="481">
        <f>IF('[1]BASE'!D100="","",'[1]BASE'!D100)</f>
        <v>1382</v>
      </c>
      <c r="E99" s="481" t="str">
        <f>IF('[1]BASE'!E100="","",'[1]BASE'!E100)</f>
        <v>URBANA SAN NICOLÁS - SAN NICOLAS</v>
      </c>
      <c r="F99" s="481">
        <f>IF('[1]BASE'!F100="","",'[1]BASE'!F100)</f>
        <v>132</v>
      </c>
      <c r="G99" s="482">
        <f>IF('[1]BASE'!G100="","",'[1]BASE'!G100)</f>
        <v>6.5</v>
      </c>
      <c r="H99" s="478" t="str">
        <f>'[1]BASE'!H100</f>
        <v>C</v>
      </c>
      <c r="I99" s="479">
        <f>IF('[1]BASE'!EM100="","",'[1]BASE'!EM100)</f>
      </c>
      <c r="J99" s="479">
        <f>IF('[1]BASE'!EN100="","",'[1]BASE'!EN100)</f>
      </c>
      <c r="K99" s="479">
        <f>IF('[1]BASE'!EO100="","",'[1]BASE'!EO100)</f>
      </c>
      <c r="L99" s="479">
        <f>IF('[1]BASE'!EP100="","",'[1]BASE'!EP100)</f>
      </c>
      <c r="M99" s="479">
        <f>IF('[1]BASE'!EQ100="","",'[1]BASE'!EQ100)</f>
      </c>
      <c r="N99" s="479">
        <f>IF('[1]BASE'!ER100="","",'[1]BASE'!ER100)</f>
      </c>
      <c r="O99" s="479">
        <f>IF('[1]BASE'!ES100="","",'[1]BASE'!ES100)</f>
      </c>
      <c r="P99" s="479">
        <f>IF('[1]BASE'!ET100="","",'[1]BASE'!ET100)</f>
      </c>
      <c r="Q99" s="479">
        <f>IF('[1]BASE'!EU100="","",'[1]BASE'!EU100)</f>
      </c>
      <c r="R99" s="479">
        <f>IF('[1]BASE'!EV100="","",'[1]BASE'!EV100)</f>
      </c>
      <c r="S99" s="479">
        <f>IF('[1]BASE'!EW100="","",'[1]BASE'!EW100)</f>
      </c>
      <c r="T99" s="479">
        <f>IF('[1]BASE'!EX100="","",'[1]BASE'!EX100)</f>
      </c>
      <c r="U99" s="480"/>
      <c r="V99" s="475"/>
    </row>
    <row r="100" spans="2:22" s="469" customFormat="1" ht="19.5" customHeight="1">
      <c r="B100" s="470"/>
      <c r="C100" s="483">
        <f>IF('[1]BASE'!C101="","",'[1]BASE'!C101)</f>
        <v>85</v>
      </c>
      <c r="D100" s="483">
        <f>IF('[1]BASE'!D101="","",'[1]BASE'!D101)</f>
        <v>1547</v>
      </c>
      <c r="E100" s="483" t="str">
        <f>IF('[1]BASE'!E101="","",'[1]BASE'!E101)</f>
        <v>URBANA BB - C. PIEDRABUENA</v>
      </c>
      <c r="F100" s="483">
        <f>IF('[1]BASE'!F101="","",'[1]BASE'!F101)</f>
        <v>132</v>
      </c>
      <c r="G100" s="484">
        <f>IF('[1]BASE'!G101="","",'[1]BASE'!G101)</f>
        <v>1.9</v>
      </c>
      <c r="H100" s="478" t="str">
        <f>'[1]BASE'!H101</f>
        <v>C</v>
      </c>
      <c r="I100" s="479">
        <f>IF('[1]BASE'!EM101="","",'[1]BASE'!EM101)</f>
      </c>
      <c r="J100" s="479">
        <f>IF('[1]BASE'!EN101="","",'[1]BASE'!EN101)</f>
      </c>
      <c r="K100" s="479">
        <f>IF('[1]BASE'!EO101="","",'[1]BASE'!EO101)</f>
      </c>
      <c r="L100" s="479">
        <f>IF('[1]BASE'!EP101="","",'[1]BASE'!EP101)</f>
      </c>
      <c r="M100" s="479">
        <f>IF('[1]BASE'!EQ101="","",'[1]BASE'!EQ101)</f>
      </c>
      <c r="N100" s="479">
        <f>IF('[1]BASE'!ER101="","",'[1]BASE'!ER101)</f>
      </c>
      <c r="O100" s="479">
        <f>IF('[1]BASE'!ES101="","",'[1]BASE'!ES101)</f>
      </c>
      <c r="P100" s="479">
        <f>IF('[1]BASE'!ET101="","",'[1]BASE'!ET101)</f>
      </c>
      <c r="Q100" s="479">
        <f>IF('[1]BASE'!EU101="","",'[1]BASE'!EU101)</f>
      </c>
      <c r="R100" s="479">
        <f>IF('[1]BASE'!EV101="","",'[1]BASE'!EV101)</f>
      </c>
      <c r="S100" s="479">
        <f>IF('[1]BASE'!EW101="","",'[1]BASE'!EW101)</f>
      </c>
      <c r="T100" s="479">
        <f>IF('[1]BASE'!EX101="","",'[1]BASE'!EX101)</f>
      </c>
      <c r="U100" s="480"/>
      <c r="V100" s="475"/>
    </row>
    <row r="101" spans="2:22" s="469" customFormat="1" ht="19.5" customHeight="1">
      <c r="B101" s="470"/>
      <c r="C101" s="481">
        <f>IF('[1]BASE'!C102="","",'[1]BASE'!C102)</f>
        <v>86</v>
      </c>
      <c r="D101" s="481">
        <f>IF('[1]BASE'!D102="","",'[1]BASE'!D102)</f>
        <v>1445</v>
      </c>
      <c r="E101" s="481" t="str">
        <f>IF('[1]BASE'!E102="","",'[1]BASE'!E102)</f>
        <v>VILLA GESELL - GRAL. MADARIAGA</v>
      </c>
      <c r="F101" s="481">
        <f>IF('[1]BASE'!F102="","",'[1]BASE'!F102)</f>
        <v>132</v>
      </c>
      <c r="G101" s="482">
        <f>IF('[1]BASE'!G102="","",'[1]BASE'!G102)</f>
        <v>35</v>
      </c>
      <c r="H101" s="478" t="str">
        <f>'[1]BASE'!H102</f>
        <v>C</v>
      </c>
      <c r="I101" s="479">
        <f>IF('[1]BASE'!EM102="","",'[1]BASE'!EM102)</f>
      </c>
      <c r="J101" s="479">
        <f>IF('[1]BASE'!EN102="","",'[1]BASE'!EN102)</f>
        <v>1</v>
      </c>
      <c r="K101" s="479">
        <f>IF('[1]BASE'!EO102="","",'[1]BASE'!EO102)</f>
      </c>
      <c r="L101" s="479">
        <f>IF('[1]BASE'!EP102="","",'[1]BASE'!EP102)</f>
      </c>
      <c r="M101" s="479">
        <f>IF('[1]BASE'!EQ102="","",'[1]BASE'!EQ102)</f>
        <v>1</v>
      </c>
      <c r="N101" s="479">
        <f>IF('[1]BASE'!ER102="","",'[1]BASE'!ER102)</f>
      </c>
      <c r="O101" s="479">
        <f>IF('[1]BASE'!ES102="","",'[1]BASE'!ES102)</f>
      </c>
      <c r="P101" s="479">
        <f>IF('[1]BASE'!ET102="","",'[1]BASE'!ET102)</f>
      </c>
      <c r="Q101" s="479">
        <f>IF('[1]BASE'!EU102="","",'[1]BASE'!EU102)</f>
      </c>
      <c r="R101" s="479">
        <f>IF('[1]BASE'!EV102="","",'[1]BASE'!EV102)</f>
      </c>
      <c r="S101" s="479">
        <f>IF('[1]BASE'!EW102="","",'[1]BASE'!EW102)</f>
      </c>
      <c r="T101" s="479">
        <f>IF('[1]BASE'!EX102="","",'[1]BASE'!EX102)</f>
      </c>
      <c r="U101" s="480"/>
      <c r="V101" s="475"/>
    </row>
    <row r="102" spans="2:22" s="469" customFormat="1" ht="19.5" customHeight="1">
      <c r="B102" s="470"/>
      <c r="C102" s="483">
        <f>IF('[1]BASE'!C103="","",'[1]BASE'!C103)</f>
        <v>87</v>
      </c>
      <c r="D102" s="483">
        <f>IF('[1]BASE'!D103="","",'[1]BASE'!D103)</f>
        <v>2715</v>
      </c>
      <c r="E102" s="483" t="str">
        <f>IF('[1]BASE'!E103="","",'[1]BASE'!E103)</f>
        <v>VILLA LIA "T" - ANTONIO DE ARECO</v>
      </c>
      <c r="F102" s="483">
        <f>IF('[1]BASE'!F103="","",'[1]BASE'!F103)</f>
        <v>132</v>
      </c>
      <c r="G102" s="484">
        <f>IF('[1]BASE'!G103="","",'[1]BASE'!G103)</f>
        <v>18.4</v>
      </c>
      <c r="H102" s="478" t="str">
        <f>'[1]BASE'!H103</f>
        <v>C</v>
      </c>
      <c r="I102" s="479">
        <f>IF('[1]BASE'!EM103="","",'[1]BASE'!EM103)</f>
      </c>
      <c r="J102" s="479">
        <f>IF('[1]BASE'!EN103="","",'[1]BASE'!EN103)</f>
      </c>
      <c r="K102" s="479">
        <f>IF('[1]BASE'!EO103="","",'[1]BASE'!EO103)</f>
      </c>
      <c r="L102" s="479">
        <f>IF('[1]BASE'!EP103="","",'[1]BASE'!EP103)</f>
      </c>
      <c r="M102" s="479">
        <f>IF('[1]BASE'!EQ103="","",'[1]BASE'!EQ103)</f>
      </c>
      <c r="N102" s="479">
        <f>IF('[1]BASE'!ER103="","",'[1]BASE'!ER103)</f>
        <v>1</v>
      </c>
      <c r="O102" s="479">
        <f>IF('[1]BASE'!ES103="","",'[1]BASE'!ES103)</f>
      </c>
      <c r="P102" s="479">
        <f>IF('[1]BASE'!ET103="","",'[1]BASE'!ET103)</f>
      </c>
      <c r="Q102" s="479">
        <f>IF('[1]BASE'!EU103="","",'[1]BASE'!EU103)</f>
      </c>
      <c r="R102" s="479">
        <f>IF('[1]BASE'!EV103="","",'[1]BASE'!EV103)</f>
      </c>
      <c r="S102" s="479">
        <f>IF('[1]BASE'!EW103="","",'[1]BASE'!EW103)</f>
      </c>
      <c r="T102" s="479">
        <f>IF('[1]BASE'!EX103="","",'[1]BASE'!EX103)</f>
      </c>
      <c r="U102" s="480"/>
      <c r="V102" s="475"/>
    </row>
    <row r="103" spans="2:22" s="469" customFormat="1" ht="19.5" customHeight="1">
      <c r="B103" s="470"/>
      <c r="C103" s="481">
        <f>IF('[1]BASE'!C104="","",'[1]BASE'!C104)</f>
        <v>88</v>
      </c>
      <c r="D103" s="481">
        <f>IF('[1]BASE'!D104="","",'[1]BASE'!D104)</f>
        <v>2714</v>
      </c>
      <c r="E103" s="481" t="str">
        <f>IF('[1]BASE'!E104="","",'[1]BASE'!E104)</f>
        <v>VILLA LIA "T" - NUEVA CAMPANA</v>
      </c>
      <c r="F103" s="481">
        <f>IF('[1]BASE'!F104="","",'[1]BASE'!F104)</f>
        <v>132</v>
      </c>
      <c r="G103" s="482">
        <f>IF('[1]BASE'!G104="","",'[1]BASE'!G104)</f>
        <v>35</v>
      </c>
      <c r="H103" s="478" t="str">
        <f>'[1]BASE'!H104</f>
        <v>C</v>
      </c>
      <c r="I103" s="479">
        <f>IF('[1]BASE'!EM104="","",'[1]BASE'!EM104)</f>
      </c>
      <c r="J103" s="479">
        <f>IF('[1]BASE'!EN104="","",'[1]BASE'!EN104)</f>
      </c>
      <c r="K103" s="479">
        <f>IF('[1]BASE'!EO104="","",'[1]BASE'!EO104)</f>
      </c>
      <c r="L103" s="479">
        <f>IF('[1]BASE'!EP104="","",'[1]BASE'!EP104)</f>
      </c>
      <c r="M103" s="479">
        <f>IF('[1]BASE'!EQ104="","",'[1]BASE'!EQ104)</f>
      </c>
      <c r="N103" s="479">
        <f>IF('[1]BASE'!ER104="","",'[1]BASE'!ER104)</f>
        <v>1</v>
      </c>
      <c r="O103" s="479">
        <f>IF('[1]BASE'!ES104="","",'[1]BASE'!ES104)</f>
      </c>
      <c r="P103" s="479">
        <f>IF('[1]BASE'!ET104="","",'[1]BASE'!ET104)</f>
      </c>
      <c r="Q103" s="479">
        <f>IF('[1]BASE'!EU104="","",'[1]BASE'!EU104)</f>
      </c>
      <c r="R103" s="479">
        <f>IF('[1]BASE'!EV104="","",'[1]BASE'!EV104)</f>
      </c>
      <c r="S103" s="479">
        <f>IF('[1]BASE'!EW104="","",'[1]BASE'!EW104)</f>
      </c>
      <c r="T103" s="479">
        <f>IF('[1]BASE'!EX104="","",'[1]BASE'!EX104)</f>
      </c>
      <c r="U103" s="480"/>
      <c r="V103" s="475"/>
    </row>
    <row r="104" spans="2:22" s="469" customFormat="1" ht="19.5" customHeight="1">
      <c r="B104" s="470"/>
      <c r="C104" s="483">
        <f>IF('[1]BASE'!C105="","",'[1]BASE'!C105)</f>
        <v>89</v>
      </c>
      <c r="D104" s="486">
        <f>IF('[1]BASE'!D105="","",'[1]BASE'!D105)</f>
        <v>2713</v>
      </c>
      <c r="E104" s="486" t="str">
        <f>IF('[1]BASE'!E105="","",'[1]BASE'!E105)</f>
        <v>VILLA LIA "T" - VILLA LIA</v>
      </c>
      <c r="F104" s="486">
        <f>IF('[1]BASE'!F105="","",'[1]BASE'!F105)</f>
        <v>132</v>
      </c>
      <c r="G104" s="484">
        <f>IF('[1]BASE'!G105="","",'[1]BASE'!G105)</f>
        <v>8</v>
      </c>
      <c r="H104" s="478" t="str">
        <f>'[1]BASE'!H105</f>
        <v>C</v>
      </c>
      <c r="I104" s="479">
        <f>IF('[1]BASE'!EM105="","",'[1]BASE'!EM105)</f>
      </c>
      <c r="J104" s="479">
        <f>IF('[1]BASE'!EN105="","",'[1]BASE'!EN105)</f>
      </c>
      <c r="K104" s="479">
        <f>IF('[1]BASE'!EO105="","",'[1]BASE'!EO105)</f>
      </c>
      <c r="L104" s="479">
        <f>IF('[1]BASE'!EP105="","",'[1]BASE'!EP105)</f>
      </c>
      <c r="M104" s="479">
        <f>IF('[1]BASE'!EQ105="","",'[1]BASE'!EQ105)</f>
      </c>
      <c r="N104" s="479">
        <f>IF('[1]BASE'!ER105="","",'[1]BASE'!ER105)</f>
        <v>1</v>
      </c>
      <c r="O104" s="479">
        <f>IF('[1]BASE'!ES105="","",'[1]BASE'!ES105)</f>
      </c>
      <c r="P104" s="479">
        <f>IF('[1]BASE'!ET105="","",'[1]BASE'!ET105)</f>
      </c>
      <c r="Q104" s="479">
        <f>IF('[1]BASE'!EU105="","",'[1]BASE'!EU105)</f>
      </c>
      <c r="R104" s="479">
        <f>IF('[1]BASE'!EV105="","",'[1]BASE'!EV105)</f>
      </c>
      <c r="S104" s="479">
        <f>IF('[1]BASE'!EW105="","",'[1]BASE'!EW105)</f>
      </c>
      <c r="T104" s="479">
        <f>IF('[1]BASE'!EX105="","",'[1]BASE'!EX105)</f>
      </c>
      <c r="U104" s="480"/>
      <c r="V104" s="475"/>
    </row>
    <row r="105" spans="2:22" s="469" customFormat="1" ht="19.5" customHeight="1">
      <c r="B105" s="470"/>
      <c r="C105" s="481">
        <f>IF('[1]BASE'!C106="","",'[1]BASE'!C106)</f>
        <v>90</v>
      </c>
      <c r="D105" s="487">
        <f>IF('[1]BASE'!D106="","",'[1]BASE'!D106)</f>
        <v>1424</v>
      </c>
      <c r="E105" s="487" t="str">
        <f>IF('[1]BASE'!E106="","",'[1]BASE'!E106)</f>
        <v>ZARATE - ATUCHA I</v>
      </c>
      <c r="F105" s="487">
        <f>IF('[1]BASE'!F106="","",'[1]BASE'!F106)</f>
        <v>132</v>
      </c>
      <c r="G105" s="482">
        <f>IF('[1]BASE'!G106="","",'[1]BASE'!G106)</f>
        <v>22.1</v>
      </c>
      <c r="H105" s="478" t="str">
        <f>'[1]BASE'!H106</f>
        <v>C</v>
      </c>
      <c r="I105" s="479">
        <f>IF('[1]BASE'!EM106="","",'[1]BASE'!EM106)</f>
      </c>
      <c r="J105" s="479">
        <f>IF('[1]BASE'!EN106="","",'[1]BASE'!EN106)</f>
        <v>1</v>
      </c>
      <c r="K105" s="479">
        <f>IF('[1]BASE'!EO106="","",'[1]BASE'!EO106)</f>
      </c>
      <c r="L105" s="479">
        <f>IF('[1]BASE'!EP106="","",'[1]BASE'!EP106)</f>
      </c>
      <c r="M105" s="479">
        <f>IF('[1]BASE'!EQ106="","",'[1]BASE'!EQ106)</f>
      </c>
      <c r="N105" s="479">
        <f>IF('[1]BASE'!ER106="","",'[1]BASE'!ER106)</f>
      </c>
      <c r="O105" s="479">
        <f>IF('[1]BASE'!ES106="","",'[1]BASE'!ES106)</f>
      </c>
      <c r="P105" s="479">
        <f>IF('[1]BASE'!ET106="","",'[1]BASE'!ET106)</f>
      </c>
      <c r="Q105" s="479">
        <f>IF('[1]BASE'!EU106="","",'[1]BASE'!EU106)</f>
      </c>
      <c r="R105" s="479">
        <f>IF('[1]BASE'!EV106="","",'[1]BASE'!EV106)</f>
        <v>1</v>
      </c>
      <c r="S105" s="479">
        <f>IF('[1]BASE'!EW106="","",'[1]BASE'!EW106)</f>
      </c>
      <c r="T105" s="479">
        <f>IF('[1]BASE'!EX106="","",'[1]BASE'!EX106)</f>
      </c>
      <c r="U105" s="480"/>
      <c r="V105" s="475"/>
    </row>
    <row r="106" spans="2:22" s="469" customFormat="1" ht="19.5" customHeight="1">
      <c r="B106" s="470"/>
      <c r="C106" s="483">
        <f>IF('[1]BASE'!C107="","",'[1]BASE'!C107)</f>
        <v>91</v>
      </c>
      <c r="D106" s="486">
        <f>IF('[1]BASE'!D107="","",'[1]BASE'!D107)</f>
        <v>2955</v>
      </c>
      <c r="E106" s="486" t="str">
        <f>IF('[1]BASE'!E107="","",'[1]BASE'!E107)</f>
        <v>ZARATE - EASTMAN T</v>
      </c>
      <c r="F106" s="486">
        <f>IF('[1]BASE'!F107="","",'[1]BASE'!F107)</f>
        <v>132</v>
      </c>
      <c r="G106" s="484">
        <f>IF('[1]BASE'!G107="","",'[1]BASE'!G107)</f>
        <v>11</v>
      </c>
      <c r="H106" s="478" t="str">
        <f>'[1]BASE'!H107</f>
        <v>C</v>
      </c>
      <c r="I106" s="479">
        <f>IF('[1]BASE'!EM107="","",'[1]BASE'!EM107)</f>
      </c>
      <c r="J106" s="479">
        <f>IF('[1]BASE'!EN107="","",'[1]BASE'!EN107)</f>
        <v>1</v>
      </c>
      <c r="K106" s="479">
        <f>IF('[1]BASE'!EO107="","",'[1]BASE'!EO107)</f>
      </c>
      <c r="L106" s="479">
        <f>IF('[1]BASE'!EP107="","",'[1]BASE'!EP107)</f>
      </c>
      <c r="M106" s="479">
        <f>IF('[1]BASE'!EQ107="","",'[1]BASE'!EQ107)</f>
        <v>1</v>
      </c>
      <c r="N106" s="479">
        <f>IF('[1]BASE'!ER107="","",'[1]BASE'!ER107)</f>
      </c>
      <c r="O106" s="479">
        <f>IF('[1]BASE'!ES107="","",'[1]BASE'!ES107)</f>
        <v>1</v>
      </c>
      <c r="P106" s="479">
        <f>IF('[1]BASE'!ET107="","",'[1]BASE'!ET107)</f>
      </c>
      <c r="Q106" s="479">
        <f>IF('[1]BASE'!EU107="","",'[1]BASE'!EU107)</f>
      </c>
      <c r="R106" s="479">
        <f>IF('[1]BASE'!EV107="","",'[1]BASE'!EV107)</f>
      </c>
      <c r="S106" s="479">
        <f>IF('[1]BASE'!EW107="","",'[1]BASE'!EW107)</f>
      </c>
      <c r="T106" s="479" t="str">
        <f>IF('[1]BASE'!EX107="","",'[1]BASE'!EX107)</f>
        <v>XXXX</v>
      </c>
      <c r="U106" s="480"/>
      <c r="V106" s="475"/>
    </row>
    <row r="107" spans="2:22" s="469" customFormat="1" ht="19.5" customHeight="1">
      <c r="B107" s="470"/>
      <c r="C107" s="481">
        <f>IF('[1]BASE'!C108="","",'[1]BASE'!C108)</f>
        <v>92</v>
      </c>
      <c r="D107" s="487">
        <f>IF('[1]BASE'!D108="","",'[1]BASE'!D108)</f>
        <v>1423</v>
      </c>
      <c r="E107" s="487" t="str">
        <f>IF('[1]BASE'!E108="","",'[1]BASE'!E108)</f>
        <v>ZARATE - MATHEU</v>
      </c>
      <c r="F107" s="487">
        <f>IF('[1]BASE'!F108="","",'[1]BASE'!F108)</f>
        <v>132</v>
      </c>
      <c r="G107" s="482">
        <f>IF('[1]BASE'!G108="","",'[1]BASE'!G108)</f>
        <v>37.7</v>
      </c>
      <c r="H107" s="478" t="str">
        <f>'[1]BASE'!H108</f>
        <v>C</v>
      </c>
      <c r="I107" s="479">
        <f>IF('[1]BASE'!EM108="","",'[1]BASE'!EM108)</f>
        <v>1</v>
      </c>
      <c r="J107" s="479">
        <f>IF('[1]BASE'!EN108="","",'[1]BASE'!EN108)</f>
        <v>1</v>
      </c>
      <c r="K107" s="479">
        <f>IF('[1]BASE'!EO108="","",'[1]BASE'!EO108)</f>
      </c>
      <c r="L107" s="479">
        <f>IF('[1]BASE'!EP108="","",'[1]BASE'!EP108)</f>
      </c>
      <c r="M107" s="479">
        <f>IF('[1]BASE'!EQ108="","",'[1]BASE'!EQ108)</f>
      </c>
      <c r="N107" s="479">
        <f>IF('[1]BASE'!ER108="","",'[1]BASE'!ER108)</f>
      </c>
      <c r="O107" s="479">
        <f>IF('[1]BASE'!ES108="","",'[1]BASE'!ES108)</f>
      </c>
      <c r="P107" s="479">
        <f>IF('[1]BASE'!ET108="","",'[1]BASE'!ET108)</f>
      </c>
      <c r="Q107" s="479">
        <f>IF('[1]BASE'!EU108="","",'[1]BASE'!EU108)</f>
      </c>
      <c r="R107" s="479">
        <f>IF('[1]BASE'!EV108="","",'[1]BASE'!EV108)</f>
      </c>
      <c r="S107" s="479">
        <f>IF('[1]BASE'!EW108="","",'[1]BASE'!EW108)</f>
      </c>
      <c r="T107" s="479" t="str">
        <f>IF('[1]BASE'!EX108="","",'[1]BASE'!EX108)</f>
        <v>XXXX</v>
      </c>
      <c r="U107" s="480"/>
      <c r="V107" s="475"/>
    </row>
    <row r="108" spans="2:22" s="469" customFormat="1" ht="19.5" customHeight="1">
      <c r="B108" s="470"/>
      <c r="C108" s="483">
        <f>IF('[1]BASE'!C109="","",'[1]BASE'!C109)</f>
        <v>93</v>
      </c>
      <c r="D108" s="486">
        <f>IF('[1]BASE'!D109="","",'[1]BASE'!D109)</f>
        <v>1434</v>
      </c>
      <c r="E108" s="486" t="str">
        <f>IF('[1]BASE'!E109="","",'[1]BASE'!E109)</f>
        <v>9 DE JULIO 66 - BRAGADO</v>
      </c>
      <c r="F108" s="486">
        <f>IF('[1]BASE'!F109="","",'[1]BASE'!F109)</f>
        <v>66</v>
      </c>
      <c r="G108" s="484">
        <f>IF('[1]BASE'!G109="","",'[1]BASE'!G109)</f>
        <v>54</v>
      </c>
      <c r="H108" s="478" t="str">
        <f>'[1]BASE'!H109</f>
        <v>C</v>
      </c>
      <c r="I108" s="479">
        <f>IF('[1]BASE'!EM109="","",'[1]BASE'!EM109)</f>
      </c>
      <c r="J108" s="479">
        <f>IF('[1]BASE'!EN109="","",'[1]BASE'!EN109)</f>
        <v>1</v>
      </c>
      <c r="K108" s="479">
        <f>IF('[1]BASE'!EO109="","",'[1]BASE'!EO109)</f>
      </c>
      <c r="L108" s="479">
        <f>IF('[1]BASE'!EP109="","",'[1]BASE'!EP109)</f>
      </c>
      <c r="M108" s="479">
        <f>IF('[1]BASE'!EQ109="","",'[1]BASE'!EQ109)</f>
      </c>
      <c r="N108" s="479">
        <f>IF('[1]BASE'!ER109="","",'[1]BASE'!ER109)</f>
      </c>
      <c r="O108" s="479">
        <f>IF('[1]BASE'!ES109="","",'[1]BASE'!ES109)</f>
      </c>
      <c r="P108" s="479">
        <f>IF('[1]BASE'!ET109="","",'[1]BASE'!ET109)</f>
      </c>
      <c r="Q108" s="479">
        <f>IF('[1]BASE'!EU109="","",'[1]BASE'!EU109)</f>
      </c>
      <c r="R108" s="479">
        <f>IF('[1]BASE'!EV109="","",'[1]BASE'!EV109)</f>
      </c>
      <c r="S108" s="479">
        <f>IF('[1]BASE'!EW109="","",'[1]BASE'!EW109)</f>
      </c>
      <c r="T108" s="479" t="str">
        <f>IF('[1]BASE'!EX109="","",'[1]BASE'!EX109)</f>
        <v>XXXX</v>
      </c>
      <c r="U108" s="480"/>
      <c r="V108" s="475"/>
    </row>
    <row r="109" spans="2:22" s="469" customFormat="1" ht="19.5" customHeight="1">
      <c r="B109" s="470"/>
      <c r="C109" s="481">
        <f>IF('[1]BASE'!C110="","",'[1]BASE'!C110)</f>
        <v>94</v>
      </c>
      <c r="D109" s="487" t="str">
        <f>IF('[1]BASE'!D110="","",'[1]BASE'!D110)</f>
        <v>CE-000</v>
      </c>
      <c r="E109" s="487" t="str">
        <f>IF('[1]BASE'!E110="","",'[1]BASE'!E110)</f>
        <v>CAP. SARMIENTO - ANTONIO DE ARECO - LUJAN</v>
      </c>
      <c r="F109" s="487">
        <f>IF('[1]BASE'!F110="","",'[1]BASE'!F110)</f>
        <v>66</v>
      </c>
      <c r="G109" s="482">
        <f>IF('[1]BASE'!G110="","",'[1]BASE'!G110)</f>
        <v>81.3</v>
      </c>
      <c r="H109" s="488" t="str">
        <f>'[1]BASE'!H110</f>
        <v>C</v>
      </c>
      <c r="I109" s="479" t="str">
        <f>IF('[1]BASE'!EM110="","",'[1]BASE'!EM110)</f>
        <v>XXXX</v>
      </c>
      <c r="J109" s="479" t="str">
        <f>IF('[1]BASE'!EN110="","",'[1]BASE'!EN110)</f>
        <v>XXXX</v>
      </c>
      <c r="K109" s="479" t="str">
        <f>IF('[1]BASE'!EO110="","",'[1]BASE'!EO110)</f>
        <v>XXXX</v>
      </c>
      <c r="L109" s="479" t="str">
        <f>IF('[1]BASE'!EP110="","",'[1]BASE'!EP110)</f>
        <v>XXXX</v>
      </c>
      <c r="M109" s="479" t="str">
        <f>IF('[1]BASE'!EQ110="","",'[1]BASE'!EQ110)</f>
        <v>XXXX</v>
      </c>
      <c r="N109" s="479" t="str">
        <f>IF('[1]BASE'!ER110="","",'[1]BASE'!ER110)</f>
        <v>XXXX</v>
      </c>
      <c r="O109" s="479" t="str">
        <f>IF('[1]BASE'!ES110="","",'[1]BASE'!ES110)</f>
        <v>XXXX</v>
      </c>
      <c r="P109" s="479" t="str">
        <f>IF('[1]BASE'!ET110="","",'[1]BASE'!ET110)</f>
        <v>XXXX</v>
      </c>
      <c r="Q109" s="479" t="str">
        <f>IF('[1]BASE'!EU110="","",'[1]BASE'!EU110)</f>
        <v>XXXX</v>
      </c>
      <c r="R109" s="479" t="str">
        <f>IF('[1]BASE'!EV110="","",'[1]BASE'!EV110)</f>
        <v>XXXX</v>
      </c>
      <c r="S109" s="479" t="str">
        <f>IF('[1]BASE'!EW110="","",'[1]BASE'!EW110)</f>
        <v>XXXX</v>
      </c>
      <c r="T109" s="479" t="str">
        <f>IF('[1]BASE'!EX110="","",'[1]BASE'!EX110)</f>
        <v>XXXX</v>
      </c>
      <c r="U109" s="480"/>
      <c r="V109" s="475"/>
    </row>
    <row r="110" spans="2:22" s="469" customFormat="1" ht="19.5" customHeight="1">
      <c r="B110" s="470"/>
      <c r="C110" s="483">
        <f>IF('[1]BASE'!C111="","",'[1]BASE'!C111)</f>
        <v>95</v>
      </c>
      <c r="D110" s="486">
        <f>IF('[1]BASE'!D111="","",'[1]BASE'!D111)</f>
        <v>1421</v>
      </c>
      <c r="E110" s="486" t="str">
        <f>IF('[1]BASE'!E111="","",'[1]BASE'!E111)</f>
        <v>ARRECIFES - CAP. SARMIENTO</v>
      </c>
      <c r="F110" s="489">
        <f>IF('[1]BASE'!F111="","",'[1]BASE'!F111)</f>
        <v>66</v>
      </c>
      <c r="G110" s="484">
        <f>IF('[1]BASE'!G111="","",'[1]BASE'!G111)</f>
        <v>31.9</v>
      </c>
      <c r="H110" s="478" t="str">
        <f>'[1]BASE'!H111</f>
        <v>C</v>
      </c>
      <c r="I110" s="479">
        <f>IF('[1]BASE'!EM111="","",'[1]BASE'!EM111)</f>
      </c>
      <c r="J110" s="479">
        <f>IF('[1]BASE'!EN111="","",'[1]BASE'!EN111)</f>
      </c>
      <c r="K110" s="479">
        <f>IF('[1]BASE'!EO111="","",'[1]BASE'!EO111)</f>
      </c>
      <c r="L110" s="479">
        <f>IF('[1]BASE'!EP111="","",'[1]BASE'!EP111)</f>
      </c>
      <c r="M110" s="479">
        <f>IF('[1]BASE'!EQ111="","",'[1]BASE'!EQ111)</f>
      </c>
      <c r="N110" s="479">
        <f>IF('[1]BASE'!ER111="","",'[1]BASE'!ER111)</f>
      </c>
      <c r="O110" s="479">
        <f>IF('[1]BASE'!ES111="","",'[1]BASE'!ES111)</f>
      </c>
      <c r="P110" s="479">
        <f>IF('[1]BASE'!ET111="","",'[1]BASE'!ET111)</f>
      </c>
      <c r="Q110" s="479">
        <f>IF('[1]BASE'!EU111="","",'[1]BASE'!EU111)</f>
      </c>
      <c r="R110" s="479">
        <f>IF('[1]BASE'!EV111="","",'[1]BASE'!EV111)</f>
        <v>1</v>
      </c>
      <c r="S110" s="479">
        <f>IF('[1]BASE'!EW111="","",'[1]BASE'!EW111)</f>
      </c>
      <c r="T110" s="479">
        <f>IF('[1]BASE'!EX111="","",'[1]BASE'!EX111)</f>
      </c>
      <c r="U110" s="480"/>
      <c r="V110" s="475"/>
    </row>
    <row r="111" spans="2:22" s="469" customFormat="1" ht="19.5" customHeight="1">
      <c r="B111" s="470"/>
      <c r="C111" s="481">
        <f>IF('[1]BASE'!C112="","",'[1]BASE'!C112)</f>
        <v>96</v>
      </c>
      <c r="D111" s="487">
        <f>IF('[1]BASE'!D112="","",'[1]BASE'!D112)</f>
        <v>1536</v>
      </c>
      <c r="E111" s="487" t="str">
        <f>IF('[1]BASE'!E112="","",'[1]BASE'!E112)</f>
        <v>CARLOS CASARES - 9 DE JULIO 66</v>
      </c>
      <c r="F111" s="490">
        <f>IF('[1]BASE'!F112="","",'[1]BASE'!F112)</f>
        <v>66</v>
      </c>
      <c r="G111" s="482">
        <f>IF('[1]BASE'!G112="","",'[1]BASE'!G112)</f>
        <v>46.8</v>
      </c>
      <c r="H111" s="478" t="str">
        <f>'[1]BASE'!H112</f>
        <v>C</v>
      </c>
      <c r="I111" s="479">
        <f>IF('[1]BASE'!EM112="","",'[1]BASE'!EM112)</f>
      </c>
      <c r="J111" s="479">
        <f>IF('[1]BASE'!EN112="","",'[1]BASE'!EN112)</f>
      </c>
      <c r="K111" s="479">
        <f>IF('[1]BASE'!EO112="","",'[1]BASE'!EO112)</f>
      </c>
      <c r="L111" s="479">
        <f>IF('[1]BASE'!EP112="","",'[1]BASE'!EP112)</f>
      </c>
      <c r="M111" s="479">
        <f>IF('[1]BASE'!EQ112="","",'[1]BASE'!EQ112)</f>
      </c>
      <c r="N111" s="479">
        <f>IF('[1]BASE'!ER112="","",'[1]BASE'!ER112)</f>
      </c>
      <c r="O111" s="479">
        <f>IF('[1]BASE'!ES112="","",'[1]BASE'!ES112)</f>
      </c>
      <c r="P111" s="479">
        <f>IF('[1]BASE'!ET112="","",'[1]BASE'!ET112)</f>
      </c>
      <c r="Q111" s="479">
        <f>IF('[1]BASE'!EU112="","",'[1]BASE'!EU112)</f>
      </c>
      <c r="R111" s="479">
        <f>IF('[1]BASE'!EV112="","",'[1]BASE'!EV112)</f>
      </c>
      <c r="S111" s="479">
        <f>IF('[1]BASE'!EW112="","",'[1]BASE'!EW112)</f>
      </c>
      <c r="T111" s="479">
        <f>IF('[1]BASE'!EX112="","",'[1]BASE'!EX112)</f>
      </c>
      <c r="U111" s="480"/>
      <c r="V111" s="475"/>
    </row>
    <row r="112" spans="2:22" s="469" customFormat="1" ht="19.5" customHeight="1">
      <c r="B112" s="470"/>
      <c r="C112" s="483">
        <f>IF('[1]BASE'!C113="","",'[1]BASE'!C113)</f>
        <v>97</v>
      </c>
      <c r="D112" s="486">
        <f>IF('[1]BASE'!D113="","",'[1]BASE'!D113)</f>
        <v>1530</v>
      </c>
      <c r="E112" s="486" t="str">
        <f>IF('[1]BASE'!E113="","",'[1]BASE'!E113)</f>
        <v>PEHUAJO - CARLOS CASARES</v>
      </c>
      <c r="F112" s="486">
        <f>IF('[1]BASE'!F113="","",'[1]BASE'!F113)</f>
        <v>66</v>
      </c>
      <c r="G112" s="484">
        <f>IF('[1]BASE'!G113="","",'[1]BASE'!G113)</f>
        <v>53.1</v>
      </c>
      <c r="H112" s="478" t="str">
        <f>'[1]BASE'!H113</f>
        <v>C</v>
      </c>
      <c r="I112" s="479">
        <f>IF('[1]BASE'!EM113="","",'[1]BASE'!EM113)</f>
      </c>
      <c r="J112" s="479">
        <f>IF('[1]BASE'!EN113="","",'[1]BASE'!EN113)</f>
      </c>
      <c r="K112" s="479">
        <f>IF('[1]BASE'!EO113="","",'[1]BASE'!EO113)</f>
      </c>
      <c r="L112" s="479">
        <f>IF('[1]BASE'!EP113="","",'[1]BASE'!EP113)</f>
      </c>
      <c r="M112" s="479">
        <f>IF('[1]BASE'!EQ113="","",'[1]BASE'!EQ113)</f>
      </c>
      <c r="N112" s="479">
        <f>IF('[1]BASE'!ER113="","",'[1]BASE'!ER113)</f>
      </c>
      <c r="O112" s="479">
        <f>IF('[1]BASE'!ES113="","",'[1]BASE'!ES113)</f>
        <v>2</v>
      </c>
      <c r="P112" s="479">
        <f>IF('[1]BASE'!ET113="","",'[1]BASE'!ET113)</f>
        <v>1</v>
      </c>
      <c r="Q112" s="479">
        <f>IF('[1]BASE'!EU113="","",'[1]BASE'!EU113)</f>
      </c>
      <c r="R112" s="479">
        <f>IF('[1]BASE'!EV113="","",'[1]BASE'!EV113)</f>
      </c>
      <c r="S112" s="479">
        <f>IF('[1]BASE'!EW113="","",'[1]BASE'!EW113)</f>
      </c>
      <c r="T112" s="479">
        <f>IF('[1]BASE'!EX113="","",'[1]BASE'!EX113)</f>
      </c>
      <c r="U112" s="480"/>
      <c r="V112" s="475"/>
    </row>
    <row r="113" spans="2:22" s="469" customFormat="1" ht="19.5" customHeight="1">
      <c r="B113" s="470"/>
      <c r="C113" s="481">
        <f>IF('[1]BASE'!C114="","",'[1]BASE'!C114)</f>
        <v>98</v>
      </c>
      <c r="D113" s="487">
        <f>IF('[1]BASE'!D114="","",'[1]BASE'!D114)</f>
        <v>1441</v>
      </c>
      <c r="E113" s="487" t="str">
        <f>IF('[1]BASE'!E114="","",'[1]BASE'!E114)</f>
        <v>PERGAMINO - ARRECIFES</v>
      </c>
      <c r="F113" s="487">
        <f>IF('[1]BASE'!F114="","",'[1]BASE'!F114)</f>
        <v>66</v>
      </c>
      <c r="G113" s="482">
        <f>IF('[1]BASE'!G114="","",'[1]BASE'!G114)</f>
        <v>43.8</v>
      </c>
      <c r="H113" s="478" t="str">
        <f>'[1]BASE'!H114</f>
        <v>B</v>
      </c>
      <c r="I113" s="479">
        <f>IF('[1]BASE'!EM114="","",'[1]BASE'!EM114)</f>
      </c>
      <c r="J113" s="479">
        <f>IF('[1]BASE'!EN114="","",'[1]BASE'!EN114)</f>
      </c>
      <c r="K113" s="479">
        <f>IF('[1]BASE'!EO114="","",'[1]BASE'!EO114)</f>
        <v>1</v>
      </c>
      <c r="L113" s="479">
        <f>IF('[1]BASE'!EP114="","",'[1]BASE'!EP114)</f>
      </c>
      <c r="M113" s="479">
        <f>IF('[1]BASE'!EQ114="","",'[1]BASE'!EQ114)</f>
      </c>
      <c r="N113" s="479">
        <f>IF('[1]BASE'!ER114="","",'[1]BASE'!ER114)</f>
      </c>
      <c r="O113" s="479">
        <f>IF('[1]BASE'!ES114="","",'[1]BASE'!ES114)</f>
      </c>
      <c r="P113" s="479">
        <f>IF('[1]BASE'!ET114="","",'[1]BASE'!ET114)</f>
      </c>
      <c r="Q113" s="479">
        <f>IF('[1]BASE'!EU114="","",'[1]BASE'!EU114)</f>
      </c>
      <c r="R113" s="479">
        <f>IF('[1]BASE'!EV114="","",'[1]BASE'!EV114)</f>
      </c>
      <c r="S113" s="479">
        <f>IF('[1]BASE'!EW114="","",'[1]BASE'!EW114)</f>
      </c>
      <c r="T113" s="479">
        <f>IF('[1]BASE'!EX114="","",'[1]BASE'!EX114)</f>
        <v>1</v>
      </c>
      <c r="U113" s="480"/>
      <c r="V113" s="475"/>
    </row>
    <row r="114" spans="2:22" s="469" customFormat="1" ht="19.5" customHeight="1">
      <c r="B114" s="470"/>
      <c r="C114" s="483">
        <f>IF('[1]BASE'!C115="","",'[1]BASE'!C115)</f>
        <v>99</v>
      </c>
      <c r="D114" s="486">
        <f>IF('[1]BASE'!D115="","",'[1]BASE'!D115)</f>
        <v>1436</v>
      </c>
      <c r="E114" s="486" t="str">
        <f>IF('[1]BASE'!E115="","",'[1]BASE'!E115)</f>
        <v>TRENQUE LAUQUEN - PEHUAJO</v>
      </c>
      <c r="F114" s="486">
        <f>IF('[1]BASE'!F115="","",'[1]BASE'!F115)</f>
        <v>66</v>
      </c>
      <c r="G114" s="484">
        <f>IF('[1]BASE'!G115="","",'[1]BASE'!G115)</f>
        <v>80.1</v>
      </c>
      <c r="H114" s="478" t="str">
        <f>'[1]BASE'!H115</f>
        <v>B</v>
      </c>
      <c r="I114" s="479">
        <f>IF('[1]BASE'!EM115="","",'[1]BASE'!EM115)</f>
      </c>
      <c r="J114" s="479">
        <f>IF('[1]BASE'!EN115="","",'[1]BASE'!EN115)</f>
      </c>
      <c r="K114" s="479">
        <f>IF('[1]BASE'!EO115="","",'[1]BASE'!EO115)</f>
      </c>
      <c r="L114" s="479">
        <f>IF('[1]BASE'!EP115="","",'[1]BASE'!EP115)</f>
      </c>
      <c r="M114" s="479">
        <f>IF('[1]BASE'!EQ115="","",'[1]BASE'!EQ115)</f>
      </c>
      <c r="N114" s="479">
        <f>IF('[1]BASE'!ER115="","",'[1]BASE'!ER115)</f>
      </c>
      <c r="O114" s="479">
        <f>IF('[1]BASE'!ES115="","",'[1]BASE'!ES115)</f>
      </c>
      <c r="P114" s="479">
        <f>IF('[1]BASE'!ET115="","",'[1]BASE'!ET115)</f>
      </c>
      <c r="Q114" s="479">
        <f>IF('[1]BASE'!EU115="","",'[1]BASE'!EU115)</f>
      </c>
      <c r="R114" s="479">
        <f>IF('[1]BASE'!EV115="","",'[1]BASE'!EV115)</f>
      </c>
      <c r="S114" s="479">
        <f>IF('[1]BASE'!EW115="","",'[1]BASE'!EW115)</f>
        <v>1</v>
      </c>
      <c r="T114" s="479">
        <f>IF('[1]BASE'!EX115="","",'[1]BASE'!EX115)</f>
        <v>1</v>
      </c>
      <c r="U114" s="480"/>
      <c r="V114" s="475"/>
    </row>
    <row r="115" spans="2:22" s="469" customFormat="1" ht="19.5" customHeight="1">
      <c r="B115" s="470"/>
      <c r="C115" s="481">
        <f>IF('[1]BASE'!C116="","",'[1]BASE'!C116)</f>
        <v>100</v>
      </c>
      <c r="D115" s="487">
        <f>IF('[1]BASE'!D116="","",'[1]BASE'!D116)</f>
        <v>3556</v>
      </c>
      <c r="E115" s="487" t="str">
        <f>IF('[1]BASE'!E116="","",'[1]BASE'!E116)</f>
        <v>NUEVA CAMPANA - MINETTI (CORCEMAR)</v>
      </c>
      <c r="F115" s="487">
        <f>IF('[1]BASE'!F116="","",'[1]BASE'!F116)</f>
        <v>132</v>
      </c>
      <c r="G115" s="482">
        <f>IF('[1]BASE'!G116="","",'[1]BASE'!G116)</f>
        <v>5</v>
      </c>
      <c r="H115" s="478" t="str">
        <f>'[1]BASE'!H116</f>
        <v>C</v>
      </c>
      <c r="I115" s="479">
        <f>IF('[1]BASE'!EM116="","",'[1]BASE'!EM116)</f>
      </c>
      <c r="J115" s="479">
        <f>IF('[1]BASE'!EN116="","",'[1]BASE'!EN116)</f>
        <v>2</v>
      </c>
      <c r="K115" s="479">
        <f>IF('[1]BASE'!EO116="","",'[1]BASE'!EO116)</f>
      </c>
      <c r="L115" s="479">
        <f>IF('[1]BASE'!EP116="","",'[1]BASE'!EP116)</f>
      </c>
      <c r="M115" s="479">
        <f>IF('[1]BASE'!EQ116="","",'[1]BASE'!EQ116)</f>
      </c>
      <c r="N115" s="479">
        <f>IF('[1]BASE'!ER116="","",'[1]BASE'!ER116)</f>
      </c>
      <c r="O115" s="479">
        <f>IF('[1]BASE'!ES116="","",'[1]BASE'!ES116)</f>
      </c>
      <c r="P115" s="479">
        <f>IF('[1]BASE'!ET116="","",'[1]BASE'!ET116)</f>
      </c>
      <c r="Q115" s="479">
        <f>IF('[1]BASE'!EU116="","",'[1]BASE'!EU116)</f>
      </c>
      <c r="R115" s="479">
        <f>IF('[1]BASE'!EV116="","",'[1]BASE'!EV116)</f>
      </c>
      <c r="S115" s="479">
        <f>IF('[1]BASE'!EW116="","",'[1]BASE'!EW116)</f>
      </c>
      <c r="T115" s="479">
        <f>IF('[1]BASE'!EX116="","",'[1]BASE'!EX116)</f>
      </c>
      <c r="U115" s="480"/>
      <c r="V115" s="475"/>
    </row>
    <row r="116" spans="2:22" s="469" customFormat="1" ht="19.5" customHeight="1">
      <c r="B116" s="470"/>
      <c r="C116" s="483">
        <f>IF('[1]BASE'!C117="","",'[1]BASE'!C117)</f>
        <v>101</v>
      </c>
      <c r="D116" s="486">
        <f>IF('[1]BASE'!D117="","",'[1]BASE'!D117)</f>
        <v>3557</v>
      </c>
      <c r="E116" s="486" t="str">
        <f>IF('[1]BASE'!E117="","",'[1]BASE'!E117)</f>
        <v>(CORCEMAR) MINETTI - ZARATE</v>
      </c>
      <c r="F116" s="489">
        <f>IF('[1]BASE'!F117="","",'[1]BASE'!F117)</f>
        <v>132</v>
      </c>
      <c r="G116" s="484">
        <f>IF('[1]BASE'!G117="","",'[1]BASE'!G117)</f>
        <v>7</v>
      </c>
      <c r="H116" s="478" t="str">
        <f>'[1]BASE'!H117</f>
        <v>C</v>
      </c>
      <c r="I116" s="479">
        <f>IF('[1]BASE'!EM117="","",'[1]BASE'!EM117)</f>
      </c>
      <c r="J116" s="479">
        <f>IF('[1]BASE'!EN117="","",'[1]BASE'!EN117)</f>
      </c>
      <c r="K116" s="479">
        <f>IF('[1]BASE'!EO117="","",'[1]BASE'!EO117)</f>
      </c>
      <c r="L116" s="479">
        <f>IF('[1]BASE'!EP117="","",'[1]BASE'!EP117)</f>
      </c>
      <c r="M116" s="479">
        <f>IF('[1]BASE'!EQ117="","",'[1]BASE'!EQ117)</f>
      </c>
      <c r="N116" s="479">
        <f>IF('[1]BASE'!ER117="","",'[1]BASE'!ER117)</f>
      </c>
      <c r="O116" s="479">
        <f>IF('[1]BASE'!ES117="","",'[1]BASE'!ES117)</f>
      </c>
      <c r="P116" s="479">
        <f>IF('[1]BASE'!ET117="","",'[1]BASE'!ET117)</f>
      </c>
      <c r="Q116" s="479">
        <f>IF('[1]BASE'!EU117="","",'[1]BASE'!EU117)</f>
      </c>
      <c r="R116" s="479">
        <f>IF('[1]BASE'!EV117="","",'[1]BASE'!EV117)</f>
      </c>
      <c r="S116" s="479">
        <f>IF('[1]BASE'!EW117="","",'[1]BASE'!EW117)</f>
      </c>
      <c r="T116" s="479">
        <f>IF('[1]BASE'!EX117="","",'[1]BASE'!EX117)</f>
      </c>
      <c r="U116" s="480"/>
      <c r="V116" s="475"/>
    </row>
    <row r="117" spans="2:22" s="469" customFormat="1" ht="19.5" customHeight="1">
      <c r="B117" s="470"/>
      <c r="C117" s="481">
        <f>IF('[1]BASE'!C118="","",'[1]BASE'!C118)</f>
        <v>102</v>
      </c>
      <c r="D117" s="487">
        <f>IF('[1]BASE'!D118="","",'[1]BASE'!D118)</f>
        <v>3285</v>
      </c>
      <c r="E117" s="487" t="str">
        <f>IF('[1]BASE'!E118="","",'[1]BASE'!E118)</f>
        <v>EASTMAN T - PROTISA</v>
      </c>
      <c r="F117" s="490">
        <f>IF('[1]BASE'!F118="","",'[1]BASE'!F118)</f>
        <v>132</v>
      </c>
      <c r="G117" s="482">
        <f>IF('[1]BASE'!G118="","",'[1]BASE'!G118)</f>
        <v>5.5</v>
      </c>
      <c r="H117" s="478" t="str">
        <f>'[1]BASE'!H118</f>
        <v>C</v>
      </c>
      <c r="I117" s="479">
        <f>IF('[1]BASE'!EM118="","",'[1]BASE'!EM118)</f>
      </c>
      <c r="J117" s="479">
        <f>IF('[1]BASE'!EN118="","",'[1]BASE'!EN118)</f>
      </c>
      <c r="K117" s="479">
        <f>IF('[1]BASE'!EO118="","",'[1]BASE'!EO118)</f>
      </c>
      <c r="L117" s="479">
        <f>IF('[1]BASE'!EP118="","",'[1]BASE'!EP118)</f>
      </c>
      <c r="M117" s="479">
        <f>IF('[1]BASE'!EQ118="","",'[1]BASE'!EQ118)</f>
      </c>
      <c r="N117" s="479">
        <f>IF('[1]BASE'!ER118="","",'[1]BASE'!ER118)</f>
      </c>
      <c r="O117" s="479">
        <f>IF('[1]BASE'!ES118="","",'[1]BASE'!ES118)</f>
      </c>
      <c r="P117" s="479">
        <f>IF('[1]BASE'!ET118="","",'[1]BASE'!ET118)</f>
      </c>
      <c r="Q117" s="479">
        <f>IF('[1]BASE'!EU118="","",'[1]BASE'!EU118)</f>
      </c>
      <c r="R117" s="479">
        <f>IF('[1]BASE'!EV118="","",'[1]BASE'!EV118)</f>
      </c>
      <c r="S117" s="479">
        <f>IF('[1]BASE'!EW118="","",'[1]BASE'!EW118)</f>
      </c>
      <c r="T117" s="479" t="str">
        <f>IF('[1]BASE'!EX118="","",'[1]BASE'!EX118)</f>
        <v>XXXX</v>
      </c>
      <c r="U117" s="480"/>
      <c r="V117" s="475"/>
    </row>
    <row r="118" spans="2:22" s="469" customFormat="1" ht="19.5" customHeight="1">
      <c r="B118" s="470"/>
      <c r="C118" s="483">
        <f>IF('[1]BASE'!C119="","",'[1]BASE'!C119)</f>
        <v>103</v>
      </c>
      <c r="D118" s="486">
        <f>IF('[1]BASE'!D119="","",'[1]BASE'!D119)</f>
        <v>3286</v>
      </c>
      <c r="E118" s="486" t="str">
        <f>IF('[1]BASE'!E119="","",'[1]BASE'!E119)</f>
        <v>PROTISA - EASTMAN</v>
      </c>
      <c r="F118" s="489">
        <f>IF('[1]BASE'!F119="","",'[1]BASE'!F119)</f>
        <v>132</v>
      </c>
      <c r="G118" s="484">
        <f>IF('[1]BASE'!G119="","",'[1]BASE'!G119)</f>
        <v>1</v>
      </c>
      <c r="H118" s="478" t="str">
        <f>'[1]BASE'!H119</f>
        <v>C</v>
      </c>
      <c r="I118" s="479">
        <f>IF('[1]BASE'!EM119="","",'[1]BASE'!EM119)</f>
      </c>
      <c r="J118" s="479">
        <f>IF('[1]BASE'!EN119="","",'[1]BASE'!EN119)</f>
      </c>
      <c r="K118" s="479">
        <f>IF('[1]BASE'!EO119="","",'[1]BASE'!EO119)</f>
      </c>
      <c r="L118" s="479">
        <f>IF('[1]BASE'!EP119="","",'[1]BASE'!EP119)</f>
      </c>
      <c r="M118" s="479">
        <f>IF('[1]BASE'!EQ119="","",'[1]BASE'!EQ119)</f>
      </c>
      <c r="N118" s="479">
        <f>IF('[1]BASE'!ER119="","",'[1]BASE'!ER119)</f>
      </c>
      <c r="O118" s="479">
        <f>IF('[1]BASE'!ES119="","",'[1]BASE'!ES119)</f>
      </c>
      <c r="P118" s="479">
        <f>IF('[1]BASE'!ET119="","",'[1]BASE'!ET119)</f>
      </c>
      <c r="Q118" s="479">
        <f>IF('[1]BASE'!EU119="","",'[1]BASE'!EU119)</f>
      </c>
      <c r="R118" s="479">
        <f>IF('[1]BASE'!EV119="","",'[1]BASE'!EV119)</f>
      </c>
      <c r="S118" s="479">
        <f>IF('[1]BASE'!EW119="","",'[1]BASE'!EW119)</f>
      </c>
      <c r="T118" s="479">
        <f>IF('[1]BASE'!EX119="","",'[1]BASE'!EX119)</f>
      </c>
      <c r="U118" s="480"/>
      <c r="V118" s="475"/>
    </row>
    <row r="119" spans="2:22" s="469" customFormat="1" ht="19.5" customHeight="1">
      <c r="B119" s="470"/>
      <c r="C119" s="481">
        <f>IF('[1]BASE'!C120="","",'[1]BASE'!C120)</f>
        <v>104</v>
      </c>
      <c r="D119" s="487">
        <f>IF('[1]BASE'!D120="","",'[1]BASE'!D120)</f>
        <v>3482</v>
      </c>
      <c r="E119" s="487" t="str">
        <f>IF('[1]BASE'!E120="","",'[1]BASE'!E120)</f>
        <v>BAHIA BLANCA - PETROQ. BAHIA BLANCA 2</v>
      </c>
      <c r="F119" s="487">
        <f>IF('[1]BASE'!F120="","",'[1]BASE'!F120)</f>
        <v>132</v>
      </c>
      <c r="G119" s="482">
        <f>IF('[1]BASE'!G120="","",'[1]BASE'!G120)</f>
        <v>29.8</v>
      </c>
      <c r="H119" s="478" t="str">
        <f>'[1]BASE'!H120</f>
        <v>C</v>
      </c>
      <c r="I119" s="479">
        <f>IF('[1]BASE'!EM120="","",'[1]BASE'!EM120)</f>
      </c>
      <c r="J119" s="479">
        <f>IF('[1]BASE'!EN120="","",'[1]BASE'!EN120)</f>
      </c>
      <c r="K119" s="479">
        <f>IF('[1]BASE'!EO120="","",'[1]BASE'!EO120)</f>
      </c>
      <c r="L119" s="479">
        <f>IF('[1]BASE'!EP120="","",'[1]BASE'!EP120)</f>
      </c>
      <c r="M119" s="479">
        <f>IF('[1]BASE'!EQ120="","",'[1]BASE'!EQ120)</f>
      </c>
      <c r="N119" s="479">
        <f>IF('[1]BASE'!ER120="","",'[1]BASE'!ER120)</f>
      </c>
      <c r="O119" s="479">
        <f>IF('[1]BASE'!ES120="","",'[1]BASE'!ES120)</f>
      </c>
      <c r="P119" s="479">
        <f>IF('[1]BASE'!ET120="","",'[1]BASE'!ET120)</f>
      </c>
      <c r="Q119" s="479">
        <f>IF('[1]BASE'!EU120="","",'[1]BASE'!EU120)</f>
      </c>
      <c r="R119" s="479">
        <f>IF('[1]BASE'!EV120="","",'[1]BASE'!EV120)</f>
      </c>
      <c r="S119" s="479">
        <f>IF('[1]BASE'!EW120="","",'[1]BASE'!EW120)</f>
      </c>
      <c r="T119" s="479">
        <f>IF('[1]BASE'!EX120="","",'[1]BASE'!EX120)</f>
      </c>
      <c r="U119" s="480"/>
      <c r="V119" s="475"/>
    </row>
    <row r="120" spans="2:22" s="469" customFormat="1" ht="19.5" customHeight="1">
      <c r="B120" s="470"/>
      <c r="C120" s="483">
        <f>IF('[1]BASE'!C121="","",'[1]BASE'!C121)</f>
        <v>105</v>
      </c>
      <c r="D120" s="486">
        <f>IF('[1]BASE'!D121="","",'[1]BASE'!D121)</f>
        <v>3483</v>
      </c>
      <c r="E120" s="486" t="str">
        <f>IF('[1]BASE'!E121="","",'[1]BASE'!E121)</f>
        <v>BAHIA BLANCA - PETROQ. BAHIA BLANCA 3</v>
      </c>
      <c r="F120" s="486">
        <f>IF('[1]BASE'!F121="","",'[1]BASE'!F121)</f>
        <v>132</v>
      </c>
      <c r="G120" s="484">
        <f>IF('[1]BASE'!G121="","",'[1]BASE'!G121)</f>
        <v>29.8</v>
      </c>
      <c r="H120" s="478" t="str">
        <f>'[1]BASE'!H121</f>
        <v>C</v>
      </c>
      <c r="I120" s="479">
        <f>IF('[1]BASE'!EM121="","",'[1]BASE'!EM121)</f>
      </c>
      <c r="J120" s="479">
        <f>IF('[1]BASE'!EN121="","",'[1]BASE'!EN121)</f>
      </c>
      <c r="K120" s="479">
        <f>IF('[1]BASE'!EO121="","",'[1]BASE'!EO121)</f>
      </c>
      <c r="L120" s="479">
        <f>IF('[1]BASE'!EP121="","",'[1]BASE'!EP121)</f>
      </c>
      <c r="M120" s="479">
        <f>IF('[1]BASE'!EQ121="","",'[1]BASE'!EQ121)</f>
      </c>
      <c r="N120" s="479">
        <f>IF('[1]BASE'!ER121="","",'[1]BASE'!ER121)</f>
      </c>
      <c r="O120" s="479">
        <f>IF('[1]BASE'!ES121="","",'[1]BASE'!ES121)</f>
      </c>
      <c r="P120" s="479">
        <f>IF('[1]BASE'!ET121="","",'[1]BASE'!ET121)</f>
      </c>
      <c r="Q120" s="479">
        <f>IF('[1]BASE'!EU121="","",'[1]BASE'!EU121)</f>
      </c>
      <c r="R120" s="479">
        <f>IF('[1]BASE'!EV121="","",'[1]BASE'!EV121)</f>
      </c>
      <c r="S120" s="479">
        <f>IF('[1]BASE'!EW121="","",'[1]BASE'!EW121)</f>
      </c>
      <c r="T120" s="479">
        <f>IF('[1]BASE'!EX121="","",'[1]BASE'!EX121)</f>
      </c>
      <c r="U120" s="480"/>
      <c r="V120" s="475"/>
    </row>
    <row r="121" spans="2:22" s="469" customFormat="1" ht="19.5" customHeight="1">
      <c r="B121" s="470"/>
      <c r="C121" s="481">
        <f>IF('[1]BASE'!C122="","",'[1]BASE'!C122)</f>
        <v>106</v>
      </c>
      <c r="D121" s="487">
        <f>IF('[1]BASE'!D122="","",'[1]BASE'!D122)</f>
        <v>3541</v>
      </c>
      <c r="E121" s="487" t="str">
        <f>IF('[1]BASE'!E122="","",'[1]BASE'!E122)</f>
        <v>PETROQ. BAHIA BLANCA - PROFERTIL</v>
      </c>
      <c r="F121" s="487">
        <f>IF('[1]BASE'!F122="","",'[1]BASE'!F122)</f>
        <v>132</v>
      </c>
      <c r="G121" s="482">
        <f>IF('[1]BASE'!G122="","",'[1]BASE'!G122)</f>
        <v>1.8</v>
      </c>
      <c r="H121" s="478" t="str">
        <f>'[1]BASE'!H122</f>
        <v>C</v>
      </c>
      <c r="I121" s="479">
        <f>IF('[1]BASE'!EM122="","",'[1]BASE'!EM122)</f>
      </c>
      <c r="J121" s="479">
        <f>IF('[1]BASE'!EN122="","",'[1]BASE'!EN122)</f>
      </c>
      <c r="K121" s="479">
        <f>IF('[1]BASE'!EO122="","",'[1]BASE'!EO122)</f>
      </c>
      <c r="L121" s="479">
        <f>IF('[1]BASE'!EP122="","",'[1]BASE'!EP122)</f>
      </c>
      <c r="M121" s="479">
        <f>IF('[1]BASE'!EQ122="","",'[1]BASE'!EQ122)</f>
      </c>
      <c r="N121" s="479">
        <f>IF('[1]BASE'!ER122="","",'[1]BASE'!ER122)</f>
      </c>
      <c r="O121" s="479">
        <f>IF('[1]BASE'!ES122="","",'[1]BASE'!ES122)</f>
      </c>
      <c r="P121" s="479">
        <f>IF('[1]BASE'!ET122="","",'[1]BASE'!ET122)</f>
      </c>
      <c r="Q121" s="479">
        <f>IF('[1]BASE'!EU122="","",'[1]BASE'!EU122)</f>
      </c>
      <c r="R121" s="479">
        <f>IF('[1]BASE'!EV122="","",'[1]BASE'!EV122)</f>
      </c>
      <c r="S121" s="479">
        <f>IF('[1]BASE'!EW122="","",'[1]BASE'!EW122)</f>
      </c>
      <c r="T121" s="479">
        <f>IF('[1]BASE'!EX122="","",'[1]BASE'!EX122)</f>
      </c>
      <c r="U121" s="480"/>
      <c r="V121" s="475"/>
    </row>
    <row r="122" spans="2:22" s="469" customFormat="1" ht="19.5" customHeight="1">
      <c r="B122" s="470"/>
      <c r="C122" s="483">
        <f>IF('[1]BASE'!C123="","",'[1]BASE'!C123)</f>
        <v>107</v>
      </c>
      <c r="D122" s="486">
        <f>IF('[1]BASE'!D123="","",'[1]BASE'!D123)</f>
        <v>3575</v>
      </c>
      <c r="E122" s="486" t="str">
        <f>IF('[1]BASE'!E123="","",'[1]BASE'!E123)</f>
        <v>NUEVA CAMPANA - PRAXAIR</v>
      </c>
      <c r="F122" s="489">
        <f>IF('[1]BASE'!F123="","",'[1]BASE'!F123)</f>
        <v>132</v>
      </c>
      <c r="G122" s="484">
        <f>IF('[1]BASE'!G123="","",'[1]BASE'!G123)</f>
        <v>6.1</v>
      </c>
      <c r="H122" s="478" t="str">
        <f>'[1]BASE'!H123</f>
        <v>C</v>
      </c>
      <c r="I122" s="479">
        <f>IF('[1]BASE'!EM123="","",'[1]BASE'!EM123)</f>
      </c>
      <c r="J122" s="479">
        <f>IF('[1]BASE'!EN123="","",'[1]BASE'!EN123)</f>
      </c>
      <c r="K122" s="479">
        <f>IF('[1]BASE'!EO123="","",'[1]BASE'!EO123)</f>
      </c>
      <c r="L122" s="479">
        <f>IF('[1]BASE'!EP123="","",'[1]BASE'!EP123)</f>
      </c>
      <c r="M122" s="479">
        <f>IF('[1]BASE'!EQ123="","",'[1]BASE'!EQ123)</f>
      </c>
      <c r="N122" s="479">
        <f>IF('[1]BASE'!ER123="","",'[1]BASE'!ER123)</f>
      </c>
      <c r="O122" s="479">
        <f>IF('[1]BASE'!ES123="","",'[1]BASE'!ES123)</f>
      </c>
      <c r="P122" s="479">
        <f>IF('[1]BASE'!ET123="","",'[1]BASE'!ET123)</f>
      </c>
      <c r="Q122" s="479">
        <f>IF('[1]BASE'!EU123="","",'[1]BASE'!EU123)</f>
      </c>
      <c r="R122" s="479">
        <f>IF('[1]BASE'!EV123="","",'[1]BASE'!EV123)</f>
      </c>
      <c r="S122" s="479">
        <f>IF('[1]BASE'!EW123="","",'[1]BASE'!EW123)</f>
        <v>2</v>
      </c>
      <c r="T122" s="479">
        <f>IF('[1]BASE'!EX123="","",'[1]BASE'!EX123)</f>
      </c>
      <c r="U122" s="480"/>
      <c r="V122" s="475"/>
    </row>
    <row r="123" spans="2:22" s="469" customFormat="1" ht="19.5" customHeight="1">
      <c r="B123" s="470"/>
      <c r="C123" s="481">
        <f>IF('[1]BASE'!C124="","",'[1]BASE'!C124)</f>
        <v>108</v>
      </c>
      <c r="D123" s="487">
        <f>IF('[1]BASE'!D124="","",'[1]BASE'!D124)</f>
        <v>3576</v>
      </c>
      <c r="E123" s="487" t="str">
        <f>IF('[1]BASE'!E124="","",'[1]BASE'!E124)</f>
        <v>PRAXAIR - CAMPANA</v>
      </c>
      <c r="F123" s="490">
        <f>IF('[1]BASE'!F124="","",'[1]BASE'!F124)</f>
        <v>132</v>
      </c>
      <c r="G123" s="482">
        <f>IF('[1]BASE'!G124="","",'[1]BASE'!G124)</f>
        <v>1.1</v>
      </c>
      <c r="H123" s="478" t="str">
        <f>'[1]BASE'!H124</f>
        <v>C</v>
      </c>
      <c r="I123" s="479">
        <f>IF('[1]BASE'!EM124="","",'[1]BASE'!EM124)</f>
      </c>
      <c r="J123" s="479">
        <f>IF('[1]BASE'!EN124="","",'[1]BASE'!EN124)</f>
      </c>
      <c r="K123" s="479">
        <f>IF('[1]BASE'!EO124="","",'[1]BASE'!EO124)</f>
      </c>
      <c r="L123" s="479">
        <f>IF('[1]BASE'!EP124="","",'[1]BASE'!EP124)</f>
      </c>
      <c r="M123" s="479">
        <f>IF('[1]BASE'!EQ124="","",'[1]BASE'!EQ124)</f>
      </c>
      <c r="N123" s="479">
        <f>IF('[1]BASE'!ER124="","",'[1]BASE'!ER124)</f>
      </c>
      <c r="O123" s="479">
        <f>IF('[1]BASE'!ES124="","",'[1]BASE'!ES124)</f>
      </c>
      <c r="P123" s="479">
        <f>IF('[1]BASE'!ET124="","",'[1]BASE'!ET124)</f>
      </c>
      <c r="Q123" s="479">
        <f>IF('[1]BASE'!EU124="","",'[1]BASE'!EU124)</f>
      </c>
      <c r="R123" s="479">
        <f>IF('[1]BASE'!EV124="","",'[1]BASE'!EV124)</f>
      </c>
      <c r="S123" s="479">
        <f>IF('[1]BASE'!EW124="","",'[1]BASE'!EW124)</f>
        <v>1</v>
      </c>
      <c r="T123" s="479">
        <f>IF('[1]BASE'!EX124="","",'[1]BASE'!EX124)</f>
      </c>
      <c r="U123" s="480"/>
      <c r="V123" s="475"/>
    </row>
    <row r="124" spans="2:22" s="469" customFormat="1" ht="19.5" customHeight="1">
      <c r="B124" s="470"/>
      <c r="C124" s="483">
        <f>IF('[1]BASE'!C125="","",'[1]BASE'!C125)</f>
        <v>109</v>
      </c>
      <c r="D124" s="486">
        <f>IF('[1]BASE'!D125="","",'[1]BASE'!D125)</f>
        <v>3596</v>
      </c>
      <c r="E124" s="486" t="str">
        <f>IF('[1]BASE'!E125="","",'[1]BASE'!E125)</f>
        <v>PUNTA ALTA - CORONEL ROSALES</v>
      </c>
      <c r="F124" s="489">
        <f>IF('[1]BASE'!F125="","",'[1]BASE'!F125)</f>
        <v>132</v>
      </c>
      <c r="G124" s="484">
        <f>IF('[1]BASE'!G125="","",'[1]BASE'!G125)</f>
        <v>4.1</v>
      </c>
      <c r="H124" s="478" t="str">
        <f>'[1]BASE'!H125</f>
        <v>C</v>
      </c>
      <c r="I124" s="479">
        <f>IF('[1]BASE'!EM125="","",'[1]BASE'!EM125)</f>
      </c>
      <c r="J124" s="479">
        <f>IF('[1]BASE'!EN125="","",'[1]BASE'!EN125)</f>
      </c>
      <c r="K124" s="479">
        <f>IF('[1]BASE'!EO125="","",'[1]BASE'!EO125)</f>
      </c>
      <c r="L124" s="479">
        <f>IF('[1]BASE'!EP125="","",'[1]BASE'!EP125)</f>
      </c>
      <c r="M124" s="479">
        <f>IF('[1]BASE'!EQ125="","",'[1]BASE'!EQ125)</f>
      </c>
      <c r="N124" s="479">
        <f>IF('[1]BASE'!ER125="","",'[1]BASE'!ER125)</f>
      </c>
      <c r="O124" s="479">
        <f>IF('[1]BASE'!ES125="","",'[1]BASE'!ES125)</f>
      </c>
      <c r="P124" s="479">
        <f>IF('[1]BASE'!ET125="","",'[1]BASE'!ET125)</f>
      </c>
      <c r="Q124" s="479">
        <f>IF('[1]BASE'!EU125="","",'[1]BASE'!EU125)</f>
      </c>
      <c r="R124" s="479">
        <f>IF('[1]BASE'!EV125="","",'[1]BASE'!EV125)</f>
      </c>
      <c r="S124" s="479">
        <f>IF('[1]BASE'!EW125="","",'[1]BASE'!EW125)</f>
      </c>
      <c r="T124" s="479">
        <f>IF('[1]BASE'!EX125="","",'[1]BASE'!EX125)</f>
      </c>
      <c r="U124" s="480"/>
      <c r="V124" s="475"/>
    </row>
    <row r="125" spans="2:22" s="469" customFormat="1" ht="19.5" customHeight="1">
      <c r="B125" s="470"/>
      <c r="C125" s="481">
        <f>IF('[1]BASE'!C126="","",'[1]BASE'!C126)</f>
        <v>110</v>
      </c>
      <c r="D125" s="487">
        <f>IF('[1]BASE'!D126="","",'[1]BASE'!D126)</f>
        <v>3535</v>
      </c>
      <c r="E125" s="487" t="str">
        <f>IF('[1]BASE'!E126="","",'[1]BASE'!E126)</f>
        <v>PAPEL PRENSA - BARADERO</v>
      </c>
      <c r="F125" s="487">
        <f>IF('[1]BASE'!F126="","",'[1]BASE'!F126)</f>
        <v>132</v>
      </c>
      <c r="G125" s="482">
        <f>IF('[1]BASE'!G126="","",'[1]BASE'!G126)</f>
        <v>24</v>
      </c>
      <c r="H125" s="478" t="str">
        <f>'[1]BASE'!H126</f>
        <v>C</v>
      </c>
      <c r="I125" s="479">
        <f>IF('[1]BASE'!EM126="","",'[1]BASE'!EM126)</f>
      </c>
      <c r="J125" s="479">
        <f>IF('[1]BASE'!EN126="","",'[1]BASE'!EN126)</f>
      </c>
      <c r="K125" s="479">
        <f>IF('[1]BASE'!EO126="","",'[1]BASE'!EO126)</f>
      </c>
      <c r="L125" s="479">
        <f>IF('[1]BASE'!EP126="","",'[1]BASE'!EP126)</f>
      </c>
      <c r="M125" s="479">
        <f>IF('[1]BASE'!EQ126="","",'[1]BASE'!EQ126)</f>
      </c>
      <c r="N125" s="479">
        <f>IF('[1]BASE'!ER126="","",'[1]BASE'!ER126)</f>
      </c>
      <c r="O125" s="479">
        <f>IF('[1]BASE'!ES126="","",'[1]BASE'!ES126)</f>
      </c>
      <c r="P125" s="479">
        <f>IF('[1]BASE'!ET126="","",'[1]BASE'!ET126)</f>
      </c>
      <c r="Q125" s="479">
        <f>IF('[1]BASE'!EU126="","",'[1]BASE'!EU126)</f>
      </c>
      <c r="R125" s="479">
        <f>IF('[1]BASE'!EV126="","",'[1]BASE'!EV126)</f>
      </c>
      <c r="S125" s="479">
        <f>IF('[1]BASE'!EW126="","",'[1]BASE'!EW126)</f>
      </c>
      <c r="T125" s="479">
        <f>IF('[1]BASE'!EX126="","",'[1]BASE'!EX126)</f>
      </c>
      <c r="U125" s="480"/>
      <c r="V125" s="475"/>
    </row>
    <row r="126" spans="2:22" s="469" customFormat="1" ht="19.5" customHeight="1">
      <c r="B126" s="470"/>
      <c r="C126" s="483">
        <f>IF('[1]BASE'!C127="","",'[1]BASE'!C127)</f>
        <v>111</v>
      </c>
      <c r="D126" s="486">
        <f>IF('[1]BASE'!D127="","",'[1]BASE'!D127)</f>
        <v>3715</v>
      </c>
      <c r="E126" s="486" t="str">
        <f>IF('[1]BASE'!E127="","",'[1]BASE'!E127)</f>
        <v>SALTO BA - CHACABUCO</v>
      </c>
      <c r="F126" s="486">
        <f>IF('[1]BASE'!F127="","",'[1]BASE'!F127)</f>
        <v>132</v>
      </c>
      <c r="G126" s="484">
        <f>IF('[1]BASE'!G127="","",'[1]BASE'!G127)</f>
        <v>60.1</v>
      </c>
      <c r="H126" s="478" t="str">
        <f>'[1]BASE'!H127</f>
        <v>C</v>
      </c>
      <c r="I126" s="479">
        <f>IF('[1]BASE'!EM127="","",'[1]BASE'!EM127)</f>
      </c>
      <c r="J126" s="479">
        <f>IF('[1]BASE'!EN127="","",'[1]BASE'!EN127)</f>
      </c>
      <c r="K126" s="479">
        <f>IF('[1]BASE'!EO127="","",'[1]BASE'!EO127)</f>
      </c>
      <c r="L126" s="479">
        <f>IF('[1]BASE'!EP127="","",'[1]BASE'!EP127)</f>
      </c>
      <c r="M126" s="479">
        <f>IF('[1]BASE'!EQ127="","",'[1]BASE'!EQ127)</f>
        <v>1</v>
      </c>
      <c r="N126" s="479">
        <f>IF('[1]BASE'!ER127="","",'[1]BASE'!ER127)</f>
      </c>
      <c r="O126" s="479">
        <f>IF('[1]BASE'!ES127="","",'[1]BASE'!ES127)</f>
      </c>
      <c r="P126" s="479">
        <f>IF('[1]BASE'!ET127="","",'[1]BASE'!ET127)</f>
      </c>
      <c r="Q126" s="479">
        <f>IF('[1]BASE'!EU127="","",'[1]BASE'!EU127)</f>
      </c>
      <c r="R126" s="479">
        <f>IF('[1]BASE'!EV127="","",'[1]BASE'!EV127)</f>
      </c>
      <c r="S126" s="479">
        <f>IF('[1]BASE'!EW127="","",'[1]BASE'!EW127)</f>
      </c>
      <c r="T126" s="479" t="str">
        <f>IF('[1]BASE'!EX127="","",'[1]BASE'!EX127)</f>
        <v>XXXX</v>
      </c>
      <c r="U126" s="480"/>
      <c r="V126" s="475"/>
    </row>
    <row r="127" spans="2:22" s="469" customFormat="1" ht="19.5" customHeight="1">
      <c r="B127" s="470"/>
      <c r="C127" s="481">
        <f>IF('[1]BASE'!C128="","",'[1]BASE'!C128)</f>
        <v>112</v>
      </c>
      <c r="D127" s="487">
        <f>IF('[1]BASE'!D128="","",'[1]BASE'!D128)</f>
        <v>3689</v>
      </c>
      <c r="E127" s="487" t="str">
        <f>IF('[1]BASE'!E128="","",'[1]BASE'!E128)</f>
        <v>LA PAMPITA - LAPRIDA</v>
      </c>
      <c r="F127" s="487">
        <f>IF('[1]BASE'!F128="","",'[1]BASE'!F128)</f>
        <v>132</v>
      </c>
      <c r="G127" s="482">
        <f>IF('[1]BASE'!G128="","",'[1]BASE'!G128)</f>
        <v>72.2</v>
      </c>
      <c r="H127" s="478" t="str">
        <f>'[1]BASE'!H128</f>
        <v>C</v>
      </c>
      <c r="I127" s="479">
        <f>IF('[1]BASE'!EM128="","",'[1]BASE'!EM128)</f>
      </c>
      <c r="J127" s="479">
        <f>IF('[1]BASE'!EN128="","",'[1]BASE'!EN128)</f>
      </c>
      <c r="K127" s="479">
        <f>IF('[1]BASE'!EO128="","",'[1]BASE'!EO128)</f>
      </c>
      <c r="L127" s="479">
        <f>IF('[1]BASE'!EP128="","",'[1]BASE'!EP128)</f>
      </c>
      <c r="M127" s="479">
        <f>IF('[1]BASE'!EQ128="","",'[1]BASE'!EQ128)</f>
      </c>
      <c r="N127" s="479">
        <f>IF('[1]BASE'!ER128="","",'[1]BASE'!ER128)</f>
      </c>
      <c r="O127" s="479">
        <f>IF('[1]BASE'!ES128="","",'[1]BASE'!ES128)</f>
        <v>1</v>
      </c>
      <c r="P127" s="479">
        <f>IF('[1]BASE'!ET128="","",'[1]BASE'!ET128)</f>
      </c>
      <c r="Q127" s="479">
        <f>IF('[1]BASE'!EU128="","",'[1]BASE'!EU128)</f>
      </c>
      <c r="R127" s="479">
        <f>IF('[1]BASE'!EV128="","",'[1]BASE'!EV128)</f>
      </c>
      <c r="S127" s="479">
        <f>IF('[1]BASE'!EW128="","",'[1]BASE'!EW128)</f>
      </c>
      <c r="T127" s="479">
        <f>IF('[1]BASE'!EX128="","",'[1]BASE'!EX128)</f>
      </c>
      <c r="U127" s="480"/>
      <c r="V127" s="475"/>
    </row>
    <row r="128" spans="2:22" s="469" customFormat="1" ht="19.5" customHeight="1">
      <c r="B128" s="470"/>
      <c r="C128" s="483">
        <f>IF('[1]BASE'!C129="","",'[1]BASE'!C129)</f>
        <v>113</v>
      </c>
      <c r="D128" s="486">
        <f>IF('[1]BASE'!D129="","",'[1]BASE'!D129)</f>
        <v>3690</v>
      </c>
      <c r="E128" s="486" t="str">
        <f>IF('[1]BASE'!E129="","",'[1]BASE'!E129)</f>
        <v>OLAVARRIA - LA PAMPITA</v>
      </c>
      <c r="F128" s="489">
        <f>IF('[1]BASE'!F129="","",'[1]BASE'!F129)</f>
        <v>132</v>
      </c>
      <c r="G128" s="484">
        <f>IF('[1]BASE'!G129="","",'[1]BASE'!G129)</f>
        <v>27.5</v>
      </c>
      <c r="H128" s="478" t="str">
        <f>'[1]BASE'!H129</f>
        <v>C</v>
      </c>
      <c r="I128" s="479">
        <f>IF('[1]BASE'!EM129="","",'[1]BASE'!EM129)</f>
      </c>
      <c r="J128" s="479">
        <f>IF('[1]BASE'!EN129="","",'[1]BASE'!EN129)</f>
      </c>
      <c r="K128" s="479">
        <f>IF('[1]BASE'!EO129="","",'[1]BASE'!EO129)</f>
      </c>
      <c r="L128" s="479">
        <f>IF('[1]BASE'!EP129="","",'[1]BASE'!EP129)</f>
      </c>
      <c r="M128" s="479">
        <f>IF('[1]BASE'!EQ129="","",'[1]BASE'!EQ129)</f>
      </c>
      <c r="N128" s="479">
        <f>IF('[1]BASE'!ER129="","",'[1]BASE'!ER129)</f>
      </c>
      <c r="O128" s="479">
        <f>IF('[1]BASE'!ES129="","",'[1]BASE'!ES129)</f>
      </c>
      <c r="P128" s="479">
        <f>IF('[1]BASE'!ET129="","",'[1]BASE'!ET129)</f>
      </c>
      <c r="Q128" s="479">
        <f>IF('[1]BASE'!EU129="","",'[1]BASE'!EU129)</f>
      </c>
      <c r="R128" s="479">
        <f>IF('[1]BASE'!EV129="","",'[1]BASE'!EV129)</f>
      </c>
      <c r="S128" s="479">
        <f>IF('[1]BASE'!EW129="","",'[1]BASE'!EW129)</f>
      </c>
      <c r="T128" s="479">
        <f>IF('[1]BASE'!EX129="","",'[1]BASE'!EX129)</f>
      </c>
      <c r="U128" s="480"/>
      <c r="V128" s="475"/>
    </row>
    <row r="129" spans="2:22" s="469" customFormat="1" ht="19.5" customHeight="1">
      <c r="B129" s="470"/>
      <c r="C129" s="481">
        <f>IF('[1]BASE'!C130="","",'[1]BASE'!C130)</f>
        <v>114</v>
      </c>
      <c r="D129" s="487">
        <f>IF('[1]BASE'!D130="","",'[1]BASE'!D130)</f>
        <v>3796</v>
      </c>
      <c r="E129" s="487" t="str">
        <f>IF('[1]BASE'!E130="","",'[1]BASE'!E130)</f>
        <v>C. SARMIENTO - S.A. DE ARECO</v>
      </c>
      <c r="F129" s="490">
        <f>IF('[1]BASE'!F130="","",'[1]BASE'!F130)</f>
        <v>66</v>
      </c>
      <c r="G129" s="482">
        <f>IF('[1]BASE'!G130="","",'[1]BASE'!G130)</f>
        <v>31.5</v>
      </c>
      <c r="H129" s="478" t="str">
        <f>'[1]BASE'!H130</f>
        <v>C</v>
      </c>
      <c r="I129" s="479">
        <f>IF('[1]BASE'!EM130="","",'[1]BASE'!EM130)</f>
      </c>
      <c r="J129" s="479">
        <f>IF('[1]BASE'!EN130="","",'[1]BASE'!EN130)</f>
      </c>
      <c r="K129" s="479">
        <f>IF('[1]BASE'!EO130="","",'[1]BASE'!EO130)</f>
      </c>
      <c r="L129" s="479">
        <f>IF('[1]BASE'!EP130="","",'[1]BASE'!EP130)</f>
      </c>
      <c r="M129" s="479">
        <f>IF('[1]BASE'!EQ130="","",'[1]BASE'!EQ130)</f>
      </c>
      <c r="N129" s="479">
        <f>IF('[1]BASE'!ER130="","",'[1]BASE'!ER130)</f>
      </c>
      <c r="O129" s="479">
        <f>IF('[1]BASE'!ES130="","",'[1]BASE'!ES130)</f>
      </c>
      <c r="P129" s="479">
        <f>IF('[1]BASE'!ET130="","",'[1]BASE'!ET130)</f>
      </c>
      <c r="Q129" s="479">
        <f>IF('[1]BASE'!EU130="","",'[1]BASE'!EU130)</f>
      </c>
      <c r="R129" s="479">
        <f>IF('[1]BASE'!EV130="","",'[1]BASE'!EV130)</f>
      </c>
      <c r="S129" s="479">
        <f>IF('[1]BASE'!EW130="","",'[1]BASE'!EW130)</f>
      </c>
      <c r="T129" s="479">
        <f>IF('[1]BASE'!EX130="","",'[1]BASE'!EX130)</f>
      </c>
      <c r="U129" s="480"/>
      <c r="V129" s="475"/>
    </row>
    <row r="130" spans="2:22" s="469" customFormat="1" ht="19.5" customHeight="1">
      <c r="B130" s="470"/>
      <c r="C130" s="483">
        <f>IF('[1]BASE'!C131="","",'[1]BASE'!C131)</f>
        <v>115</v>
      </c>
      <c r="D130" s="486">
        <f>IF('[1]BASE'!D131="","",'[1]BASE'!D131)</f>
        <v>3797</v>
      </c>
      <c r="E130" s="486" t="str">
        <f>IF('[1]BASE'!E131="","",'[1]BASE'!E131)</f>
        <v>S.A. DE ARECO - LUJAN BAS</v>
      </c>
      <c r="F130" s="489">
        <f>IF('[1]BASE'!F131="","",'[1]BASE'!F131)</f>
        <v>66</v>
      </c>
      <c r="G130" s="484">
        <f>IF('[1]BASE'!G131="","",'[1]BASE'!G131)</f>
        <v>49.8</v>
      </c>
      <c r="H130" s="478" t="str">
        <f>'[1]BASE'!H131</f>
        <v>C</v>
      </c>
      <c r="I130" s="479">
        <f>IF('[1]BASE'!EM131="","",'[1]BASE'!EM131)</f>
      </c>
      <c r="J130" s="479">
        <f>IF('[1]BASE'!EN131="","",'[1]BASE'!EN131)</f>
      </c>
      <c r="K130" s="479">
        <f>IF('[1]BASE'!EO131="","",'[1]BASE'!EO131)</f>
      </c>
      <c r="L130" s="479">
        <f>IF('[1]BASE'!EP131="","",'[1]BASE'!EP131)</f>
      </c>
      <c r="M130" s="479">
        <f>IF('[1]BASE'!EQ131="","",'[1]BASE'!EQ131)</f>
      </c>
      <c r="N130" s="479">
        <f>IF('[1]BASE'!ER131="","",'[1]BASE'!ER131)</f>
      </c>
      <c r="O130" s="479">
        <f>IF('[1]BASE'!ES131="","",'[1]BASE'!ES131)</f>
      </c>
      <c r="P130" s="479">
        <f>IF('[1]BASE'!ET131="","",'[1]BASE'!ET131)</f>
      </c>
      <c r="Q130" s="479">
        <f>IF('[1]BASE'!EU131="","",'[1]BASE'!EU131)</f>
      </c>
      <c r="R130" s="479">
        <f>IF('[1]BASE'!EV131="","",'[1]BASE'!EV131)</f>
      </c>
      <c r="S130" s="479">
        <f>IF('[1]BASE'!EW131="","",'[1]BASE'!EW131)</f>
      </c>
      <c r="T130" s="479">
        <f>IF('[1]BASE'!EX131="","",'[1]BASE'!EX131)</f>
      </c>
      <c r="U130" s="480"/>
      <c r="V130" s="475"/>
    </row>
    <row r="131" spans="2:22" s="469" customFormat="1" ht="19.5" customHeight="1">
      <c r="B131" s="470"/>
      <c r="C131" s="481">
        <f>IF('[1]BASE'!C132="","",'[1]BASE'!C132)</f>
        <v>116</v>
      </c>
      <c r="D131" s="487">
        <f>IF('[1]BASE'!D132="","",'[1]BASE'!D132)</f>
        <v>3829</v>
      </c>
      <c r="E131" s="487" t="str">
        <f>IF('[1]BASE'!E132="","",'[1]BASE'!E132)</f>
        <v>OLAVARRIA - BARKER</v>
      </c>
      <c r="F131" s="487">
        <f>IF('[1]BASE'!F132="","",'[1]BASE'!F132)</f>
        <v>132</v>
      </c>
      <c r="G131" s="482">
        <f>IF('[1]BASE'!G132="","",'[1]BASE'!G132)</f>
        <v>139.4</v>
      </c>
      <c r="H131" s="478" t="str">
        <f>'[1]BASE'!H132</f>
        <v>C</v>
      </c>
      <c r="I131" s="479">
        <f>IF('[1]BASE'!EM132="","",'[1]BASE'!EM132)</f>
      </c>
      <c r="J131" s="479">
        <f>IF('[1]BASE'!EN132="","",'[1]BASE'!EN132)</f>
      </c>
      <c r="K131" s="479">
        <f>IF('[1]BASE'!EO132="","",'[1]BASE'!EO132)</f>
      </c>
      <c r="L131" s="479">
        <f>IF('[1]BASE'!EP132="","",'[1]BASE'!EP132)</f>
      </c>
      <c r="M131" s="479">
        <f>IF('[1]BASE'!EQ132="","",'[1]BASE'!EQ132)</f>
      </c>
      <c r="N131" s="479">
        <f>IF('[1]BASE'!ER132="","",'[1]BASE'!ER132)</f>
      </c>
      <c r="O131" s="479">
        <f>IF('[1]BASE'!ES132="","",'[1]BASE'!ES132)</f>
      </c>
      <c r="P131" s="479">
        <f>IF('[1]BASE'!ET132="","",'[1]BASE'!ET132)</f>
      </c>
      <c r="Q131" s="479">
        <f>IF('[1]BASE'!EU132="","",'[1]BASE'!EU132)</f>
      </c>
      <c r="R131" s="479">
        <f>IF('[1]BASE'!EV132="","",'[1]BASE'!EV132)</f>
      </c>
      <c r="S131" s="479">
        <f>IF('[1]BASE'!EW132="","",'[1]BASE'!EW132)</f>
      </c>
      <c r="T131" s="479">
        <f>IF('[1]BASE'!EX132="","",'[1]BASE'!EX132)</f>
      </c>
      <c r="U131" s="480"/>
      <c r="V131" s="475"/>
    </row>
    <row r="132" spans="2:22" s="469" customFormat="1" ht="19.5" customHeight="1">
      <c r="B132" s="470"/>
      <c r="C132" s="483">
        <f>IF('[1]BASE'!C133="","",'[1]BASE'!C133)</f>
        <v>117</v>
      </c>
      <c r="D132" s="486">
        <f>IF('[1]BASE'!D133="","",'[1]BASE'!D133)</f>
        <v>4067</v>
      </c>
      <c r="E132" s="486" t="str">
        <f>IF('[1]BASE'!E133="","",'[1]BASE'!E133)</f>
        <v>CHILLAR - OLAVARRIA </v>
      </c>
      <c r="F132" s="486">
        <f>IF('[1]BASE'!F133="","",'[1]BASE'!F133)</f>
        <v>132</v>
      </c>
      <c r="G132" s="484">
        <f>IF('[1]BASE'!G133="","",'[1]BASE'!G133)</f>
        <v>89.1</v>
      </c>
      <c r="H132" s="478" t="str">
        <f>'[1]BASE'!H133</f>
        <v>C</v>
      </c>
      <c r="I132" s="479">
        <f>IF('[1]BASE'!EM133="","",'[1]BASE'!EM133)</f>
      </c>
      <c r="J132" s="479">
        <f>IF('[1]BASE'!EN133="","",'[1]BASE'!EN133)</f>
      </c>
      <c r="K132" s="479">
        <f>IF('[1]BASE'!EO133="","",'[1]BASE'!EO133)</f>
      </c>
      <c r="L132" s="479">
        <f>IF('[1]BASE'!EP133="","",'[1]BASE'!EP133)</f>
      </c>
      <c r="M132" s="479">
        <f>IF('[1]BASE'!EQ133="","",'[1]BASE'!EQ133)</f>
      </c>
      <c r="N132" s="479">
        <f>IF('[1]BASE'!ER133="","",'[1]BASE'!ER133)</f>
      </c>
      <c r="O132" s="479">
        <f>IF('[1]BASE'!ES133="","",'[1]BASE'!ES133)</f>
      </c>
      <c r="P132" s="479">
        <f>IF('[1]BASE'!ET133="","",'[1]BASE'!ET133)</f>
      </c>
      <c r="Q132" s="479">
        <f>IF('[1]BASE'!EU133="","",'[1]BASE'!EU133)</f>
      </c>
      <c r="R132" s="479">
        <f>IF('[1]BASE'!EV133="","",'[1]BASE'!EV133)</f>
      </c>
      <c r="S132" s="479">
        <f>IF('[1]BASE'!EW133="","",'[1]BASE'!EW133)</f>
      </c>
      <c r="T132" s="479">
        <f>IF('[1]BASE'!EX133="","",'[1]BASE'!EX133)</f>
      </c>
      <c r="U132" s="480"/>
      <c r="V132" s="475"/>
    </row>
    <row r="133" spans="2:22" s="469" customFormat="1" ht="19.5" customHeight="1">
      <c r="B133" s="470"/>
      <c r="C133" s="481">
        <f>IF('[1]BASE'!C134="","",'[1]BASE'!C134)</f>
        <v>118</v>
      </c>
      <c r="D133" s="487">
        <f>IF('[1]BASE'!D134="","",'[1]BASE'!D134)</f>
        <v>4070</v>
      </c>
      <c r="E133" s="487" t="str">
        <f>IF('[1]BASE'!E134="","",'[1]BASE'!E134)</f>
        <v>CHILLAR  - GONZALEZ CHAVES</v>
      </c>
      <c r="F133" s="487">
        <f>IF('[1]BASE'!F134="","",'[1]BASE'!F134)</f>
        <v>132</v>
      </c>
      <c r="G133" s="482">
        <f>IF('[1]BASE'!G134="","",'[1]BASE'!G134)</f>
        <v>73.7</v>
      </c>
      <c r="H133" s="478" t="str">
        <f>'[1]BASE'!H134</f>
        <v>C</v>
      </c>
      <c r="I133" s="479">
        <f>IF('[1]BASE'!EM134="","",'[1]BASE'!EM134)</f>
      </c>
      <c r="J133" s="479">
        <f>IF('[1]BASE'!EN134="","",'[1]BASE'!EN134)</f>
      </c>
      <c r="K133" s="479">
        <f>IF('[1]BASE'!EO134="","",'[1]BASE'!EO134)</f>
      </c>
      <c r="L133" s="479">
        <f>IF('[1]BASE'!EP134="","",'[1]BASE'!EP134)</f>
      </c>
      <c r="M133" s="479">
        <f>IF('[1]BASE'!EQ134="","",'[1]BASE'!EQ134)</f>
        <v>1</v>
      </c>
      <c r="N133" s="479">
        <f>IF('[1]BASE'!ER134="","",'[1]BASE'!ER134)</f>
      </c>
      <c r="O133" s="479">
        <f>IF('[1]BASE'!ES134="","",'[1]BASE'!ES134)</f>
      </c>
      <c r="P133" s="479">
        <f>IF('[1]BASE'!ET134="","",'[1]BASE'!ET134)</f>
        <v>1</v>
      </c>
      <c r="Q133" s="479">
        <f>IF('[1]BASE'!EU134="","",'[1]BASE'!EU134)</f>
      </c>
      <c r="R133" s="479">
        <f>IF('[1]BASE'!EV134="","",'[1]BASE'!EV134)</f>
      </c>
      <c r="S133" s="479">
        <f>IF('[1]BASE'!EW134="","",'[1]BASE'!EW134)</f>
      </c>
      <c r="T133" s="479">
        <f>IF('[1]BASE'!EX134="","",'[1]BASE'!EX134)</f>
      </c>
      <c r="U133" s="480"/>
      <c r="V133" s="475"/>
    </row>
    <row r="134" spans="2:22" s="469" customFormat="1" ht="19.5" customHeight="1">
      <c r="B134" s="470"/>
      <c r="C134" s="483">
        <f>IF('[1]BASE'!C135="","",'[1]BASE'!C135)</f>
        <v>119</v>
      </c>
      <c r="D134" s="486">
        <f>IF('[1]BASE'!D135="","",'[1]BASE'!D135)</f>
        <v>4077</v>
      </c>
      <c r="E134" s="486" t="str">
        <f>IF('[1]BASE'!E135="","",'[1]BASE'!E135)</f>
        <v>CACHARI - RAUCH</v>
      </c>
      <c r="F134" s="489">
        <f>IF('[1]BASE'!F135="","",'[1]BASE'!F135)</f>
        <v>132</v>
      </c>
      <c r="G134" s="484">
        <f>IF('[1]BASE'!G135="","",'[1]BASE'!G135)</f>
        <v>19.6</v>
      </c>
      <c r="H134" s="478" t="str">
        <f>'[1]BASE'!H135</f>
        <v>C</v>
      </c>
      <c r="I134" s="479">
        <f>IF('[1]BASE'!EM135="","",'[1]BASE'!EM135)</f>
      </c>
      <c r="J134" s="479">
        <f>IF('[1]BASE'!EN135="","",'[1]BASE'!EN135)</f>
      </c>
      <c r="K134" s="479">
        <f>IF('[1]BASE'!EO135="","",'[1]BASE'!EO135)</f>
      </c>
      <c r="L134" s="479">
        <f>IF('[1]BASE'!EP135="","",'[1]BASE'!EP135)</f>
      </c>
      <c r="M134" s="479">
        <f>IF('[1]BASE'!EQ135="","",'[1]BASE'!EQ135)</f>
      </c>
      <c r="N134" s="479">
        <f>IF('[1]BASE'!ER135="","",'[1]BASE'!ER135)</f>
      </c>
      <c r="O134" s="479">
        <f>IF('[1]BASE'!ES135="","",'[1]BASE'!ES135)</f>
      </c>
      <c r="P134" s="479">
        <f>IF('[1]BASE'!ET135="","",'[1]BASE'!ET135)</f>
      </c>
      <c r="Q134" s="479">
        <f>IF('[1]BASE'!EU135="","",'[1]BASE'!EU135)</f>
      </c>
      <c r="R134" s="479">
        <f>IF('[1]BASE'!EV135="","",'[1]BASE'!EV135)</f>
      </c>
      <c r="S134" s="479">
        <f>IF('[1]BASE'!EW135="","",'[1]BASE'!EW135)</f>
      </c>
      <c r="T134" s="479">
        <f>IF('[1]BASE'!EX135="","",'[1]BASE'!EX135)</f>
      </c>
      <c r="U134" s="480"/>
      <c r="V134" s="475"/>
    </row>
    <row r="135" spans="2:22" s="469" customFormat="1" ht="19.5" customHeight="1">
      <c r="B135" s="470"/>
      <c r="C135" s="481">
        <f>IF('[1]BASE'!C136="","",'[1]BASE'!C136)</f>
        <v>120</v>
      </c>
      <c r="D135" s="487">
        <f>IF('[1]BASE'!D136="","",'[1]BASE'!D136)</f>
        <v>4075</v>
      </c>
      <c r="E135" s="487" t="str">
        <f>IF('[1]BASE'!E136="","",'[1]BASE'!E136)</f>
        <v>AZUL - CACHARI</v>
      </c>
      <c r="F135" s="490">
        <f>IF('[1]BASE'!F136="","",'[1]BASE'!F136)</f>
        <v>132</v>
      </c>
      <c r="G135" s="482">
        <f>IF('[1]BASE'!G136="","",'[1]BASE'!G136)</f>
        <v>55.7</v>
      </c>
      <c r="H135" s="478" t="str">
        <f>'[1]BASE'!H136</f>
        <v>C</v>
      </c>
      <c r="I135" s="479">
        <f>IF('[1]BASE'!EM136="","",'[1]BASE'!EM136)</f>
      </c>
      <c r="J135" s="479">
        <f>IF('[1]BASE'!EN136="","",'[1]BASE'!EN136)</f>
      </c>
      <c r="K135" s="479">
        <f>IF('[1]BASE'!EO136="","",'[1]BASE'!EO136)</f>
      </c>
      <c r="L135" s="479">
        <f>IF('[1]BASE'!EP136="","",'[1]BASE'!EP136)</f>
      </c>
      <c r="M135" s="479">
        <f>IF('[1]BASE'!EQ136="","",'[1]BASE'!EQ136)</f>
      </c>
      <c r="N135" s="479">
        <f>IF('[1]BASE'!ER136="","",'[1]BASE'!ER136)</f>
      </c>
      <c r="O135" s="479">
        <f>IF('[1]BASE'!ES136="","",'[1]BASE'!ES136)</f>
      </c>
      <c r="P135" s="479">
        <f>IF('[1]BASE'!ET136="","",'[1]BASE'!ET136)</f>
      </c>
      <c r="Q135" s="479">
        <f>IF('[1]BASE'!EU136="","",'[1]BASE'!EU136)</f>
      </c>
      <c r="R135" s="479">
        <f>IF('[1]BASE'!EV136="","",'[1]BASE'!EV136)</f>
      </c>
      <c r="S135" s="479">
        <f>IF('[1]BASE'!EW136="","",'[1]BASE'!EW136)</f>
      </c>
      <c r="T135" s="479">
        <f>IF('[1]BASE'!EX136="","",'[1]BASE'!EX136)</f>
      </c>
      <c r="U135" s="480"/>
      <c r="V135" s="475"/>
    </row>
    <row r="136" spans="2:22" s="469" customFormat="1" ht="19.5" customHeight="1">
      <c r="B136" s="470"/>
      <c r="C136" s="483">
        <f>IF('[1]BASE'!C137="","",'[1]BASE'!C137)</f>
        <v>121</v>
      </c>
      <c r="D136" s="486">
        <f>IF('[1]BASE'!D137="","",'[1]BASE'!D137)</f>
        <v>4076</v>
      </c>
      <c r="E136" s="486" t="str">
        <f>IF('[1]BASE'!E137="","",'[1]BASE'!E137)</f>
        <v>CACHARI - LAS FLORES</v>
      </c>
      <c r="F136" s="489">
        <f>IF('[1]BASE'!F137="","",'[1]BASE'!F137)</f>
        <v>132</v>
      </c>
      <c r="G136" s="484">
        <f>IF('[1]BASE'!G137="","",'[1]BASE'!G137)</f>
        <v>51.3</v>
      </c>
      <c r="H136" s="478" t="str">
        <f>'[1]BASE'!H137</f>
        <v>C</v>
      </c>
      <c r="I136" s="479">
        <f>IF('[1]BASE'!EM137="","",'[1]BASE'!EM137)</f>
      </c>
      <c r="J136" s="479">
        <f>IF('[1]BASE'!EN137="","",'[1]BASE'!EN137)</f>
      </c>
      <c r="K136" s="479">
        <f>IF('[1]BASE'!EO137="","",'[1]BASE'!EO137)</f>
      </c>
      <c r="L136" s="479">
        <f>IF('[1]BASE'!EP137="","",'[1]BASE'!EP137)</f>
      </c>
      <c r="M136" s="479">
        <f>IF('[1]BASE'!EQ137="","",'[1]BASE'!EQ137)</f>
      </c>
      <c r="N136" s="479">
        <f>IF('[1]BASE'!ER137="","",'[1]BASE'!ER137)</f>
      </c>
      <c r="O136" s="479">
        <f>IF('[1]BASE'!ES137="","",'[1]BASE'!ES137)</f>
      </c>
      <c r="P136" s="479">
        <f>IF('[1]BASE'!ET137="","",'[1]BASE'!ET137)</f>
      </c>
      <c r="Q136" s="479">
        <f>IF('[1]BASE'!EU137="","",'[1]BASE'!EU137)</f>
      </c>
      <c r="R136" s="479">
        <f>IF('[1]BASE'!EV137="","",'[1]BASE'!EV137)</f>
      </c>
      <c r="S136" s="479">
        <f>IF('[1]BASE'!EW137="","",'[1]BASE'!EW137)</f>
      </c>
      <c r="T136" s="479">
        <f>IF('[1]BASE'!EX137="","",'[1]BASE'!EX137)</f>
      </c>
      <c r="U136" s="480"/>
      <c r="V136" s="475"/>
    </row>
    <row r="137" spans="2:22" s="469" customFormat="1" ht="19.5" customHeight="1">
      <c r="B137" s="470"/>
      <c r="C137" s="481">
        <f>IF('[1]BASE'!C138="","",'[1]BASE'!C138)</f>
        <v>122</v>
      </c>
      <c r="D137" s="487">
        <f>IF('[1]BASE'!D138="","",'[1]BASE'!D138)</f>
        <v>4074</v>
      </c>
      <c r="E137" s="487" t="str">
        <f>IF('[1]BASE'!E138="","",'[1]BASE'!E138)</f>
        <v>INDIO RICO - PRINGLES</v>
      </c>
      <c r="F137" s="490">
        <f>IF('[1]BASE'!F138="","",'[1]BASE'!F138)</f>
        <v>132</v>
      </c>
      <c r="G137" s="482">
        <f>IF('[1]BASE'!G138="","",'[1]BASE'!G138)</f>
        <v>44.4</v>
      </c>
      <c r="H137" s="478" t="str">
        <f>'[1]BASE'!H138</f>
        <v>C</v>
      </c>
      <c r="I137" s="479">
        <f>IF('[1]BASE'!EM138="","",'[1]BASE'!EM138)</f>
      </c>
      <c r="J137" s="479">
        <f>IF('[1]BASE'!EN138="","",'[1]BASE'!EN138)</f>
      </c>
      <c r="K137" s="479">
        <f>IF('[1]BASE'!EO138="","",'[1]BASE'!EO138)</f>
      </c>
      <c r="L137" s="479">
        <f>IF('[1]BASE'!EP138="","",'[1]BASE'!EP138)</f>
      </c>
      <c r="M137" s="479">
        <f>IF('[1]BASE'!EQ138="","",'[1]BASE'!EQ138)</f>
      </c>
      <c r="N137" s="479">
        <f>IF('[1]BASE'!ER138="","",'[1]BASE'!ER138)</f>
      </c>
      <c r="O137" s="479">
        <f>IF('[1]BASE'!ES138="","",'[1]BASE'!ES138)</f>
      </c>
      <c r="P137" s="479">
        <f>IF('[1]BASE'!ET138="","",'[1]BASE'!ET138)</f>
      </c>
      <c r="Q137" s="479">
        <f>IF('[1]BASE'!EU138="","",'[1]BASE'!EU138)</f>
      </c>
      <c r="R137" s="479">
        <f>IF('[1]BASE'!EV138="","",'[1]BASE'!EV138)</f>
      </c>
      <c r="S137" s="479">
        <f>IF('[1]BASE'!EW138="","",'[1]BASE'!EW138)</f>
      </c>
      <c r="T137" s="479">
        <f>IF('[1]BASE'!EX138="","",'[1]BASE'!EX138)</f>
      </c>
      <c r="U137" s="480"/>
      <c r="V137" s="475"/>
    </row>
    <row r="138" spans="2:22" s="469" customFormat="1" ht="19.5" customHeight="1">
      <c r="B138" s="470"/>
      <c r="C138" s="483">
        <f>IF('[1]BASE'!C139="","",'[1]BASE'!C139)</f>
        <v>123</v>
      </c>
      <c r="D138" s="486">
        <f>IF('[1]BASE'!D139="","",'[1]BASE'!D139)</f>
        <v>4096</v>
      </c>
      <c r="E138" s="486" t="str">
        <f>IF('[1]BASE'!E139="","",'[1]BASE'!E139)</f>
        <v>MONTE - ROSAS</v>
      </c>
      <c r="F138" s="489">
        <f>IF('[1]BASE'!F139="","",'[1]BASE'!F139)</f>
        <v>132</v>
      </c>
      <c r="G138" s="484">
        <f>IF('[1]BASE'!G139="","",'[1]BASE'!G139)</f>
        <v>58.4</v>
      </c>
      <c r="H138" s="478" t="str">
        <f>'[1]BASE'!H139</f>
        <v>C</v>
      </c>
      <c r="I138" s="479">
        <f>IF('[1]BASE'!EM139="","",'[1]BASE'!EM139)</f>
      </c>
      <c r="J138" s="479">
        <f>IF('[1]BASE'!EN139="","",'[1]BASE'!EN139)</f>
      </c>
      <c r="K138" s="479">
        <f>IF('[1]BASE'!EO139="","",'[1]BASE'!EO139)</f>
      </c>
      <c r="L138" s="479">
        <f>IF('[1]BASE'!EP139="","",'[1]BASE'!EP139)</f>
      </c>
      <c r="M138" s="479">
        <f>IF('[1]BASE'!EQ139="","",'[1]BASE'!EQ139)</f>
      </c>
      <c r="N138" s="479">
        <f>IF('[1]BASE'!ER139="","",'[1]BASE'!ER139)</f>
        <v>1</v>
      </c>
      <c r="O138" s="479">
        <f>IF('[1]BASE'!ES139="","",'[1]BASE'!ES139)</f>
      </c>
      <c r="P138" s="479">
        <f>IF('[1]BASE'!ET139="","",'[1]BASE'!ET139)</f>
      </c>
      <c r="Q138" s="479">
        <f>IF('[1]BASE'!EU139="","",'[1]BASE'!EU139)</f>
      </c>
      <c r="R138" s="479">
        <f>IF('[1]BASE'!EV139="","",'[1]BASE'!EV139)</f>
      </c>
      <c r="S138" s="479">
        <f>IF('[1]BASE'!EW139="","",'[1]BASE'!EW139)</f>
      </c>
      <c r="T138" s="479">
        <f>IF('[1]BASE'!EX139="","",'[1]BASE'!EX139)</f>
      </c>
      <c r="U138" s="480"/>
      <c r="V138" s="475"/>
    </row>
    <row r="139" spans="2:22" s="469" customFormat="1" ht="19.5" customHeight="1">
      <c r="B139" s="470"/>
      <c r="C139" s="481">
        <f>IF('[1]BASE'!C140="","",'[1]BASE'!C140)</f>
        <v>124</v>
      </c>
      <c r="D139" s="487">
        <f>IF('[1]BASE'!D140="","",'[1]BASE'!D140)</f>
        <v>4097</v>
      </c>
      <c r="E139" s="487" t="str">
        <f>IF('[1]BASE'!E140="","",'[1]BASE'!E140)</f>
        <v>ROSAS - NEWTON</v>
      </c>
      <c r="F139" s="490">
        <f>IF('[1]BASE'!F140="","",'[1]BASE'!F140)</f>
        <v>132</v>
      </c>
      <c r="G139" s="482">
        <f>IF('[1]BASE'!G140="","",'[1]BASE'!G140)</f>
        <v>11</v>
      </c>
      <c r="H139" s="478" t="str">
        <f>'[1]BASE'!H140</f>
        <v>C</v>
      </c>
      <c r="I139" s="479">
        <f>IF('[1]BASE'!EM140="","",'[1]BASE'!EM140)</f>
      </c>
      <c r="J139" s="479">
        <f>IF('[1]BASE'!EN140="","",'[1]BASE'!EN140)</f>
      </c>
      <c r="K139" s="479">
        <f>IF('[1]BASE'!EO140="","",'[1]BASE'!EO140)</f>
      </c>
      <c r="L139" s="479">
        <f>IF('[1]BASE'!EP140="","",'[1]BASE'!EP140)</f>
      </c>
      <c r="M139" s="479">
        <f>IF('[1]BASE'!EQ140="","",'[1]BASE'!EQ140)</f>
      </c>
      <c r="N139" s="479">
        <f>IF('[1]BASE'!ER140="","",'[1]BASE'!ER140)</f>
      </c>
      <c r="O139" s="479">
        <f>IF('[1]BASE'!ES140="","",'[1]BASE'!ES140)</f>
      </c>
      <c r="P139" s="479">
        <f>IF('[1]BASE'!ET140="","",'[1]BASE'!ET140)</f>
      </c>
      <c r="Q139" s="479">
        <f>IF('[1]BASE'!EU140="","",'[1]BASE'!EU140)</f>
      </c>
      <c r="R139" s="479">
        <f>IF('[1]BASE'!EV140="","",'[1]BASE'!EV140)</f>
      </c>
      <c r="S139" s="479">
        <f>IF('[1]BASE'!EW140="","",'[1]BASE'!EW140)</f>
      </c>
      <c r="T139" s="479">
        <f>IF('[1]BASE'!EX140="","",'[1]BASE'!EX140)</f>
        <v>1</v>
      </c>
      <c r="U139" s="480"/>
      <c r="V139" s="475"/>
    </row>
    <row r="140" spans="2:22" s="469" customFormat="1" ht="19.5" customHeight="1">
      <c r="B140" s="470"/>
      <c r="C140" s="483">
        <f>IF('[1]BASE'!C141="","",'[1]BASE'!C141)</f>
        <v>125</v>
      </c>
      <c r="D140" s="486">
        <f>IF('[1]BASE'!D141="","",'[1]BASE'!D141)</f>
        <v>4095</v>
      </c>
      <c r="E140" s="486" t="str">
        <f>IF('[1]BASE'!E141="","",'[1]BASE'!E141)</f>
        <v>LAS FLORES - ROSAS</v>
      </c>
      <c r="F140" s="489">
        <f>IF('[1]BASE'!F141="","",'[1]BASE'!F141)</f>
        <v>132</v>
      </c>
      <c r="G140" s="484">
        <f>IF('[1]BASE'!G141="","",'[1]BASE'!G141)</f>
        <v>28.4</v>
      </c>
      <c r="H140" s="478" t="str">
        <f>'[1]BASE'!H141</f>
        <v>C</v>
      </c>
      <c r="I140" s="479">
        <f>IF('[1]BASE'!EM141="","",'[1]BASE'!EM141)</f>
      </c>
      <c r="J140" s="479">
        <f>IF('[1]BASE'!EN141="","",'[1]BASE'!EN141)</f>
        <v>1</v>
      </c>
      <c r="K140" s="479">
        <f>IF('[1]BASE'!EO141="","",'[1]BASE'!EO141)</f>
      </c>
      <c r="L140" s="479">
        <f>IF('[1]BASE'!EP141="","",'[1]BASE'!EP141)</f>
      </c>
      <c r="M140" s="479">
        <f>IF('[1]BASE'!EQ141="","",'[1]BASE'!EQ141)</f>
        <v>1</v>
      </c>
      <c r="N140" s="479">
        <f>IF('[1]BASE'!ER141="","",'[1]BASE'!ER141)</f>
      </c>
      <c r="O140" s="479">
        <f>IF('[1]BASE'!ES141="","",'[1]BASE'!ES141)</f>
      </c>
      <c r="P140" s="479">
        <f>IF('[1]BASE'!ET141="","",'[1]BASE'!ET141)</f>
      </c>
      <c r="Q140" s="479">
        <f>IF('[1]BASE'!EU141="","",'[1]BASE'!EU141)</f>
      </c>
      <c r="R140" s="479">
        <f>IF('[1]BASE'!EV141="","",'[1]BASE'!EV141)</f>
      </c>
      <c r="S140" s="479">
        <f>IF('[1]BASE'!EW141="","",'[1]BASE'!EW141)</f>
      </c>
      <c r="T140" s="479">
        <f>IF('[1]BASE'!EX141="","",'[1]BASE'!EX141)</f>
        <v>2</v>
      </c>
      <c r="U140" s="480"/>
      <c r="V140" s="475"/>
    </row>
    <row r="141" spans="2:22" s="469" customFormat="1" ht="19.5" customHeight="1">
      <c r="B141" s="470"/>
      <c r="C141" s="481">
        <v>126</v>
      </c>
      <c r="D141" s="487">
        <v>4830</v>
      </c>
      <c r="E141" s="487" t="s">
        <v>197</v>
      </c>
      <c r="F141" s="490">
        <v>132</v>
      </c>
      <c r="G141" s="482">
        <v>15.701</v>
      </c>
      <c r="H141" s="488" t="s">
        <v>77</v>
      </c>
      <c r="I141" s="479">
        <f>IF('[1]BASE'!EM142="","",'[1]BASE'!EM142)</f>
      </c>
      <c r="J141" s="479">
        <f>IF('[1]BASE'!EN142="","",'[1]BASE'!EN142)</f>
      </c>
      <c r="K141" s="479">
        <f>IF('[1]BASE'!EO142="","",'[1]BASE'!EO142)</f>
      </c>
      <c r="L141" s="479">
        <f>IF('[1]BASE'!EP142="","",'[1]BASE'!EP142)</f>
      </c>
      <c r="M141" s="479">
        <f>IF('[1]BASE'!EQ142="","",'[1]BASE'!EQ142)</f>
      </c>
      <c r="N141" s="479">
        <f>IF('[1]BASE'!ER142="","",'[1]BASE'!ER142)</f>
      </c>
      <c r="O141" s="479">
        <f>IF('[1]BASE'!ES142="","",'[1]BASE'!ES142)</f>
      </c>
      <c r="P141" s="479">
        <f>IF('[1]BASE'!ET142="","",'[1]BASE'!ET142)</f>
      </c>
      <c r="Q141" s="479">
        <f>IF('[1]BASE'!EU142="","",'[1]BASE'!EU142)</f>
      </c>
      <c r="R141" s="479">
        <f>IF('[1]BASE'!EV142="","",'[1]BASE'!EV142)</f>
      </c>
      <c r="S141" s="479">
        <f>IF('[1]BASE'!EW142="","",'[1]BASE'!EW142)</f>
      </c>
      <c r="T141" s="479">
        <f>IF('[1]BASE'!EX142="","",'[1]BASE'!EX142)</f>
      </c>
      <c r="U141" s="480"/>
      <c r="V141" s="475"/>
    </row>
    <row r="142" spans="2:22" s="469" customFormat="1" ht="19.5" customHeight="1" thickBot="1">
      <c r="B142" s="470"/>
      <c r="C142" s="491"/>
      <c r="D142" s="491"/>
      <c r="E142" s="491"/>
      <c r="F142" s="491"/>
      <c r="G142" s="492"/>
      <c r="H142" s="493"/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  <c r="S142" s="494"/>
      <c r="T142" s="494"/>
      <c r="U142" s="480"/>
      <c r="V142" s="475"/>
    </row>
    <row r="143" spans="2:22" s="469" customFormat="1" ht="19.5" customHeight="1" thickBot="1" thickTop="1">
      <c r="B143" s="470"/>
      <c r="C143" s="495"/>
      <c r="D143" s="495"/>
      <c r="E143" s="496" t="s">
        <v>198</v>
      </c>
      <c r="F143" s="497">
        <f>SUM(F16:F140)-F107-F89-F86-F63-F60-F46-F37-F28-F17</f>
        <v>14806</v>
      </c>
      <c r="G143" s="498" t="s">
        <v>199</v>
      </c>
      <c r="H143" s="498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80"/>
      <c r="V143" s="475"/>
    </row>
    <row r="144" spans="2:22" s="469" customFormat="1" ht="19.5" customHeight="1" thickBot="1" thickTop="1">
      <c r="B144" s="470"/>
      <c r="C144" s="495"/>
      <c r="D144" s="500"/>
      <c r="G144" s="501" t="s">
        <v>200</v>
      </c>
      <c r="H144" s="501"/>
      <c r="I144" s="502">
        <f aca="true" t="shared" si="0" ref="I144:T144">SUM(I16:I142)</f>
        <v>8</v>
      </c>
      <c r="J144" s="502">
        <f t="shared" si="0"/>
        <v>17</v>
      </c>
      <c r="K144" s="502">
        <f t="shared" si="0"/>
        <v>13</v>
      </c>
      <c r="L144" s="502">
        <f t="shared" si="0"/>
        <v>3</v>
      </c>
      <c r="M144" s="502">
        <f t="shared" si="0"/>
        <v>9</v>
      </c>
      <c r="N144" s="502">
        <f t="shared" si="0"/>
        <v>10</v>
      </c>
      <c r="O144" s="502">
        <f t="shared" si="0"/>
        <v>10</v>
      </c>
      <c r="P144" s="502">
        <f t="shared" si="0"/>
        <v>13</v>
      </c>
      <c r="Q144" s="502">
        <f t="shared" si="0"/>
        <v>2</v>
      </c>
      <c r="R144" s="502">
        <f t="shared" si="0"/>
        <v>7</v>
      </c>
      <c r="S144" s="502">
        <f t="shared" si="0"/>
        <v>9</v>
      </c>
      <c r="T144" s="502">
        <f t="shared" si="0"/>
        <v>6</v>
      </c>
      <c r="U144" s="503"/>
      <c r="V144" s="475"/>
    </row>
    <row r="145" spans="2:22" s="469" customFormat="1" ht="19.5" customHeight="1" thickBot="1" thickTop="1">
      <c r="B145" s="470"/>
      <c r="C145" s="495"/>
      <c r="D145" s="500"/>
      <c r="F145" s="504"/>
      <c r="G145" s="505" t="s">
        <v>201</v>
      </c>
      <c r="H145" s="505"/>
      <c r="I145" s="506">
        <f>'[1]BASE'!EM$164</f>
        <v>1.42</v>
      </c>
      <c r="J145" s="506">
        <f>'[1]BASE'!EN$164</f>
        <v>1.39</v>
      </c>
      <c r="K145" s="506">
        <f>'[1]BASE'!EO$164</f>
        <v>1.55</v>
      </c>
      <c r="L145" s="506">
        <f>'[1]BASE'!EP$164</f>
        <v>1.7</v>
      </c>
      <c r="M145" s="506">
        <f>'[1]BASE'!EQ$164</f>
        <v>1.65</v>
      </c>
      <c r="N145" s="506">
        <f>'[1]BASE'!ER$164</f>
        <v>1.62</v>
      </c>
      <c r="O145" s="506">
        <f>'[1]BASE'!ES$164</f>
        <v>1.72</v>
      </c>
      <c r="P145" s="506">
        <f>'[1]BASE'!ET$164</f>
        <v>1.76</v>
      </c>
      <c r="Q145" s="506">
        <f>'[1]BASE'!EU$164</f>
        <v>1.85</v>
      </c>
      <c r="R145" s="506">
        <f>'[1]BASE'!EV$164</f>
        <v>1.8</v>
      </c>
      <c r="S145" s="506">
        <f>'[1]BASE'!EW$164</f>
        <v>1.8</v>
      </c>
      <c r="T145" s="506">
        <f>'[1]BASE'!EX$164</f>
        <v>1.76</v>
      </c>
      <c r="U145" s="506">
        <f>'[1]BASE'!EY$164</f>
        <v>1.73</v>
      </c>
      <c r="V145" s="475"/>
    </row>
    <row r="146" spans="2:22" ht="18.75" customHeight="1" thickBot="1" thickTop="1">
      <c r="B146" s="459"/>
      <c r="C146" s="495"/>
      <c r="D146" s="507"/>
      <c r="E146" s="508"/>
      <c r="F146" s="509"/>
      <c r="G146" s="510"/>
      <c r="H146" s="510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V146" s="512"/>
    </row>
    <row r="147" spans="2:22" ht="17.25" thickBot="1" thickTop="1">
      <c r="B147" s="513"/>
      <c r="C147" s="514"/>
      <c r="D147" s="460"/>
      <c r="E147" s="507"/>
      <c r="L147" s="515" t="s">
        <v>202</v>
      </c>
      <c r="M147" s="516"/>
      <c r="N147" s="517">
        <f>U145</f>
        <v>1.73</v>
      </c>
      <c r="O147" s="518" t="s">
        <v>203</v>
      </c>
      <c r="P147" s="516"/>
      <c r="Q147" s="519"/>
      <c r="R147" s="460"/>
      <c r="S147" s="460"/>
      <c r="T147" s="460"/>
      <c r="V147" s="520"/>
    </row>
    <row r="148" spans="2:22" ht="18.75" customHeight="1" thickBot="1" thickTop="1">
      <c r="B148" s="521"/>
      <c r="C148" s="522"/>
      <c r="D148" s="523"/>
      <c r="E148" s="523"/>
      <c r="F148" s="524"/>
      <c r="G148" s="525"/>
      <c r="H148" s="525"/>
      <c r="I148" s="526"/>
      <c r="J148" s="526"/>
      <c r="K148" s="526"/>
      <c r="L148" s="526"/>
      <c r="M148" s="526"/>
      <c r="N148" s="526"/>
      <c r="O148" s="526"/>
      <c r="P148" s="526"/>
      <c r="Q148" s="526"/>
      <c r="R148" s="526"/>
      <c r="S148" s="526"/>
      <c r="T148" s="526"/>
      <c r="U148" s="526"/>
      <c r="V148" s="527"/>
    </row>
    <row r="149" spans="3:195" ht="13.5" thickTop="1">
      <c r="C149" s="528"/>
      <c r="D149" s="510"/>
      <c r="E149" s="510"/>
      <c r="F149" s="510"/>
      <c r="G149" s="510"/>
      <c r="H149" s="510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11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60"/>
      <c r="AG149" s="460"/>
      <c r="AH149" s="460"/>
      <c r="AI149" s="460"/>
      <c r="AJ149" s="460"/>
      <c r="AK149" s="460"/>
      <c r="AL149" s="460"/>
      <c r="AM149" s="460"/>
      <c r="AN149" s="460"/>
      <c r="AO149" s="460"/>
      <c r="AP149" s="460"/>
      <c r="AQ149" s="460"/>
      <c r="AR149" s="460"/>
      <c r="AS149" s="460"/>
      <c r="AT149" s="460"/>
      <c r="AU149" s="460"/>
      <c r="AV149" s="460"/>
      <c r="AW149" s="460"/>
      <c r="AX149" s="460"/>
      <c r="AY149" s="460"/>
      <c r="AZ149" s="460"/>
      <c r="BA149" s="460"/>
      <c r="BB149" s="460"/>
      <c r="BC149" s="460"/>
      <c r="BD149" s="460"/>
      <c r="BE149" s="460"/>
      <c r="BF149" s="460"/>
      <c r="BG149" s="460"/>
      <c r="BH149" s="460"/>
      <c r="BI149" s="460"/>
      <c r="BJ149" s="460"/>
      <c r="BK149" s="460"/>
      <c r="BL149" s="460"/>
      <c r="BM149" s="460"/>
      <c r="BN149" s="460"/>
      <c r="BO149" s="460"/>
      <c r="BP149" s="460"/>
      <c r="BQ149" s="460"/>
      <c r="BR149" s="460"/>
      <c r="BS149" s="460"/>
      <c r="BT149" s="460"/>
      <c r="BU149" s="460"/>
      <c r="BV149" s="460"/>
      <c r="BW149" s="460"/>
      <c r="BX149" s="460"/>
      <c r="BY149" s="460"/>
      <c r="BZ149" s="460"/>
      <c r="CA149" s="460"/>
      <c r="CB149" s="460"/>
      <c r="CC149" s="460"/>
      <c r="CD149" s="460"/>
      <c r="CE149" s="460"/>
      <c r="CF149" s="460"/>
      <c r="CG149" s="460"/>
      <c r="CH149" s="460"/>
      <c r="CI149" s="460"/>
      <c r="CJ149" s="460"/>
      <c r="CK149" s="460"/>
      <c r="CL149" s="460"/>
      <c r="CM149" s="460"/>
      <c r="CN149" s="460"/>
      <c r="CO149" s="460"/>
      <c r="CP149" s="460"/>
      <c r="CQ149" s="460"/>
      <c r="CR149" s="460"/>
      <c r="CS149" s="460"/>
      <c r="CT149" s="460"/>
      <c r="CU149" s="460"/>
      <c r="CV149" s="460"/>
      <c r="CW149" s="460"/>
      <c r="CX149" s="460"/>
      <c r="CY149" s="460"/>
      <c r="CZ149" s="460"/>
      <c r="DA149" s="460"/>
      <c r="DB149" s="460"/>
      <c r="DC149" s="460"/>
      <c r="DD149" s="460"/>
      <c r="DE149" s="460"/>
      <c r="DF149" s="460"/>
      <c r="DG149" s="460"/>
      <c r="DH149" s="460"/>
      <c r="DI149" s="460"/>
      <c r="DJ149" s="460"/>
      <c r="DK149" s="460"/>
      <c r="DL149" s="460"/>
      <c r="DM149" s="460"/>
      <c r="DN149" s="460"/>
      <c r="DO149" s="460"/>
      <c r="DP149" s="460"/>
      <c r="DQ149" s="460"/>
      <c r="DR149" s="460"/>
      <c r="DS149" s="460"/>
      <c r="DT149" s="460"/>
      <c r="DU149" s="460"/>
      <c r="DV149" s="460"/>
      <c r="DW149" s="460"/>
      <c r="DX149" s="460"/>
      <c r="DY149" s="460"/>
      <c r="DZ149" s="460"/>
      <c r="EA149" s="460"/>
      <c r="EB149" s="460"/>
      <c r="EC149" s="460"/>
      <c r="ED149" s="460"/>
      <c r="EE149" s="460"/>
      <c r="EF149" s="460"/>
      <c r="EG149" s="460"/>
      <c r="EH149" s="460"/>
      <c r="EI149" s="460"/>
      <c r="EJ149" s="460"/>
      <c r="EK149" s="460"/>
      <c r="EL149" s="460"/>
      <c r="EM149" s="460"/>
      <c r="EN149" s="460"/>
      <c r="EO149" s="460"/>
      <c r="EP149" s="460"/>
      <c r="EQ149" s="460"/>
      <c r="ER149" s="460"/>
      <c r="ES149" s="460"/>
      <c r="ET149" s="460"/>
      <c r="EU149" s="460"/>
      <c r="EV149" s="460"/>
      <c r="EW149" s="460"/>
      <c r="EX149" s="460"/>
      <c r="EY149" s="460"/>
      <c r="EZ149" s="460"/>
      <c r="FA149" s="460"/>
      <c r="FB149" s="460"/>
      <c r="FC149" s="460"/>
      <c r="FD149" s="460"/>
      <c r="FE149" s="460"/>
      <c r="FF149" s="460"/>
      <c r="FG149" s="460"/>
      <c r="FH149" s="460"/>
      <c r="FI149" s="460"/>
      <c r="FJ149" s="460"/>
      <c r="FK149" s="460"/>
      <c r="FL149" s="460"/>
      <c r="FM149" s="460"/>
      <c r="FN149" s="460"/>
      <c r="FO149" s="460"/>
      <c r="FP149" s="460"/>
      <c r="FQ149" s="460"/>
      <c r="FR149" s="460"/>
      <c r="FS149" s="460"/>
      <c r="FT149" s="460"/>
      <c r="FU149" s="460"/>
      <c r="FV149" s="460"/>
      <c r="FW149" s="460"/>
      <c r="FX149" s="460"/>
      <c r="FY149" s="460"/>
      <c r="FZ149" s="460"/>
      <c r="GA149" s="460"/>
      <c r="GB149" s="460"/>
      <c r="GC149" s="460"/>
      <c r="GD149" s="460"/>
      <c r="GE149" s="460"/>
      <c r="GF149" s="460"/>
      <c r="GG149" s="460"/>
      <c r="GH149" s="460"/>
      <c r="GI149" s="460"/>
      <c r="GJ149" s="460"/>
      <c r="GK149" s="460"/>
      <c r="GL149" s="460"/>
      <c r="GM149" s="460"/>
    </row>
    <row r="150" spans="3:195" ht="12.75">
      <c r="C150" s="528"/>
      <c r="D150" s="510"/>
      <c r="E150" s="510"/>
      <c r="F150" s="510"/>
      <c r="G150" s="510"/>
      <c r="H150" s="510"/>
      <c r="I150" s="529"/>
      <c r="J150" s="529"/>
      <c r="K150" s="529"/>
      <c r="L150" s="529"/>
      <c r="M150" s="529"/>
      <c r="N150" s="529"/>
      <c r="O150" s="529"/>
      <c r="P150" s="529"/>
      <c r="Q150" s="529"/>
      <c r="R150" s="529"/>
      <c r="S150" s="529"/>
      <c r="T150" s="529"/>
      <c r="U150" s="511"/>
      <c r="V150" s="460"/>
      <c r="W150" s="460"/>
      <c r="X150" s="460"/>
      <c r="Y150" s="460"/>
      <c r="Z150" s="460"/>
      <c r="AA150" s="460"/>
      <c r="AB150" s="460"/>
      <c r="AC150" s="460"/>
      <c r="AD150" s="460"/>
      <c r="AE150" s="460"/>
      <c r="AF150" s="460"/>
      <c r="AG150" s="460"/>
      <c r="AH150" s="460"/>
      <c r="AI150" s="460"/>
      <c r="AJ150" s="460"/>
      <c r="AK150" s="460"/>
      <c r="AL150" s="460"/>
      <c r="AM150" s="460"/>
      <c r="AN150" s="460"/>
      <c r="AO150" s="460"/>
      <c r="AP150" s="460"/>
      <c r="AQ150" s="460"/>
      <c r="AR150" s="460"/>
      <c r="AS150" s="460"/>
      <c r="AT150" s="460"/>
      <c r="AU150" s="460"/>
      <c r="AV150" s="460"/>
      <c r="AW150" s="460"/>
      <c r="AX150" s="460"/>
      <c r="AY150" s="460"/>
      <c r="AZ150" s="460"/>
      <c r="BA150" s="460"/>
      <c r="BB150" s="460"/>
      <c r="BC150" s="460"/>
      <c r="BD150" s="460"/>
      <c r="BE150" s="460"/>
      <c r="BF150" s="460"/>
      <c r="BG150" s="460"/>
      <c r="BH150" s="460"/>
      <c r="BI150" s="460"/>
      <c r="BJ150" s="460"/>
      <c r="BK150" s="460"/>
      <c r="BL150" s="460"/>
      <c r="BM150" s="460"/>
      <c r="BN150" s="460"/>
      <c r="BO150" s="460"/>
      <c r="BP150" s="460"/>
      <c r="BQ150" s="460"/>
      <c r="BR150" s="460"/>
      <c r="BS150" s="460"/>
      <c r="BT150" s="460"/>
      <c r="BU150" s="460"/>
      <c r="BV150" s="460"/>
      <c r="BW150" s="460"/>
      <c r="BX150" s="460"/>
      <c r="BY150" s="460"/>
      <c r="BZ150" s="460"/>
      <c r="CA150" s="460"/>
      <c r="CB150" s="460"/>
      <c r="CC150" s="460"/>
      <c r="CD150" s="460"/>
      <c r="CE150" s="460"/>
      <c r="CF150" s="460"/>
      <c r="CG150" s="460"/>
      <c r="CH150" s="460"/>
      <c r="CI150" s="460"/>
      <c r="CJ150" s="460"/>
      <c r="CK150" s="460"/>
      <c r="CL150" s="460"/>
      <c r="CM150" s="460"/>
      <c r="CN150" s="460"/>
      <c r="CO150" s="460"/>
      <c r="CP150" s="460"/>
      <c r="CQ150" s="460"/>
      <c r="CR150" s="460"/>
      <c r="CS150" s="460"/>
      <c r="CT150" s="460"/>
      <c r="CU150" s="460"/>
      <c r="CV150" s="460"/>
      <c r="CW150" s="460"/>
      <c r="CX150" s="460"/>
      <c r="CY150" s="460"/>
      <c r="CZ150" s="460"/>
      <c r="DA150" s="460"/>
      <c r="DB150" s="460"/>
      <c r="DC150" s="460"/>
      <c r="DD150" s="460"/>
      <c r="DE150" s="460"/>
      <c r="DF150" s="460"/>
      <c r="DG150" s="460"/>
      <c r="DH150" s="460"/>
      <c r="DI150" s="460"/>
      <c r="DJ150" s="460"/>
      <c r="DK150" s="460"/>
      <c r="DL150" s="460"/>
      <c r="DM150" s="460"/>
      <c r="DN150" s="460"/>
      <c r="DO150" s="460"/>
      <c r="DP150" s="460"/>
      <c r="DQ150" s="460"/>
      <c r="DR150" s="460"/>
      <c r="DS150" s="460"/>
      <c r="DT150" s="460"/>
      <c r="DU150" s="460"/>
      <c r="DV150" s="460"/>
      <c r="DW150" s="460"/>
      <c r="DX150" s="460"/>
      <c r="DY150" s="460"/>
      <c r="DZ150" s="460"/>
      <c r="EA150" s="460"/>
      <c r="EB150" s="460"/>
      <c r="EC150" s="460"/>
      <c r="ED150" s="460"/>
      <c r="EE150" s="460"/>
      <c r="EF150" s="460"/>
      <c r="EG150" s="460"/>
      <c r="EH150" s="460"/>
      <c r="EI150" s="460"/>
      <c r="EJ150" s="460"/>
      <c r="EK150" s="460"/>
      <c r="EL150" s="460"/>
      <c r="EM150" s="460"/>
      <c r="EN150" s="460"/>
      <c r="EO150" s="460"/>
      <c r="EP150" s="460"/>
      <c r="EQ150" s="460"/>
      <c r="ER150" s="460"/>
      <c r="ES150" s="460"/>
      <c r="ET150" s="460"/>
      <c r="EU150" s="460"/>
      <c r="EV150" s="460"/>
      <c r="EW150" s="460"/>
      <c r="EX150" s="460"/>
      <c r="EY150" s="460"/>
      <c r="EZ150" s="460"/>
      <c r="FA150" s="460"/>
      <c r="FB150" s="460"/>
      <c r="FC150" s="460"/>
      <c r="FD150" s="460"/>
      <c r="FE150" s="460"/>
      <c r="FF150" s="460"/>
      <c r="FG150" s="460"/>
      <c r="FH150" s="460"/>
      <c r="FI150" s="460"/>
      <c r="FJ150" s="460"/>
      <c r="FK150" s="460"/>
      <c r="FL150" s="460"/>
      <c r="FM150" s="460"/>
      <c r="FN150" s="460"/>
      <c r="FO150" s="460"/>
      <c r="FP150" s="460"/>
      <c r="FQ150" s="460"/>
      <c r="FR150" s="460"/>
      <c r="FS150" s="460"/>
      <c r="FT150" s="460"/>
      <c r="FU150" s="460"/>
      <c r="FV150" s="460"/>
      <c r="FW150" s="460"/>
      <c r="FX150" s="460"/>
      <c r="FY150" s="460"/>
      <c r="FZ150" s="460"/>
      <c r="GA150" s="460"/>
      <c r="GB150" s="460"/>
      <c r="GC150" s="460"/>
      <c r="GD150" s="460"/>
      <c r="GE150" s="460"/>
      <c r="GF150" s="460"/>
      <c r="GG150" s="460"/>
      <c r="GH150" s="460"/>
      <c r="GI150" s="460"/>
      <c r="GJ150" s="460"/>
      <c r="GK150" s="460"/>
      <c r="GL150" s="460"/>
      <c r="GM150" s="460"/>
    </row>
    <row r="151" spans="3:195" ht="12.75">
      <c r="C151" s="528"/>
      <c r="D151" s="510"/>
      <c r="E151" s="510"/>
      <c r="F151" s="510"/>
      <c r="G151" s="510"/>
      <c r="H151" s="510"/>
      <c r="I151" s="529"/>
      <c r="J151" s="529"/>
      <c r="K151" s="529"/>
      <c r="L151" s="529"/>
      <c r="M151" s="529"/>
      <c r="N151" s="529"/>
      <c r="O151" s="529"/>
      <c r="P151" s="529"/>
      <c r="Q151" s="529"/>
      <c r="R151" s="529"/>
      <c r="S151" s="529"/>
      <c r="T151" s="529"/>
      <c r="U151" s="511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0"/>
      <c r="AH151" s="460"/>
      <c r="AI151" s="460"/>
      <c r="AJ151" s="460"/>
      <c r="AK151" s="460"/>
      <c r="AL151" s="460"/>
      <c r="AM151" s="460"/>
      <c r="AN151" s="460"/>
      <c r="AO151" s="460"/>
      <c r="AP151" s="460"/>
      <c r="AQ151" s="460"/>
      <c r="AR151" s="460"/>
      <c r="AS151" s="460"/>
      <c r="AT151" s="460"/>
      <c r="AU151" s="460"/>
      <c r="AV151" s="460"/>
      <c r="AW151" s="460"/>
      <c r="AX151" s="460"/>
      <c r="AY151" s="460"/>
      <c r="AZ151" s="460"/>
      <c r="BA151" s="460"/>
      <c r="BB151" s="460"/>
      <c r="BC151" s="460"/>
      <c r="BD151" s="460"/>
      <c r="BE151" s="460"/>
      <c r="BF151" s="460"/>
      <c r="BG151" s="460"/>
      <c r="BH151" s="460"/>
      <c r="BI151" s="460"/>
      <c r="BJ151" s="460"/>
      <c r="BK151" s="460"/>
      <c r="BL151" s="460"/>
      <c r="BM151" s="460"/>
      <c r="BN151" s="460"/>
      <c r="BO151" s="460"/>
      <c r="BP151" s="460"/>
      <c r="BQ151" s="460"/>
      <c r="BR151" s="460"/>
      <c r="BS151" s="460"/>
      <c r="BT151" s="460"/>
      <c r="BU151" s="460"/>
      <c r="BV151" s="460"/>
      <c r="BW151" s="460"/>
      <c r="BX151" s="460"/>
      <c r="BY151" s="460"/>
      <c r="BZ151" s="460"/>
      <c r="CA151" s="460"/>
      <c r="CB151" s="460"/>
      <c r="CC151" s="460"/>
      <c r="CD151" s="460"/>
      <c r="CE151" s="460"/>
      <c r="CF151" s="460"/>
      <c r="CG151" s="460"/>
      <c r="CH151" s="460"/>
      <c r="CI151" s="460"/>
      <c r="CJ151" s="460"/>
      <c r="CK151" s="460"/>
      <c r="CL151" s="460"/>
      <c r="CM151" s="460"/>
      <c r="CN151" s="460"/>
      <c r="CO151" s="460"/>
      <c r="CP151" s="460"/>
      <c r="CQ151" s="460"/>
      <c r="CR151" s="460"/>
      <c r="CS151" s="460"/>
      <c r="CT151" s="460"/>
      <c r="CU151" s="460"/>
      <c r="CV151" s="460"/>
      <c r="CW151" s="460"/>
      <c r="CX151" s="460"/>
      <c r="CY151" s="460"/>
      <c r="CZ151" s="460"/>
      <c r="DA151" s="460"/>
      <c r="DB151" s="460"/>
      <c r="DC151" s="460"/>
      <c r="DD151" s="460"/>
      <c r="DE151" s="460"/>
      <c r="DF151" s="460"/>
      <c r="DG151" s="460"/>
      <c r="DH151" s="460"/>
      <c r="DI151" s="460"/>
      <c r="DJ151" s="460"/>
      <c r="DK151" s="460"/>
      <c r="DL151" s="460"/>
      <c r="DM151" s="460"/>
      <c r="DN151" s="460"/>
      <c r="DO151" s="460"/>
      <c r="DP151" s="460"/>
      <c r="DQ151" s="460"/>
      <c r="DR151" s="460"/>
      <c r="DS151" s="460"/>
      <c r="DT151" s="460"/>
      <c r="DU151" s="460"/>
      <c r="DV151" s="460"/>
      <c r="DW151" s="460"/>
      <c r="DX151" s="460"/>
      <c r="DY151" s="460"/>
      <c r="DZ151" s="460"/>
      <c r="EA151" s="460"/>
      <c r="EB151" s="460"/>
      <c r="EC151" s="460"/>
      <c r="ED151" s="460"/>
      <c r="EE151" s="460"/>
      <c r="EF151" s="460"/>
      <c r="EG151" s="460"/>
      <c r="EH151" s="460"/>
      <c r="EI151" s="460"/>
      <c r="EJ151" s="460"/>
      <c r="EK151" s="460"/>
      <c r="EL151" s="460"/>
      <c r="EM151" s="460"/>
      <c r="EN151" s="460"/>
      <c r="EO151" s="460"/>
      <c r="EP151" s="460"/>
      <c r="EQ151" s="460"/>
      <c r="ER151" s="460"/>
      <c r="ES151" s="460"/>
      <c r="ET151" s="460"/>
      <c r="EU151" s="460"/>
      <c r="EV151" s="460"/>
      <c r="EW151" s="460"/>
      <c r="EX151" s="460"/>
      <c r="EY151" s="460"/>
      <c r="EZ151" s="460"/>
      <c r="FA151" s="460"/>
      <c r="FB151" s="460"/>
      <c r="FC151" s="460"/>
      <c r="FD151" s="460"/>
      <c r="FE151" s="460"/>
      <c r="FF151" s="460"/>
      <c r="FG151" s="460"/>
      <c r="FH151" s="460"/>
      <c r="FI151" s="460"/>
      <c r="FJ151" s="460"/>
      <c r="FK151" s="460"/>
      <c r="FL151" s="460"/>
      <c r="FM151" s="460"/>
      <c r="FN151" s="460"/>
      <c r="FO151" s="460"/>
      <c r="FP151" s="460"/>
      <c r="FQ151" s="460"/>
      <c r="FR151" s="460"/>
      <c r="FS151" s="460"/>
      <c r="FT151" s="460"/>
      <c r="FU151" s="460"/>
      <c r="FV151" s="460"/>
      <c r="FW151" s="460"/>
      <c r="FX151" s="460"/>
      <c r="FY151" s="460"/>
      <c r="FZ151" s="460"/>
      <c r="GA151" s="460"/>
      <c r="GB151" s="460"/>
      <c r="GC151" s="460"/>
      <c r="GD151" s="460"/>
      <c r="GE151" s="460"/>
      <c r="GF151" s="460"/>
      <c r="GG151" s="460"/>
      <c r="GH151" s="460"/>
      <c r="GI151" s="460"/>
      <c r="GJ151" s="460"/>
      <c r="GK151" s="460"/>
      <c r="GL151" s="460"/>
      <c r="GM151" s="460"/>
    </row>
    <row r="152" spans="3:195" ht="12.75">
      <c r="C152" s="528"/>
      <c r="D152" s="510"/>
      <c r="E152" s="510"/>
      <c r="F152" s="510"/>
      <c r="G152" s="510"/>
      <c r="H152" s="510"/>
      <c r="I152" s="510"/>
      <c r="J152" s="510"/>
      <c r="K152" s="510"/>
      <c r="L152" s="510"/>
      <c r="M152" s="510"/>
      <c r="N152" s="510"/>
      <c r="O152" s="510"/>
      <c r="P152" s="510"/>
      <c r="Q152" s="510"/>
      <c r="R152" s="510"/>
      <c r="S152" s="510"/>
      <c r="T152" s="510"/>
      <c r="U152" s="510"/>
      <c r="V152" s="460"/>
      <c r="W152" s="460"/>
      <c r="X152" s="460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0"/>
      <c r="AM152" s="460"/>
      <c r="AN152" s="460"/>
      <c r="AO152" s="460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0"/>
      <c r="BB152" s="460"/>
      <c r="BC152" s="460"/>
      <c r="BD152" s="460"/>
      <c r="BE152" s="460"/>
      <c r="BF152" s="460"/>
      <c r="BG152" s="460"/>
      <c r="BH152" s="460"/>
      <c r="BI152" s="460"/>
      <c r="BJ152" s="460"/>
      <c r="BK152" s="460"/>
      <c r="BL152" s="460"/>
      <c r="BM152" s="460"/>
      <c r="BN152" s="460"/>
      <c r="BO152" s="460"/>
      <c r="BP152" s="460"/>
      <c r="BQ152" s="460"/>
      <c r="BR152" s="460"/>
      <c r="BS152" s="460"/>
      <c r="BT152" s="460"/>
      <c r="BU152" s="460"/>
      <c r="BV152" s="460"/>
      <c r="BW152" s="460"/>
      <c r="BX152" s="460"/>
      <c r="BY152" s="460"/>
      <c r="BZ152" s="460"/>
      <c r="CA152" s="460"/>
      <c r="CB152" s="460"/>
      <c r="CC152" s="460"/>
      <c r="CD152" s="460"/>
      <c r="CE152" s="460"/>
      <c r="CF152" s="460"/>
      <c r="CG152" s="460"/>
      <c r="CH152" s="460"/>
      <c r="CI152" s="460"/>
      <c r="CJ152" s="460"/>
      <c r="CK152" s="460"/>
      <c r="CL152" s="460"/>
      <c r="CM152" s="460"/>
      <c r="CN152" s="460"/>
      <c r="CO152" s="460"/>
      <c r="CP152" s="460"/>
      <c r="CQ152" s="460"/>
      <c r="CR152" s="460"/>
      <c r="CS152" s="460"/>
      <c r="CT152" s="460"/>
      <c r="CU152" s="460"/>
      <c r="CV152" s="460"/>
      <c r="CW152" s="460"/>
      <c r="CX152" s="460"/>
      <c r="CY152" s="460"/>
      <c r="CZ152" s="460"/>
      <c r="DA152" s="460"/>
      <c r="DB152" s="460"/>
      <c r="DC152" s="460"/>
      <c r="DD152" s="460"/>
      <c r="DE152" s="460"/>
      <c r="DF152" s="460"/>
      <c r="DG152" s="460"/>
      <c r="DH152" s="460"/>
      <c r="DI152" s="460"/>
      <c r="DJ152" s="460"/>
      <c r="DK152" s="460"/>
      <c r="DL152" s="460"/>
      <c r="DM152" s="460"/>
      <c r="DN152" s="460"/>
      <c r="DO152" s="460"/>
      <c r="DP152" s="460"/>
      <c r="DQ152" s="460"/>
      <c r="DR152" s="460"/>
      <c r="DS152" s="460"/>
      <c r="DT152" s="460"/>
      <c r="DU152" s="460"/>
      <c r="DV152" s="460"/>
      <c r="DW152" s="460"/>
      <c r="DX152" s="460"/>
      <c r="DY152" s="460"/>
      <c r="DZ152" s="460"/>
      <c r="EA152" s="460"/>
      <c r="EB152" s="460"/>
      <c r="EC152" s="460"/>
      <c r="ED152" s="460"/>
      <c r="EE152" s="460"/>
      <c r="EF152" s="460"/>
      <c r="EG152" s="460"/>
      <c r="EH152" s="460"/>
      <c r="EI152" s="460"/>
      <c r="EJ152" s="460"/>
      <c r="EK152" s="460"/>
      <c r="EL152" s="460"/>
      <c r="EM152" s="460"/>
      <c r="EN152" s="460"/>
      <c r="EO152" s="460"/>
      <c r="EP152" s="460"/>
      <c r="EQ152" s="460"/>
      <c r="ER152" s="460"/>
      <c r="ES152" s="460"/>
      <c r="ET152" s="460"/>
      <c r="EU152" s="460"/>
      <c r="EV152" s="460"/>
      <c r="EW152" s="460"/>
      <c r="EX152" s="460"/>
      <c r="EY152" s="460"/>
      <c r="EZ152" s="460"/>
      <c r="FA152" s="460"/>
      <c r="FB152" s="460"/>
      <c r="FC152" s="460"/>
      <c r="FD152" s="460"/>
      <c r="FE152" s="460"/>
      <c r="FF152" s="460"/>
      <c r="FG152" s="460"/>
      <c r="FH152" s="460"/>
      <c r="FI152" s="460"/>
      <c r="FJ152" s="460"/>
      <c r="FK152" s="460"/>
      <c r="FL152" s="460"/>
      <c r="FM152" s="460"/>
      <c r="FN152" s="460"/>
      <c r="FO152" s="460"/>
      <c r="FP152" s="460"/>
      <c r="FQ152" s="460"/>
      <c r="FR152" s="460"/>
      <c r="FS152" s="460"/>
      <c r="FT152" s="460"/>
      <c r="FU152" s="460"/>
      <c r="FV152" s="460"/>
      <c r="FW152" s="460"/>
      <c r="FX152" s="460"/>
      <c r="FY152" s="460"/>
      <c r="FZ152" s="460"/>
      <c r="GA152" s="460"/>
      <c r="GB152" s="460"/>
      <c r="GC152" s="460"/>
      <c r="GD152" s="460"/>
      <c r="GE152" s="460"/>
      <c r="GF152" s="460"/>
      <c r="GG152" s="460"/>
      <c r="GH152" s="460"/>
      <c r="GI152" s="460"/>
      <c r="GJ152" s="460"/>
      <c r="GK152" s="460"/>
      <c r="GL152" s="460"/>
      <c r="GM152" s="460"/>
    </row>
    <row r="153" spans="3:195" ht="12.75">
      <c r="C153" s="528"/>
      <c r="D153" s="460"/>
      <c r="E153" s="460"/>
      <c r="F153" s="510"/>
      <c r="G153" s="510"/>
      <c r="H153" s="51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  <c r="BD153" s="460"/>
      <c r="BE153" s="460"/>
      <c r="BF153" s="460"/>
      <c r="BG153" s="460"/>
      <c r="BH153" s="460"/>
      <c r="BI153" s="460"/>
      <c r="BJ153" s="460"/>
      <c r="BK153" s="460"/>
      <c r="BL153" s="460"/>
      <c r="BM153" s="460"/>
      <c r="BN153" s="460"/>
      <c r="BO153" s="460"/>
      <c r="BP153" s="460"/>
      <c r="BQ153" s="460"/>
      <c r="BR153" s="460"/>
      <c r="BS153" s="460"/>
      <c r="BT153" s="460"/>
      <c r="BU153" s="460"/>
      <c r="BV153" s="460"/>
      <c r="BW153" s="460"/>
      <c r="BX153" s="460"/>
      <c r="BY153" s="460"/>
      <c r="BZ153" s="460"/>
      <c r="CA153" s="460"/>
      <c r="CB153" s="460"/>
      <c r="CC153" s="460"/>
      <c r="CD153" s="460"/>
      <c r="CE153" s="460"/>
      <c r="CF153" s="460"/>
      <c r="CG153" s="460"/>
      <c r="CH153" s="460"/>
      <c r="CI153" s="460"/>
      <c r="CJ153" s="460"/>
      <c r="CK153" s="460"/>
      <c r="CL153" s="460"/>
      <c r="CM153" s="460"/>
      <c r="CN153" s="460"/>
      <c r="CO153" s="460"/>
      <c r="CP153" s="460"/>
      <c r="CQ153" s="460"/>
      <c r="CR153" s="460"/>
      <c r="CS153" s="460"/>
      <c r="CT153" s="460"/>
      <c r="CU153" s="460"/>
      <c r="CV153" s="460"/>
      <c r="CW153" s="460"/>
      <c r="CX153" s="460"/>
      <c r="CY153" s="460"/>
      <c r="CZ153" s="460"/>
      <c r="DA153" s="460"/>
      <c r="DB153" s="460"/>
      <c r="DC153" s="460"/>
      <c r="DD153" s="460"/>
      <c r="DE153" s="460"/>
      <c r="DF153" s="460"/>
      <c r="DG153" s="460"/>
      <c r="DH153" s="460"/>
      <c r="DI153" s="460"/>
      <c r="DJ153" s="460"/>
      <c r="DK153" s="460"/>
      <c r="DL153" s="460"/>
      <c r="DM153" s="460"/>
      <c r="DN153" s="460"/>
      <c r="DO153" s="460"/>
      <c r="DP153" s="460"/>
      <c r="DQ153" s="460"/>
      <c r="DR153" s="460"/>
      <c r="DS153" s="460"/>
      <c r="DT153" s="460"/>
      <c r="DU153" s="460"/>
      <c r="DV153" s="460"/>
      <c r="DW153" s="460"/>
      <c r="DX153" s="460"/>
      <c r="DY153" s="460"/>
      <c r="DZ153" s="460"/>
      <c r="EA153" s="460"/>
      <c r="EB153" s="460"/>
      <c r="EC153" s="460"/>
      <c r="ED153" s="460"/>
      <c r="EE153" s="460"/>
      <c r="EF153" s="460"/>
      <c r="EG153" s="460"/>
      <c r="EH153" s="460"/>
      <c r="EI153" s="460"/>
      <c r="EJ153" s="460"/>
      <c r="EK153" s="460"/>
      <c r="EL153" s="460"/>
      <c r="EM153" s="460"/>
      <c r="EN153" s="460"/>
      <c r="EO153" s="460"/>
      <c r="EP153" s="460"/>
      <c r="EQ153" s="460"/>
      <c r="ER153" s="460"/>
      <c r="ES153" s="460"/>
      <c r="ET153" s="460"/>
      <c r="EU153" s="460"/>
      <c r="EV153" s="460"/>
      <c r="EW153" s="460"/>
      <c r="EX153" s="460"/>
      <c r="EY153" s="460"/>
      <c r="EZ153" s="460"/>
      <c r="FA153" s="460"/>
      <c r="FB153" s="460"/>
      <c r="FC153" s="460"/>
      <c r="FD153" s="460"/>
      <c r="FE153" s="460"/>
      <c r="FF153" s="460"/>
      <c r="FG153" s="460"/>
      <c r="FH153" s="460"/>
      <c r="FI153" s="460"/>
      <c r="FJ153" s="460"/>
      <c r="FK153" s="460"/>
      <c r="FL153" s="460"/>
      <c r="FM153" s="460"/>
      <c r="FN153" s="460"/>
      <c r="FO153" s="460"/>
      <c r="FP153" s="460"/>
      <c r="FQ153" s="460"/>
      <c r="FR153" s="460"/>
      <c r="FS153" s="460"/>
      <c r="FT153" s="460"/>
      <c r="FU153" s="460"/>
      <c r="FV153" s="460"/>
      <c r="FW153" s="460"/>
      <c r="FX153" s="460"/>
      <c r="FY153" s="460"/>
      <c r="FZ153" s="460"/>
      <c r="GA153" s="460"/>
      <c r="GB153" s="460"/>
      <c r="GC153" s="460"/>
      <c r="GD153" s="460"/>
      <c r="GE153" s="460"/>
      <c r="GF153" s="460"/>
      <c r="GG153" s="460"/>
      <c r="GH153" s="460"/>
      <c r="GI153" s="460"/>
      <c r="GJ153" s="460"/>
      <c r="GK153" s="460"/>
      <c r="GL153" s="460"/>
      <c r="GM153" s="460"/>
    </row>
    <row r="154" spans="3:8" ht="12.75">
      <c r="C154" s="528"/>
      <c r="F154" s="528"/>
      <c r="G154" s="528"/>
      <c r="H154" s="528"/>
    </row>
    <row r="155" spans="3:8" ht="12.75">
      <c r="C155" s="528"/>
      <c r="F155" s="528"/>
      <c r="G155" s="528"/>
      <c r="H155" s="528"/>
    </row>
    <row r="156" spans="3:8" ht="12.75">
      <c r="C156" s="528"/>
      <c r="F156" s="528"/>
      <c r="G156" s="528"/>
      <c r="H156" s="528"/>
    </row>
    <row r="157" spans="6:8" ht="12.75">
      <c r="F157" s="528"/>
      <c r="G157" s="528"/>
      <c r="H157" s="528"/>
    </row>
    <row r="179" spans="9:20" ht="12.75">
      <c r="I179" s="530"/>
      <c r="J179" s="530"/>
      <c r="K179" s="530"/>
      <c r="L179" s="530"/>
      <c r="M179" s="530"/>
      <c r="N179" s="530"/>
      <c r="O179" s="530"/>
      <c r="P179" s="530"/>
      <c r="Q179" s="530"/>
      <c r="R179" s="530"/>
      <c r="S179" s="530"/>
      <c r="T179" s="530"/>
    </row>
  </sheetData>
  <mergeCells count="4">
    <mergeCell ref="B12:V12"/>
    <mergeCell ref="B5:V5"/>
    <mergeCell ref="B7:V7"/>
    <mergeCell ref="B9:V9"/>
  </mergeCells>
  <printOptions horizontalCentered="1"/>
  <pageMargins left="0.5905511811023623" right="0.1968503937007874" top="0.7874015748031497" bottom="0.7874015748031497" header="0.5118110236220472" footer="0.5118110236220472"/>
  <pageSetup fitToHeight="1" fitToWidth="1" horizontalDpi="300" verticalDpi="300" orientation="portrait" paperSize="9" scale="25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90"/>
  <sheetViews>
    <sheetView zoomScale="70" zoomScaleNormal="70" workbookViewId="0" topLeftCell="A1">
      <selection activeCell="F50" sqref="F50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'TOT-0110'!B2</f>
        <v>ANEXO II al Memorandum D.T.E.E. N°         /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122.355</v>
      </c>
      <c r="H14" s="37"/>
      <c r="I14" s="38"/>
      <c r="J14" s="34"/>
      <c r="K14" s="34"/>
      <c r="L14" s="39" t="s">
        <v>8</v>
      </c>
      <c r="M14" s="40">
        <f>150*'TOT-0110'!B13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116.918</v>
      </c>
      <c r="H15" s="42"/>
      <c r="I15" s="43"/>
      <c r="J15" s="7"/>
      <c r="K15" s="44"/>
      <c r="L15" s="39" t="s">
        <v>10</v>
      </c>
      <c r="M15" s="40">
        <f>50*'TOT-0110'!B13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116.918</v>
      </c>
      <c r="H16" s="42"/>
      <c r="I16" s="43"/>
      <c r="J16" s="7"/>
      <c r="K16" s="7"/>
      <c r="L16" s="39" t="s">
        <v>12</v>
      </c>
      <c r="M16" s="40">
        <f>10*'TOT-0110'!B13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70</v>
      </c>
      <c r="E18" s="421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216223</v>
      </c>
      <c r="E21" s="79">
        <v>4888</v>
      </c>
      <c r="F21" s="77" t="s">
        <v>174</v>
      </c>
      <c r="G21" s="77">
        <v>132</v>
      </c>
      <c r="H21" s="90">
        <v>13</v>
      </c>
      <c r="I21" s="91" t="s">
        <v>77</v>
      </c>
      <c r="J21" s="92">
        <f aca="true" t="shared" si="0" ref="J21:J40">IF(G21=220,$G$14,IF(G21=132,$G$15,$G$16))*IF(H21&gt;25,H21,25)/100</f>
        <v>29.2295</v>
      </c>
      <c r="K21" s="432">
        <v>40179</v>
      </c>
      <c r="L21" s="432">
        <v>40195.643055555556</v>
      </c>
      <c r="M21" s="94">
        <f aca="true" t="shared" si="1" ref="M21:M40">IF(F21="","",(L21-K21)*24)</f>
        <v>399.43333333334886</v>
      </c>
      <c r="N21" s="95">
        <f aca="true" t="shared" si="2" ref="N21:N40">IF(F21="","",ROUND((L21-K21)*24*60,0))</f>
        <v>23966</v>
      </c>
      <c r="O21" s="96" t="s">
        <v>73</v>
      </c>
      <c r="P21" s="426"/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1167.5139185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7" t="s">
        <v>74</v>
      </c>
      <c r="AC21" s="106">
        <f aca="true" t="shared" si="14" ref="AC21:AC40">IF(F21="","",SUM(R21:AA21)*IF(AB21="SI",1,2))</f>
        <v>1167.5139185</v>
      </c>
      <c r="AD21" s="107"/>
    </row>
    <row r="22" spans="2:30" s="1" customFormat="1" ht="16.5" customHeight="1">
      <c r="B22" s="13"/>
      <c r="C22" s="79">
        <v>2</v>
      </c>
      <c r="D22" s="79">
        <v>216807</v>
      </c>
      <c r="E22" s="79">
        <v>4889</v>
      </c>
      <c r="F22" s="77" t="s">
        <v>175</v>
      </c>
      <c r="G22" s="77">
        <v>132</v>
      </c>
      <c r="H22" s="90">
        <v>24.7</v>
      </c>
      <c r="I22" s="91" t="s">
        <v>77</v>
      </c>
      <c r="J22" s="92">
        <f t="shared" si="0"/>
        <v>29.2295</v>
      </c>
      <c r="K22" s="432">
        <v>40180.77361111111</v>
      </c>
      <c r="L22" s="432">
        <v>40180.78472222222</v>
      </c>
      <c r="M22" s="94">
        <f t="shared" si="1"/>
        <v>0.26666666666278616</v>
      </c>
      <c r="N22" s="95">
        <f t="shared" si="2"/>
        <v>16</v>
      </c>
      <c r="O22" s="96" t="s">
        <v>75</v>
      </c>
      <c r="P22" s="426"/>
      <c r="Q22" s="97">
        <f t="shared" si="3"/>
        <v>10</v>
      </c>
      <c r="R22" s="98" t="str">
        <f t="shared" si="4"/>
        <v>--</v>
      </c>
      <c r="S22" s="99" t="str">
        <f t="shared" si="5"/>
        <v>--</v>
      </c>
      <c r="T22" s="100">
        <f t="shared" si="6"/>
        <v>292.295</v>
      </c>
      <c r="U22" s="100">
        <f t="shared" si="7"/>
        <v>78.91965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74</v>
      </c>
      <c r="AC22" s="106">
        <f t="shared" si="14"/>
        <v>371.21465</v>
      </c>
      <c r="AD22" s="107"/>
    </row>
    <row r="23" spans="2:30" s="1" customFormat="1" ht="16.5" customHeight="1">
      <c r="B23" s="13"/>
      <c r="C23" s="79">
        <v>3</v>
      </c>
      <c r="D23" s="79">
        <v>217053</v>
      </c>
      <c r="E23" s="79">
        <v>1434</v>
      </c>
      <c r="F23" s="77" t="s">
        <v>176</v>
      </c>
      <c r="G23" s="77">
        <v>66</v>
      </c>
      <c r="H23" s="90">
        <v>60.94</v>
      </c>
      <c r="I23" s="91" t="s">
        <v>77</v>
      </c>
      <c r="J23" s="92">
        <f t="shared" si="0"/>
        <v>71.24982920000001</v>
      </c>
      <c r="K23" s="432">
        <v>40182.00763888889</v>
      </c>
      <c r="L23" s="432">
        <v>40182.14444444444</v>
      </c>
      <c r="M23" s="94">
        <f t="shared" si="1"/>
        <v>3.283333333209157</v>
      </c>
      <c r="N23" s="95">
        <f t="shared" si="2"/>
        <v>197</v>
      </c>
      <c r="O23" s="96" t="s">
        <v>75</v>
      </c>
      <c r="P23" s="426"/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712.4982920000001</v>
      </c>
      <c r="U23" s="100">
        <f t="shared" si="7"/>
        <v>2137.494876</v>
      </c>
      <c r="V23" s="101">
        <f t="shared" si="8"/>
        <v>19.94995217599999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74</v>
      </c>
      <c r="AC23" s="106">
        <f t="shared" si="14"/>
        <v>2869.9431201760003</v>
      </c>
      <c r="AD23" s="107"/>
    </row>
    <row r="24" spans="2:30" s="1" customFormat="1" ht="16.5" customHeight="1">
      <c r="B24" s="13"/>
      <c r="C24" s="79">
        <v>4</v>
      </c>
      <c r="D24" s="79">
        <v>217054</v>
      </c>
      <c r="E24" s="79">
        <v>1536</v>
      </c>
      <c r="F24" s="77" t="s">
        <v>76</v>
      </c>
      <c r="G24" s="77">
        <v>66</v>
      </c>
      <c r="H24" s="90">
        <v>46.79999923706055</v>
      </c>
      <c r="I24" s="91" t="s">
        <v>77</v>
      </c>
      <c r="J24" s="92">
        <f t="shared" si="0"/>
        <v>54.717623107986455</v>
      </c>
      <c r="K24" s="432">
        <v>40182.00763888889</v>
      </c>
      <c r="L24" s="432">
        <v>40182.01111111111</v>
      </c>
      <c r="M24" s="94">
        <f t="shared" si="1"/>
        <v>0.08333333325572312</v>
      </c>
      <c r="N24" s="95">
        <f t="shared" si="2"/>
        <v>5</v>
      </c>
      <c r="O24" s="96" t="s">
        <v>75</v>
      </c>
      <c r="P24" s="426"/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547.1762310798646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74</v>
      </c>
      <c r="AC24" s="106">
        <f t="shared" si="14"/>
        <v>547.1762310798646</v>
      </c>
      <c r="AD24" s="107"/>
    </row>
    <row r="25" spans="2:30" s="149" customFormat="1" ht="16.5" customHeight="1">
      <c r="B25" s="158"/>
      <c r="C25" s="210">
        <v>5</v>
      </c>
      <c r="D25" s="210">
        <v>217078</v>
      </c>
      <c r="E25" s="210">
        <v>2648</v>
      </c>
      <c r="F25" s="805" t="s">
        <v>78</v>
      </c>
      <c r="G25" s="805">
        <v>132</v>
      </c>
      <c r="H25" s="806">
        <v>3.200000047683716</v>
      </c>
      <c r="I25" s="807" t="s">
        <v>77</v>
      </c>
      <c r="J25" s="227">
        <f t="shared" si="0"/>
        <v>29.2295</v>
      </c>
      <c r="K25" s="432">
        <v>40182.381944444445</v>
      </c>
      <c r="L25" s="432">
        <v>40187.350694444445</v>
      </c>
      <c r="M25" s="225">
        <f t="shared" si="1"/>
        <v>119.25</v>
      </c>
      <c r="N25" s="808">
        <f t="shared" si="2"/>
        <v>7155</v>
      </c>
      <c r="O25" s="227" t="s">
        <v>73</v>
      </c>
      <c r="P25" s="425"/>
      <c r="Q25" s="228">
        <f t="shared" si="3"/>
        <v>10</v>
      </c>
      <c r="R25" s="812">
        <f t="shared" si="4"/>
        <v>348.5617875000001</v>
      </c>
      <c r="S25" s="812" t="str">
        <f t="shared" si="5"/>
        <v>--</v>
      </c>
      <c r="T25" s="813" t="str">
        <f t="shared" si="6"/>
        <v>--</v>
      </c>
      <c r="U25" s="813" t="str">
        <f t="shared" si="7"/>
        <v>--</v>
      </c>
      <c r="V25" s="814" t="str">
        <f t="shared" si="8"/>
        <v>--</v>
      </c>
      <c r="W25" s="813" t="str">
        <f t="shared" si="9"/>
        <v>--</v>
      </c>
      <c r="X25" s="813" t="str">
        <f t="shared" si="10"/>
        <v>--</v>
      </c>
      <c r="Y25" s="814" t="str">
        <f t="shared" si="11"/>
        <v>--</v>
      </c>
      <c r="Z25" s="814" t="str">
        <f t="shared" si="12"/>
        <v>--</v>
      </c>
      <c r="AA25" s="814" t="str">
        <f t="shared" si="13"/>
        <v>--</v>
      </c>
      <c r="AB25" s="809" t="s">
        <v>74</v>
      </c>
      <c r="AC25" s="810">
        <v>0</v>
      </c>
      <c r="AD25" s="238"/>
    </row>
    <row r="26" spans="2:30" s="149" customFormat="1" ht="16.5" customHeight="1">
      <c r="B26" s="158"/>
      <c r="C26" s="210">
        <v>6</v>
      </c>
      <c r="D26" s="210">
        <v>217079</v>
      </c>
      <c r="E26" s="210">
        <v>1543</v>
      </c>
      <c r="F26" s="805" t="s">
        <v>79</v>
      </c>
      <c r="G26" s="805">
        <v>132</v>
      </c>
      <c r="H26" s="806">
        <v>24.100000381469727</v>
      </c>
      <c r="I26" s="807" t="s">
        <v>77</v>
      </c>
      <c r="J26" s="227">
        <f t="shared" si="0"/>
        <v>29.2295</v>
      </c>
      <c r="K26" s="432">
        <v>40182.42013888889</v>
      </c>
      <c r="L26" s="432">
        <v>40182.6125</v>
      </c>
      <c r="M26" s="225">
        <f t="shared" si="1"/>
        <v>4.616666666697711</v>
      </c>
      <c r="N26" s="808">
        <f t="shared" si="2"/>
        <v>277</v>
      </c>
      <c r="O26" s="432" t="s">
        <v>73</v>
      </c>
      <c r="P26" s="425"/>
      <c r="Q26" s="228">
        <f t="shared" si="3"/>
        <v>10</v>
      </c>
      <c r="R26" s="812">
        <f t="shared" si="4"/>
        <v>13.504029000000001</v>
      </c>
      <c r="S26" s="812" t="str">
        <f t="shared" si="5"/>
        <v>--</v>
      </c>
      <c r="T26" s="813" t="str">
        <f t="shared" si="6"/>
        <v>--</v>
      </c>
      <c r="U26" s="813" t="str">
        <f t="shared" si="7"/>
        <v>--</v>
      </c>
      <c r="V26" s="814" t="str">
        <f t="shared" si="8"/>
        <v>--</v>
      </c>
      <c r="W26" s="813" t="str">
        <f t="shared" si="9"/>
        <v>--</v>
      </c>
      <c r="X26" s="813" t="str">
        <f t="shared" si="10"/>
        <v>--</v>
      </c>
      <c r="Y26" s="814" t="str">
        <f t="shared" si="11"/>
        <v>--</v>
      </c>
      <c r="Z26" s="814" t="str">
        <f t="shared" si="12"/>
        <v>--</v>
      </c>
      <c r="AA26" s="814" t="str">
        <f t="shared" si="13"/>
        <v>--</v>
      </c>
      <c r="AB26" s="809" t="s">
        <v>74</v>
      </c>
      <c r="AC26" s="810">
        <f t="shared" si="14"/>
        <v>13.504029000000001</v>
      </c>
      <c r="AD26" s="238"/>
    </row>
    <row r="27" spans="2:30" s="149" customFormat="1" ht="16.5" customHeight="1">
      <c r="B27" s="158"/>
      <c r="C27" s="210">
        <v>7</v>
      </c>
      <c r="D27" s="210">
        <v>217080</v>
      </c>
      <c r="E27" s="210">
        <v>1532</v>
      </c>
      <c r="F27" s="805" t="s">
        <v>80</v>
      </c>
      <c r="G27" s="805">
        <v>132</v>
      </c>
      <c r="H27" s="806">
        <v>141</v>
      </c>
      <c r="I27" s="807" t="s">
        <v>81</v>
      </c>
      <c r="J27" s="227">
        <f t="shared" si="0"/>
        <v>164.85438000000002</v>
      </c>
      <c r="K27" s="432">
        <v>40182.46944444445</v>
      </c>
      <c r="L27" s="432">
        <v>40182.62847222222</v>
      </c>
      <c r="M27" s="225">
        <f t="shared" si="1"/>
        <v>3.8166666665347293</v>
      </c>
      <c r="N27" s="808">
        <f t="shared" si="2"/>
        <v>229</v>
      </c>
      <c r="O27" s="432" t="s">
        <v>73</v>
      </c>
      <c r="P27" s="425"/>
      <c r="Q27" s="228">
        <f t="shared" si="3"/>
        <v>50</v>
      </c>
      <c r="R27" s="812">
        <f t="shared" si="4"/>
        <v>314.8718658</v>
      </c>
      <c r="S27" s="812" t="str">
        <f t="shared" si="5"/>
        <v>--</v>
      </c>
      <c r="T27" s="813" t="str">
        <f t="shared" si="6"/>
        <v>--</v>
      </c>
      <c r="U27" s="813" t="str">
        <f t="shared" si="7"/>
        <v>--</v>
      </c>
      <c r="V27" s="814" t="str">
        <f t="shared" si="8"/>
        <v>--</v>
      </c>
      <c r="W27" s="813" t="str">
        <f t="shared" si="9"/>
        <v>--</v>
      </c>
      <c r="X27" s="813" t="str">
        <f t="shared" si="10"/>
        <v>--</v>
      </c>
      <c r="Y27" s="814" t="str">
        <f t="shared" si="11"/>
        <v>--</v>
      </c>
      <c r="Z27" s="814" t="str">
        <f t="shared" si="12"/>
        <v>--</v>
      </c>
      <c r="AA27" s="814" t="str">
        <f t="shared" si="13"/>
        <v>--</v>
      </c>
      <c r="AB27" s="809" t="s">
        <v>74</v>
      </c>
      <c r="AC27" s="810">
        <f t="shared" si="14"/>
        <v>314.8718658</v>
      </c>
      <c r="AD27" s="238"/>
    </row>
    <row r="28" spans="2:30" s="149" customFormat="1" ht="16.5" customHeight="1">
      <c r="B28" s="158"/>
      <c r="C28" s="210">
        <v>8</v>
      </c>
      <c r="D28" s="210">
        <v>217085</v>
      </c>
      <c r="E28" s="210">
        <v>1543</v>
      </c>
      <c r="F28" s="805" t="s">
        <v>79</v>
      </c>
      <c r="G28" s="805">
        <v>132</v>
      </c>
      <c r="H28" s="806">
        <v>24.100000381469727</v>
      </c>
      <c r="I28" s="807" t="s">
        <v>77</v>
      </c>
      <c r="J28" s="227">
        <f t="shared" si="0"/>
        <v>29.2295</v>
      </c>
      <c r="K28" s="432">
        <v>40183.39375</v>
      </c>
      <c r="L28" s="432">
        <v>40183.64166666667</v>
      </c>
      <c r="M28" s="225">
        <f t="shared" si="1"/>
        <v>5.9500000000116415</v>
      </c>
      <c r="N28" s="808">
        <f t="shared" si="2"/>
        <v>357</v>
      </c>
      <c r="O28" s="432" t="s">
        <v>73</v>
      </c>
      <c r="P28" s="425"/>
      <c r="Q28" s="228">
        <f t="shared" si="3"/>
        <v>10</v>
      </c>
      <c r="R28" s="812">
        <f t="shared" si="4"/>
        <v>17.3915525</v>
      </c>
      <c r="S28" s="812" t="str">
        <f t="shared" si="5"/>
        <v>--</v>
      </c>
      <c r="T28" s="813" t="str">
        <f t="shared" si="6"/>
        <v>--</v>
      </c>
      <c r="U28" s="813" t="str">
        <f t="shared" si="7"/>
        <v>--</v>
      </c>
      <c r="V28" s="814" t="str">
        <f t="shared" si="8"/>
        <v>--</v>
      </c>
      <c r="W28" s="813" t="str">
        <f t="shared" si="9"/>
        <v>--</v>
      </c>
      <c r="X28" s="813" t="str">
        <f t="shared" si="10"/>
        <v>--</v>
      </c>
      <c r="Y28" s="814" t="str">
        <f t="shared" si="11"/>
        <v>--</v>
      </c>
      <c r="Z28" s="814" t="str">
        <f t="shared" si="12"/>
        <v>--</v>
      </c>
      <c r="AA28" s="814" t="str">
        <f t="shared" si="13"/>
        <v>--</v>
      </c>
      <c r="AB28" s="809" t="s">
        <v>74</v>
      </c>
      <c r="AC28" s="810">
        <f t="shared" si="14"/>
        <v>17.3915525</v>
      </c>
      <c r="AD28" s="238"/>
    </row>
    <row r="29" spans="2:30" s="149" customFormat="1" ht="16.5" customHeight="1">
      <c r="B29" s="158"/>
      <c r="C29" s="210">
        <v>9</v>
      </c>
      <c r="D29" s="210">
        <v>217093</v>
      </c>
      <c r="E29" s="210">
        <v>1532</v>
      </c>
      <c r="F29" s="805" t="s">
        <v>80</v>
      </c>
      <c r="G29" s="805">
        <v>132</v>
      </c>
      <c r="H29" s="806">
        <v>141</v>
      </c>
      <c r="I29" s="807" t="s">
        <v>81</v>
      </c>
      <c r="J29" s="227">
        <f t="shared" si="0"/>
        <v>164.85438000000002</v>
      </c>
      <c r="K29" s="432">
        <v>40183.415972222225</v>
      </c>
      <c r="L29" s="432">
        <v>40183.71319444444</v>
      </c>
      <c r="M29" s="225">
        <f t="shared" si="1"/>
        <v>7.133333333185874</v>
      </c>
      <c r="N29" s="808">
        <f t="shared" si="2"/>
        <v>428</v>
      </c>
      <c r="O29" s="432" t="s">
        <v>73</v>
      </c>
      <c r="P29" s="425"/>
      <c r="Q29" s="228">
        <f t="shared" si="3"/>
        <v>50</v>
      </c>
      <c r="R29" s="812">
        <f t="shared" si="4"/>
        <v>587.7058647000001</v>
      </c>
      <c r="S29" s="812" t="str">
        <f t="shared" si="5"/>
        <v>--</v>
      </c>
      <c r="T29" s="813" t="str">
        <f t="shared" si="6"/>
        <v>--</v>
      </c>
      <c r="U29" s="813" t="str">
        <f t="shared" si="7"/>
        <v>--</v>
      </c>
      <c r="V29" s="814" t="str">
        <f t="shared" si="8"/>
        <v>--</v>
      </c>
      <c r="W29" s="813" t="str">
        <f t="shared" si="9"/>
        <v>--</v>
      </c>
      <c r="X29" s="813" t="str">
        <f t="shared" si="10"/>
        <v>--</v>
      </c>
      <c r="Y29" s="814" t="str">
        <f t="shared" si="11"/>
        <v>--</v>
      </c>
      <c r="Z29" s="814" t="str">
        <f t="shared" si="12"/>
        <v>--</v>
      </c>
      <c r="AA29" s="814" t="str">
        <f t="shared" si="13"/>
        <v>--</v>
      </c>
      <c r="AB29" s="809" t="s">
        <v>74</v>
      </c>
      <c r="AC29" s="810">
        <f t="shared" si="14"/>
        <v>587.7058647000001</v>
      </c>
      <c r="AD29" s="238"/>
    </row>
    <row r="30" spans="2:30" s="149" customFormat="1" ht="16.5" customHeight="1">
      <c r="B30" s="158"/>
      <c r="C30" s="210">
        <v>10</v>
      </c>
      <c r="D30" s="210">
        <v>217095</v>
      </c>
      <c r="E30" s="210">
        <v>1453</v>
      </c>
      <c r="F30" s="805" t="s">
        <v>82</v>
      </c>
      <c r="G30" s="805">
        <v>132</v>
      </c>
      <c r="H30" s="806">
        <v>5.300000190734863</v>
      </c>
      <c r="I30" s="807" t="s">
        <v>77</v>
      </c>
      <c r="J30" s="227">
        <f t="shared" si="0"/>
        <v>29.2295</v>
      </c>
      <c r="K30" s="432">
        <v>40183.60763888889</v>
      </c>
      <c r="L30" s="432">
        <v>40183.66111111111</v>
      </c>
      <c r="M30" s="225">
        <f t="shared" si="1"/>
        <v>1.2833333333255723</v>
      </c>
      <c r="N30" s="808">
        <f t="shared" si="2"/>
        <v>77</v>
      </c>
      <c r="O30" s="432" t="s">
        <v>75</v>
      </c>
      <c r="P30" s="425"/>
      <c r="Q30" s="228">
        <f t="shared" si="3"/>
        <v>10</v>
      </c>
      <c r="R30" s="812" t="str">
        <f t="shared" si="4"/>
        <v>--</v>
      </c>
      <c r="S30" s="812" t="str">
        <f t="shared" si="5"/>
        <v>--</v>
      </c>
      <c r="T30" s="813">
        <f t="shared" si="6"/>
        <v>292.295</v>
      </c>
      <c r="U30" s="813">
        <f t="shared" si="7"/>
        <v>374.1376</v>
      </c>
      <c r="V30" s="814" t="str">
        <f t="shared" si="8"/>
        <v>--</v>
      </c>
      <c r="W30" s="813" t="str">
        <f t="shared" si="9"/>
        <v>--</v>
      </c>
      <c r="X30" s="813" t="str">
        <f t="shared" si="10"/>
        <v>--</v>
      </c>
      <c r="Y30" s="814" t="str">
        <f t="shared" si="11"/>
        <v>--</v>
      </c>
      <c r="Z30" s="814" t="str">
        <f t="shared" si="12"/>
        <v>--</v>
      </c>
      <c r="AA30" s="814" t="str">
        <f t="shared" si="13"/>
        <v>--</v>
      </c>
      <c r="AB30" s="809" t="s">
        <v>74</v>
      </c>
      <c r="AC30" s="810">
        <f t="shared" si="14"/>
        <v>666.4326000000001</v>
      </c>
      <c r="AD30" s="238"/>
    </row>
    <row r="31" spans="2:30" s="149" customFormat="1" ht="16.5" customHeight="1">
      <c r="B31" s="158"/>
      <c r="C31" s="210">
        <v>11</v>
      </c>
      <c r="D31" s="210">
        <v>217096</v>
      </c>
      <c r="E31" s="210">
        <v>1452</v>
      </c>
      <c r="F31" s="805" t="s">
        <v>83</v>
      </c>
      <c r="G31" s="805">
        <v>132</v>
      </c>
      <c r="H31" s="806">
        <v>51.5099983215332</v>
      </c>
      <c r="I31" s="807" t="s">
        <v>77</v>
      </c>
      <c r="J31" s="227">
        <f t="shared" si="0"/>
        <v>60.224459837570194</v>
      </c>
      <c r="K31" s="432">
        <v>40183.60763888889</v>
      </c>
      <c r="L31" s="432">
        <v>40183.70486111111</v>
      </c>
      <c r="M31" s="225">
        <f t="shared" si="1"/>
        <v>2.333333333255723</v>
      </c>
      <c r="N31" s="808">
        <f t="shared" si="2"/>
        <v>140</v>
      </c>
      <c r="O31" s="432" t="s">
        <v>75</v>
      </c>
      <c r="P31" s="425"/>
      <c r="Q31" s="228">
        <f t="shared" si="3"/>
        <v>10</v>
      </c>
      <c r="R31" s="812" t="str">
        <f t="shared" si="4"/>
        <v>--</v>
      </c>
      <c r="S31" s="812" t="str">
        <f t="shared" si="5"/>
        <v>--</v>
      </c>
      <c r="T31" s="813">
        <f t="shared" si="6"/>
        <v>602.2445983757019</v>
      </c>
      <c r="U31" s="813">
        <f t="shared" si="7"/>
        <v>1403.2299142153854</v>
      </c>
      <c r="V31" s="814" t="str">
        <f t="shared" si="8"/>
        <v>--</v>
      </c>
      <c r="W31" s="813" t="str">
        <f t="shared" si="9"/>
        <v>--</v>
      </c>
      <c r="X31" s="813" t="str">
        <f t="shared" si="10"/>
        <v>--</v>
      </c>
      <c r="Y31" s="814" t="str">
        <f t="shared" si="11"/>
        <v>--</v>
      </c>
      <c r="Z31" s="814" t="str">
        <f t="shared" si="12"/>
        <v>--</v>
      </c>
      <c r="AA31" s="814" t="str">
        <f t="shared" si="13"/>
        <v>--</v>
      </c>
      <c r="AB31" s="809" t="s">
        <v>74</v>
      </c>
      <c r="AC31" s="810">
        <f t="shared" si="14"/>
        <v>2005.4745125910872</v>
      </c>
      <c r="AD31" s="238"/>
    </row>
    <row r="32" spans="2:30" s="149" customFormat="1" ht="16.5" customHeight="1">
      <c r="B32" s="158"/>
      <c r="C32" s="210">
        <v>12</v>
      </c>
      <c r="D32" s="210">
        <v>217098</v>
      </c>
      <c r="E32" s="210">
        <v>1436</v>
      </c>
      <c r="F32" s="805" t="s">
        <v>84</v>
      </c>
      <c r="G32" s="805">
        <v>66</v>
      </c>
      <c r="H32" s="806">
        <v>80.0999984741211</v>
      </c>
      <c r="I32" s="807" t="s">
        <v>81</v>
      </c>
      <c r="J32" s="227">
        <f t="shared" si="0"/>
        <v>93.65131621597291</v>
      </c>
      <c r="K32" s="432">
        <v>40183.625</v>
      </c>
      <c r="L32" s="432">
        <v>40183.92152777778</v>
      </c>
      <c r="M32" s="225">
        <f t="shared" si="1"/>
        <v>7.116666666639503</v>
      </c>
      <c r="N32" s="808">
        <f t="shared" si="2"/>
        <v>427</v>
      </c>
      <c r="O32" s="432" t="s">
        <v>75</v>
      </c>
      <c r="P32" s="425"/>
      <c r="Q32" s="228">
        <f t="shared" si="3"/>
        <v>50</v>
      </c>
      <c r="R32" s="812" t="str">
        <f t="shared" si="4"/>
        <v>--</v>
      </c>
      <c r="S32" s="812" t="str">
        <f t="shared" si="5"/>
        <v>--</v>
      </c>
      <c r="T32" s="813">
        <f t="shared" si="6"/>
        <v>4682.5658107986455</v>
      </c>
      <c r="U32" s="813">
        <f t="shared" si="7"/>
        <v>14047.697432395937</v>
      </c>
      <c r="V32" s="814">
        <f t="shared" si="8"/>
        <v>1929.217114049042</v>
      </c>
      <c r="W32" s="813" t="str">
        <f t="shared" si="9"/>
        <v>--</v>
      </c>
      <c r="X32" s="813" t="str">
        <f t="shared" si="10"/>
        <v>--</v>
      </c>
      <c r="Y32" s="814" t="str">
        <f t="shared" si="11"/>
        <v>--</v>
      </c>
      <c r="Z32" s="814" t="str">
        <f t="shared" si="12"/>
        <v>--</v>
      </c>
      <c r="AA32" s="814" t="str">
        <f t="shared" si="13"/>
        <v>--</v>
      </c>
      <c r="AB32" s="809" t="s">
        <v>74</v>
      </c>
      <c r="AC32" s="810">
        <f t="shared" si="14"/>
        <v>20659.480357243625</v>
      </c>
      <c r="AD32" s="238"/>
    </row>
    <row r="33" spans="2:30" s="149" customFormat="1" ht="16.5" customHeight="1">
      <c r="B33" s="158"/>
      <c r="C33" s="210">
        <v>13</v>
      </c>
      <c r="D33" s="210" t="s">
        <v>85</v>
      </c>
      <c r="E33" s="210">
        <v>14401524</v>
      </c>
      <c r="F33" s="805" t="s">
        <v>86</v>
      </c>
      <c r="G33" s="805">
        <v>132</v>
      </c>
      <c r="H33" s="806">
        <v>132.3000030517578</v>
      </c>
      <c r="I33" s="807" t="s">
        <v>77</v>
      </c>
      <c r="J33" s="227">
        <v>121.87873181137086</v>
      </c>
      <c r="K33" s="432">
        <v>40183.81805555556</v>
      </c>
      <c r="L33" s="432">
        <v>40183.94305555556</v>
      </c>
      <c r="M33" s="225">
        <v>3</v>
      </c>
      <c r="N33" s="808">
        <v>180</v>
      </c>
      <c r="O33" s="432" t="s">
        <v>213</v>
      </c>
      <c r="P33" s="425"/>
      <c r="Q33" s="228">
        <v>10</v>
      </c>
      <c r="R33" s="812" t="s">
        <v>212</v>
      </c>
      <c r="S33" s="812" t="s">
        <v>212</v>
      </c>
      <c r="T33" s="813">
        <v>1218.7873181137086</v>
      </c>
      <c r="U33" s="813">
        <v>3656.361954341126</v>
      </c>
      <c r="V33" s="814" t="s">
        <v>212</v>
      </c>
      <c r="W33" s="813" t="s">
        <v>212</v>
      </c>
      <c r="X33" s="813" t="s">
        <v>212</v>
      </c>
      <c r="Y33" s="814" t="s">
        <v>212</v>
      </c>
      <c r="Z33" s="814" t="s">
        <v>212</v>
      </c>
      <c r="AA33" s="814" t="s">
        <v>212</v>
      </c>
      <c r="AB33" s="809" t="s">
        <v>74</v>
      </c>
      <c r="AC33" s="810">
        <v>4875.149272454834</v>
      </c>
      <c r="AD33" s="238"/>
    </row>
    <row r="34" spans="2:30" s="149" customFormat="1" ht="16.5" customHeight="1">
      <c r="B34" s="811"/>
      <c r="C34" s="210">
        <v>14</v>
      </c>
      <c r="D34" s="210">
        <v>217104</v>
      </c>
      <c r="E34" s="210">
        <v>1532</v>
      </c>
      <c r="F34" s="805" t="s">
        <v>80</v>
      </c>
      <c r="G34" s="805">
        <v>132</v>
      </c>
      <c r="H34" s="806">
        <v>141</v>
      </c>
      <c r="I34" s="807" t="s">
        <v>81</v>
      </c>
      <c r="J34" s="227">
        <v>177.92931000000002</v>
      </c>
      <c r="K34" s="432">
        <v>40183.81805555556</v>
      </c>
      <c r="L34" s="432">
        <v>40183.94305555556</v>
      </c>
      <c r="M34" s="225">
        <v>3</v>
      </c>
      <c r="N34" s="808">
        <v>180</v>
      </c>
      <c r="O34" s="432" t="s">
        <v>213</v>
      </c>
      <c r="P34" s="425"/>
      <c r="Q34" s="228">
        <v>50</v>
      </c>
      <c r="R34" s="812" t="s">
        <v>212</v>
      </c>
      <c r="S34" s="812" t="s">
        <v>212</v>
      </c>
      <c r="T34" s="813">
        <v>8896.4655</v>
      </c>
      <c r="U34" s="813">
        <v>26689.396500000003</v>
      </c>
      <c r="V34" s="814" t="s">
        <v>212</v>
      </c>
      <c r="W34" s="813" t="s">
        <v>212</v>
      </c>
      <c r="X34" s="813" t="s">
        <v>212</v>
      </c>
      <c r="Y34" s="814" t="s">
        <v>212</v>
      </c>
      <c r="Z34" s="814" t="s">
        <v>212</v>
      </c>
      <c r="AA34" s="814" t="s">
        <v>212</v>
      </c>
      <c r="AB34" s="809" t="s">
        <v>74</v>
      </c>
      <c r="AC34" s="810">
        <v>35585.862</v>
      </c>
      <c r="AD34" s="238"/>
    </row>
    <row r="35" spans="2:30" s="149" customFormat="1" ht="16.5" customHeight="1">
      <c r="B35" s="811"/>
      <c r="C35" s="210">
        <v>15</v>
      </c>
      <c r="D35" s="210">
        <v>217118</v>
      </c>
      <c r="E35" s="210">
        <v>4831</v>
      </c>
      <c r="F35" s="805" t="s">
        <v>177</v>
      </c>
      <c r="G35" s="805">
        <v>132</v>
      </c>
      <c r="H35" s="806">
        <v>15.73</v>
      </c>
      <c r="I35" s="807" t="s">
        <v>77</v>
      </c>
      <c r="J35" s="227">
        <v>31.54775</v>
      </c>
      <c r="K35" s="432">
        <v>40183.81805555556</v>
      </c>
      <c r="L35" s="432">
        <v>40184.0125</v>
      </c>
      <c r="M35" s="225">
        <v>4.666666666511446</v>
      </c>
      <c r="N35" s="808">
        <v>280</v>
      </c>
      <c r="O35" s="432" t="s">
        <v>213</v>
      </c>
      <c r="P35" s="425"/>
      <c r="Q35" s="228">
        <v>10</v>
      </c>
      <c r="R35" s="812" t="s">
        <v>212</v>
      </c>
      <c r="S35" s="812" t="s">
        <v>212</v>
      </c>
      <c r="T35" s="813">
        <v>315.4775</v>
      </c>
      <c r="U35" s="813">
        <v>946.4325</v>
      </c>
      <c r="V35" s="814">
        <v>52.6847425</v>
      </c>
      <c r="W35" s="813" t="s">
        <v>212</v>
      </c>
      <c r="X35" s="813" t="s">
        <v>212</v>
      </c>
      <c r="Y35" s="814" t="s">
        <v>212</v>
      </c>
      <c r="Z35" s="814" t="s">
        <v>212</v>
      </c>
      <c r="AA35" s="814" t="s">
        <v>212</v>
      </c>
      <c r="AB35" s="809" t="s">
        <v>74</v>
      </c>
      <c r="AC35" s="810">
        <v>1314.5947425000002</v>
      </c>
      <c r="AD35" s="238"/>
    </row>
    <row r="36" spans="2:30" s="149" customFormat="1" ht="16.5" customHeight="1">
      <c r="B36" s="811"/>
      <c r="C36" s="210">
        <v>16</v>
      </c>
      <c r="D36" s="210">
        <v>217117</v>
      </c>
      <c r="E36" s="210">
        <v>1534</v>
      </c>
      <c r="F36" s="805" t="s">
        <v>87</v>
      </c>
      <c r="G36" s="805">
        <v>132</v>
      </c>
      <c r="H36" s="806">
        <v>19</v>
      </c>
      <c r="I36" s="807" t="s">
        <v>77</v>
      </c>
      <c r="J36" s="227">
        <v>31.54775</v>
      </c>
      <c r="K36" s="432">
        <v>40183.81805555556</v>
      </c>
      <c r="L36" s="432">
        <v>40183.910416666666</v>
      </c>
      <c r="M36" s="225">
        <v>2.2166666665580124</v>
      </c>
      <c r="N36" s="808">
        <v>133</v>
      </c>
      <c r="O36" s="432" t="s">
        <v>213</v>
      </c>
      <c r="P36" s="425"/>
      <c r="Q36" s="228">
        <v>10</v>
      </c>
      <c r="R36" s="812" t="s">
        <v>212</v>
      </c>
      <c r="S36" s="812" t="s">
        <v>212</v>
      </c>
      <c r="T36" s="813">
        <v>315.4775</v>
      </c>
      <c r="U36" s="813">
        <v>700.3600500000001</v>
      </c>
      <c r="V36" s="814" t="s">
        <v>212</v>
      </c>
      <c r="W36" s="813" t="s">
        <v>212</v>
      </c>
      <c r="X36" s="813" t="s">
        <v>212</v>
      </c>
      <c r="Y36" s="814" t="s">
        <v>212</v>
      </c>
      <c r="Z36" s="814" t="s">
        <v>212</v>
      </c>
      <c r="AA36" s="814" t="s">
        <v>212</v>
      </c>
      <c r="AB36" s="809" t="s">
        <v>74</v>
      </c>
      <c r="AC36" s="810">
        <v>1015.8375500000002</v>
      </c>
      <c r="AD36" s="238"/>
    </row>
    <row r="37" spans="2:30" s="149" customFormat="1" ht="16.5" customHeight="1">
      <c r="B37" s="811"/>
      <c r="C37" s="210">
        <v>17</v>
      </c>
      <c r="D37" s="210">
        <v>217127</v>
      </c>
      <c r="E37" s="210">
        <v>1999</v>
      </c>
      <c r="F37" s="805" t="s">
        <v>88</v>
      </c>
      <c r="G37" s="805">
        <v>132</v>
      </c>
      <c r="H37" s="806">
        <v>14.699999809265137</v>
      </c>
      <c r="I37" s="807" t="s">
        <v>77</v>
      </c>
      <c r="J37" s="227">
        <f t="shared" si="0"/>
        <v>29.2295</v>
      </c>
      <c r="K37" s="432">
        <v>40183.86597222222</v>
      </c>
      <c r="L37" s="432">
        <v>40183.888194444444</v>
      </c>
      <c r="M37" s="225">
        <f t="shared" si="1"/>
        <v>0.5333333333255723</v>
      </c>
      <c r="N37" s="808">
        <f t="shared" si="2"/>
        <v>32</v>
      </c>
      <c r="O37" s="432" t="s">
        <v>75</v>
      </c>
      <c r="P37" s="425"/>
      <c r="Q37" s="228">
        <f t="shared" si="3"/>
        <v>10</v>
      </c>
      <c r="R37" s="812" t="str">
        <f t="shared" si="4"/>
        <v>--</v>
      </c>
      <c r="S37" s="812" t="str">
        <f t="shared" si="5"/>
        <v>--</v>
      </c>
      <c r="T37" s="813">
        <f t="shared" si="6"/>
        <v>292.295</v>
      </c>
      <c r="U37" s="813">
        <f t="shared" si="7"/>
        <v>154.91635000000002</v>
      </c>
      <c r="V37" s="814" t="str">
        <f t="shared" si="8"/>
        <v>--</v>
      </c>
      <c r="W37" s="813" t="str">
        <f t="shared" si="9"/>
        <v>--</v>
      </c>
      <c r="X37" s="813" t="str">
        <f t="shared" si="10"/>
        <v>--</v>
      </c>
      <c r="Y37" s="814" t="str">
        <f t="shared" si="11"/>
        <v>--</v>
      </c>
      <c r="Z37" s="814" t="str">
        <f t="shared" si="12"/>
        <v>--</v>
      </c>
      <c r="AA37" s="814" t="str">
        <f t="shared" si="13"/>
        <v>--</v>
      </c>
      <c r="AB37" s="809" t="s">
        <v>74</v>
      </c>
      <c r="AC37" s="810">
        <f t="shared" si="14"/>
        <v>447.21135000000004</v>
      </c>
      <c r="AD37" s="238"/>
    </row>
    <row r="38" spans="2:30" s="149" customFormat="1" ht="16.5" customHeight="1">
      <c r="B38" s="811"/>
      <c r="C38" s="210">
        <v>18</v>
      </c>
      <c r="D38" s="210">
        <v>217138</v>
      </c>
      <c r="E38" s="210">
        <v>1543</v>
      </c>
      <c r="F38" s="805" t="s">
        <v>79</v>
      </c>
      <c r="G38" s="805">
        <v>132</v>
      </c>
      <c r="H38" s="806">
        <v>24.100000381469727</v>
      </c>
      <c r="I38" s="807" t="s">
        <v>77</v>
      </c>
      <c r="J38" s="227">
        <f t="shared" si="0"/>
        <v>29.2295</v>
      </c>
      <c r="K38" s="432">
        <v>40184.39444444444</v>
      </c>
      <c r="L38" s="432">
        <v>40184.64166666667</v>
      </c>
      <c r="M38" s="225">
        <f t="shared" si="1"/>
        <v>5.933333333465271</v>
      </c>
      <c r="N38" s="808">
        <f t="shared" si="2"/>
        <v>356</v>
      </c>
      <c r="O38" s="432" t="s">
        <v>73</v>
      </c>
      <c r="P38" s="425"/>
      <c r="Q38" s="228">
        <f t="shared" si="3"/>
        <v>10</v>
      </c>
      <c r="R38" s="812">
        <f t="shared" si="4"/>
        <v>17.3330935</v>
      </c>
      <c r="S38" s="812" t="str">
        <f t="shared" si="5"/>
        <v>--</v>
      </c>
      <c r="T38" s="813" t="str">
        <f t="shared" si="6"/>
        <v>--</v>
      </c>
      <c r="U38" s="813" t="str">
        <f t="shared" si="7"/>
        <v>--</v>
      </c>
      <c r="V38" s="814" t="str">
        <f t="shared" si="8"/>
        <v>--</v>
      </c>
      <c r="W38" s="813" t="str">
        <f t="shared" si="9"/>
        <v>--</v>
      </c>
      <c r="X38" s="813" t="str">
        <f t="shared" si="10"/>
        <v>--</v>
      </c>
      <c r="Y38" s="814" t="str">
        <f t="shared" si="11"/>
        <v>--</v>
      </c>
      <c r="Z38" s="814" t="str">
        <f t="shared" si="12"/>
        <v>--</v>
      </c>
      <c r="AA38" s="814" t="str">
        <f t="shared" si="13"/>
        <v>--</v>
      </c>
      <c r="AB38" s="809" t="s">
        <v>74</v>
      </c>
      <c r="AC38" s="810">
        <f t="shared" si="14"/>
        <v>17.3330935</v>
      </c>
      <c r="AD38" s="238"/>
    </row>
    <row r="39" spans="2:30" s="1" customFormat="1" ht="16.5" customHeight="1">
      <c r="B39" s="108"/>
      <c r="C39" s="79">
        <v>19</v>
      </c>
      <c r="D39" s="79">
        <v>217139</v>
      </c>
      <c r="E39" s="79">
        <v>1532</v>
      </c>
      <c r="F39" s="77" t="s">
        <v>80</v>
      </c>
      <c r="G39" s="77">
        <v>132</v>
      </c>
      <c r="H39" s="90">
        <v>141</v>
      </c>
      <c r="I39" s="91" t="s">
        <v>81</v>
      </c>
      <c r="J39" s="92">
        <f t="shared" si="0"/>
        <v>164.85438000000002</v>
      </c>
      <c r="K39" s="432">
        <v>40184.40902777778</v>
      </c>
      <c r="L39" s="432">
        <v>40184.745833333334</v>
      </c>
      <c r="M39" s="94">
        <f t="shared" si="1"/>
        <v>8.08333333331393</v>
      </c>
      <c r="N39" s="95">
        <f t="shared" si="2"/>
        <v>485</v>
      </c>
      <c r="O39" s="93" t="s">
        <v>73</v>
      </c>
      <c r="P39" s="426"/>
      <c r="Q39" s="97">
        <f t="shared" si="3"/>
        <v>50</v>
      </c>
      <c r="R39" s="98">
        <f t="shared" si="4"/>
        <v>666.0116952000001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74</v>
      </c>
      <c r="AC39" s="106">
        <f t="shared" si="14"/>
        <v>666.0116952000001</v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29.2295</v>
      </c>
      <c r="K40" s="432"/>
      <c r="L40" s="432"/>
      <c r="M40" s="94">
        <f t="shared" si="1"/>
      </c>
      <c r="N40" s="95">
        <f t="shared" si="2"/>
      </c>
      <c r="O40" s="93"/>
      <c r="P40" s="426">
        <f>IF(F40="","","--")</f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7" t="s">
        <v>191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3132.8938067</v>
      </c>
      <c r="S42" s="120">
        <f t="shared" si="15"/>
        <v>0</v>
      </c>
      <c r="T42" s="121">
        <f t="shared" si="15"/>
        <v>18167.57775036792</v>
      </c>
      <c r="U42" s="121">
        <f t="shared" si="15"/>
        <v>50188.94682695246</v>
      </c>
      <c r="V42" s="121">
        <f t="shared" si="15"/>
        <v>2001.851808725042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7">
        <f>ROUND(SUM(AC19:AC41),2)</f>
        <v>73142.71</v>
      </c>
      <c r="AD42" s="126"/>
    </row>
    <row r="43" spans="2:30" s="127" customFormat="1" ht="9.75" thickTop="1">
      <c r="B43" s="128"/>
      <c r="C43" s="129"/>
      <c r="D43" s="129" t="s">
        <v>214</v>
      </c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D89"/>
  <sheetViews>
    <sheetView zoomScale="70" zoomScaleNormal="70" workbookViewId="0" topLeftCell="A1">
      <selection activeCell="G14" sqref="G14:G16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7.14062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0" width="11.00390625" style="5" hidden="1" customWidth="1"/>
    <col min="21" max="21" width="11.421875" style="5" hidden="1" customWidth="1"/>
    <col min="22" max="22" width="9.28125" style="5" hidden="1" customWidth="1"/>
    <col min="23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'TOT-0110'!B2</f>
        <v>ANEXO II al Memorandum D.T.E.E. N°         /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122.355</v>
      </c>
      <c r="H14" s="37"/>
      <c r="I14" s="38"/>
      <c r="J14" s="34"/>
      <c r="K14" s="34"/>
      <c r="L14" s="39" t="s">
        <v>8</v>
      </c>
      <c r="M14" s="40">
        <f>150*'TOT-0110'!B13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116.918</v>
      </c>
      <c r="H15" s="42"/>
      <c r="I15" s="43"/>
      <c r="J15" s="7"/>
      <c r="K15" s="44"/>
      <c r="L15" s="39" t="s">
        <v>10</v>
      </c>
      <c r="M15" s="40">
        <f>50*'TOT-0110'!B13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116.918</v>
      </c>
      <c r="H16" s="42"/>
      <c r="I16" s="43"/>
      <c r="J16" s="7"/>
      <c r="K16" s="7"/>
      <c r="L16" s="39" t="s">
        <v>12</v>
      </c>
      <c r="M16" s="40">
        <f>10*'TOT-0110'!B13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70</v>
      </c>
      <c r="E18" s="421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'LI-01 (1)'!AC42</f>
        <v>73142.71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20</v>
      </c>
      <c r="D21" s="79">
        <v>217143</v>
      </c>
      <c r="E21" s="79">
        <v>1543</v>
      </c>
      <c r="F21" s="77" t="s">
        <v>79</v>
      </c>
      <c r="G21" s="77">
        <v>132</v>
      </c>
      <c r="H21" s="90">
        <v>24.100000381469727</v>
      </c>
      <c r="I21" s="91" t="s">
        <v>77</v>
      </c>
      <c r="J21" s="92">
        <f aca="true" t="shared" si="0" ref="J21:J39">IF(G21=220,$G$14,IF(G21=132,$G$15,$G$16))*IF(H21&gt;25,H21,25)/100</f>
        <v>29.2295</v>
      </c>
      <c r="K21" s="432">
        <v>40185.40694444445</v>
      </c>
      <c r="L21" s="432">
        <v>40185.61944444444</v>
      </c>
      <c r="M21" s="94">
        <f aca="true" t="shared" si="1" ref="M21:M39">IF(F21="","",(L21-K21)*24)</f>
        <v>5.099999999860302</v>
      </c>
      <c r="N21" s="95">
        <f aca="true" t="shared" si="2" ref="N21:N39">IF(F21="","",ROUND((L21-K21)*24*60,0))</f>
        <v>306</v>
      </c>
      <c r="O21" s="96" t="s">
        <v>73</v>
      </c>
      <c r="P21" s="426"/>
      <c r="Q21" s="97">
        <f aca="true" t="shared" si="3" ref="Q21:Q39">IF(I21="A",$M$14,IF(I21="B",$M$15,$M$16))</f>
        <v>10</v>
      </c>
      <c r="R21" s="98">
        <f aca="true" t="shared" si="4" ref="R21:R39">IF(O21="P",ROUND(N21/60,2)*J21*Q21*0.01,"--")</f>
        <v>14.907044999999998</v>
      </c>
      <c r="S21" s="99" t="str">
        <f aca="true" t="shared" si="5" ref="S21:S39">IF(O21="RP",ROUND(N21/60,2)*J21*Q21*0.01*P21/100,"--")</f>
        <v>--</v>
      </c>
      <c r="T21" s="100" t="str">
        <f aca="true" t="shared" si="6" ref="T21:T39">IF(O21="F",J21*Q21,"--")</f>
        <v>--</v>
      </c>
      <c r="U21" s="100" t="str">
        <f aca="true" t="shared" si="7" ref="U21:U39">IF(AND(N21&gt;10,O21="F"),J21*Q21*IF(N21&gt;180,3,ROUND((N21)/60,2)),"--")</f>
        <v>--</v>
      </c>
      <c r="V21" s="101" t="str">
        <f aca="true" t="shared" si="8" ref="V21:V39">IF(AND(O21="F",N21&gt;180),(ROUND(N21/60,2)-3)*J21*Q21*0.1,"--")</f>
        <v>--</v>
      </c>
      <c r="W21" s="102" t="str">
        <f aca="true" t="shared" si="9" ref="W21:W39">IF(O21="R",J21*Q21*P21/100,"--")</f>
        <v>--</v>
      </c>
      <c r="X21" s="102" t="str">
        <f aca="true" t="shared" si="10" ref="X21:X39">IF(AND(N21&gt;10,O21="R"),Q21*J21*P21/100*IF(N21&gt;180,3,ROUND((N21)/60,2)),"--")</f>
        <v>--</v>
      </c>
      <c r="Y21" s="103" t="str">
        <f aca="true" t="shared" si="11" ref="Y21:Y39">IF(AND(O21="R",N21&gt;180),(ROUND(N21/60,2)-3)*J21*Q21*0.1*P21/100,"--")</f>
        <v>--</v>
      </c>
      <c r="Z21" s="104" t="str">
        <f aca="true" t="shared" si="12" ref="Z21:Z39">IF(O21="RF",ROUND(N21/60,2)*J21*Q21*0.1,"--")</f>
        <v>--</v>
      </c>
      <c r="AA21" s="105" t="str">
        <f aca="true" t="shared" si="13" ref="AA21:AA39">IF(O21="RR",ROUND(N21/60,2)*J21*Q21*0.1*P21/100,"--")</f>
        <v>--</v>
      </c>
      <c r="AB21" s="427" t="s">
        <v>74</v>
      </c>
      <c r="AC21" s="106">
        <f aca="true" t="shared" si="14" ref="AC21:AC39">IF(F21="","",SUM(R21:AA21)*IF(AB21="SI",1,2))</f>
        <v>14.907044999999998</v>
      </c>
      <c r="AD21" s="107"/>
    </row>
    <row r="22" spans="2:30" s="1" customFormat="1" ht="16.5" customHeight="1">
      <c r="B22" s="13"/>
      <c r="C22" s="79">
        <v>21</v>
      </c>
      <c r="D22" s="79">
        <v>217144</v>
      </c>
      <c r="E22" s="79">
        <v>1532</v>
      </c>
      <c r="F22" s="77" t="s">
        <v>80</v>
      </c>
      <c r="G22" s="77">
        <v>132</v>
      </c>
      <c r="H22" s="90">
        <v>141</v>
      </c>
      <c r="I22" s="91" t="s">
        <v>81</v>
      </c>
      <c r="J22" s="92">
        <f t="shared" si="0"/>
        <v>164.85438000000002</v>
      </c>
      <c r="K22" s="432">
        <v>40185.4125</v>
      </c>
      <c r="L22" s="432">
        <v>40185.731944444444</v>
      </c>
      <c r="M22" s="94">
        <f t="shared" si="1"/>
        <v>7.666666666686069</v>
      </c>
      <c r="N22" s="95">
        <f t="shared" si="2"/>
        <v>460</v>
      </c>
      <c r="O22" s="96" t="s">
        <v>73</v>
      </c>
      <c r="P22" s="426"/>
      <c r="Q22" s="97">
        <f t="shared" si="3"/>
        <v>50</v>
      </c>
      <c r="R22" s="98">
        <f t="shared" si="4"/>
        <v>632.2165473000001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74</v>
      </c>
      <c r="AC22" s="106">
        <f t="shared" si="14"/>
        <v>632.2165473000001</v>
      </c>
      <c r="AD22" s="107"/>
    </row>
    <row r="23" spans="2:30" s="1" customFormat="1" ht="16.5" customHeight="1">
      <c r="B23" s="13"/>
      <c r="C23" s="79">
        <v>22</v>
      </c>
      <c r="D23" s="79">
        <v>217146</v>
      </c>
      <c r="E23" s="79">
        <v>1532</v>
      </c>
      <c r="F23" s="77" t="s">
        <v>80</v>
      </c>
      <c r="G23" s="77">
        <v>132</v>
      </c>
      <c r="H23" s="90">
        <v>141</v>
      </c>
      <c r="I23" s="91" t="s">
        <v>81</v>
      </c>
      <c r="J23" s="92">
        <f t="shared" si="0"/>
        <v>164.85438000000002</v>
      </c>
      <c r="K23" s="432">
        <v>40186.376388888886</v>
      </c>
      <c r="L23" s="432">
        <v>40186.740277777775</v>
      </c>
      <c r="M23" s="94">
        <f t="shared" si="1"/>
        <v>8.733333333337214</v>
      </c>
      <c r="N23" s="95">
        <f t="shared" si="2"/>
        <v>524</v>
      </c>
      <c r="O23" s="96" t="s">
        <v>73</v>
      </c>
      <c r="P23" s="426"/>
      <c r="Q23" s="97">
        <f t="shared" si="3"/>
        <v>50</v>
      </c>
      <c r="R23" s="98">
        <f t="shared" si="4"/>
        <v>719.5893687000003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74</v>
      </c>
      <c r="AC23" s="106">
        <f t="shared" si="14"/>
        <v>719.5893687000003</v>
      </c>
      <c r="AD23" s="107"/>
    </row>
    <row r="24" spans="2:30" s="1" customFormat="1" ht="16.5" customHeight="1">
      <c r="B24" s="13"/>
      <c r="C24" s="79">
        <v>23</v>
      </c>
      <c r="D24" s="79">
        <v>217148</v>
      </c>
      <c r="E24" s="79">
        <v>1543</v>
      </c>
      <c r="F24" s="77" t="s">
        <v>79</v>
      </c>
      <c r="G24" s="77">
        <v>132</v>
      </c>
      <c r="H24" s="90">
        <v>24.100000381469727</v>
      </c>
      <c r="I24" s="91" t="s">
        <v>77</v>
      </c>
      <c r="J24" s="92">
        <f t="shared" si="0"/>
        <v>29.2295</v>
      </c>
      <c r="K24" s="432">
        <v>40186.40347222222</v>
      </c>
      <c r="L24" s="432">
        <v>40186.56736111111</v>
      </c>
      <c r="M24" s="94">
        <f t="shared" si="1"/>
        <v>3.933333333407063</v>
      </c>
      <c r="N24" s="95">
        <f t="shared" si="2"/>
        <v>236</v>
      </c>
      <c r="O24" s="96" t="s">
        <v>73</v>
      </c>
      <c r="P24" s="426"/>
      <c r="Q24" s="97">
        <f t="shared" si="3"/>
        <v>10</v>
      </c>
      <c r="R24" s="98">
        <f t="shared" si="4"/>
        <v>11.487193500000002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74</v>
      </c>
      <c r="AC24" s="106">
        <f t="shared" si="14"/>
        <v>11.487193500000002</v>
      </c>
      <c r="AD24" s="107"/>
    </row>
    <row r="25" spans="2:30" s="1" customFormat="1" ht="16.5" customHeight="1">
      <c r="B25" s="13"/>
      <c r="C25" s="79">
        <v>24</v>
      </c>
      <c r="D25" s="79">
        <v>217424</v>
      </c>
      <c r="E25" s="79">
        <v>1453</v>
      </c>
      <c r="F25" s="77" t="s">
        <v>82</v>
      </c>
      <c r="G25" s="77">
        <v>132</v>
      </c>
      <c r="H25" s="90">
        <v>5.300000190734863</v>
      </c>
      <c r="I25" s="91" t="s">
        <v>77</v>
      </c>
      <c r="J25" s="92">
        <f t="shared" si="0"/>
        <v>29.2295</v>
      </c>
      <c r="K25" s="432">
        <v>40189.39236111111</v>
      </c>
      <c r="L25" s="432">
        <v>40189.589583333334</v>
      </c>
      <c r="M25" s="94">
        <f t="shared" si="1"/>
        <v>4.7333333333954215</v>
      </c>
      <c r="N25" s="95">
        <f t="shared" si="2"/>
        <v>284</v>
      </c>
      <c r="O25" s="96" t="s">
        <v>73</v>
      </c>
      <c r="P25" s="426"/>
      <c r="Q25" s="97">
        <f t="shared" si="3"/>
        <v>10</v>
      </c>
      <c r="R25" s="98">
        <f t="shared" si="4"/>
        <v>13.825553500000002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74</v>
      </c>
      <c r="AC25" s="106">
        <f t="shared" si="14"/>
        <v>13.825553500000002</v>
      </c>
      <c r="AD25" s="107"/>
    </row>
    <row r="26" spans="2:30" s="1" customFormat="1" ht="16.5" customHeight="1">
      <c r="B26" s="13"/>
      <c r="C26" s="79">
        <v>25</v>
      </c>
      <c r="D26" s="79">
        <v>217426</v>
      </c>
      <c r="E26" s="79">
        <v>1433</v>
      </c>
      <c r="F26" s="77" t="s">
        <v>89</v>
      </c>
      <c r="G26" s="77">
        <v>132</v>
      </c>
      <c r="H26" s="90">
        <v>2.200000047683716</v>
      </c>
      <c r="I26" s="91" t="s">
        <v>77</v>
      </c>
      <c r="J26" s="92">
        <f t="shared" si="0"/>
        <v>29.2295</v>
      </c>
      <c r="K26" s="432">
        <v>40189.43194444444</v>
      </c>
      <c r="L26" s="432">
        <v>40189.69513888889</v>
      </c>
      <c r="M26" s="94">
        <f t="shared" si="1"/>
        <v>6.316666666825768</v>
      </c>
      <c r="N26" s="95">
        <f t="shared" si="2"/>
        <v>379</v>
      </c>
      <c r="O26" s="93" t="s">
        <v>73</v>
      </c>
      <c r="P26" s="426"/>
      <c r="Q26" s="97">
        <f t="shared" si="3"/>
        <v>10</v>
      </c>
      <c r="R26" s="98">
        <f t="shared" si="4"/>
        <v>18.473044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74</v>
      </c>
      <c r="AC26" s="106">
        <f t="shared" si="14"/>
        <v>18.473044</v>
      </c>
      <c r="AD26" s="107"/>
    </row>
    <row r="27" spans="2:30" s="1" customFormat="1" ht="16.5" customHeight="1">
      <c r="B27" s="13"/>
      <c r="C27" s="79">
        <v>26</v>
      </c>
      <c r="D27" s="79">
        <v>217428</v>
      </c>
      <c r="E27" s="79">
        <v>2616</v>
      </c>
      <c r="F27" s="77" t="s">
        <v>90</v>
      </c>
      <c r="G27" s="77">
        <v>132</v>
      </c>
      <c r="H27" s="90">
        <v>102</v>
      </c>
      <c r="I27" s="91" t="s">
        <v>77</v>
      </c>
      <c r="J27" s="92">
        <f t="shared" si="0"/>
        <v>119.25636</v>
      </c>
      <c r="K27" s="432">
        <v>40189.643055555556</v>
      </c>
      <c r="L27" s="432">
        <v>40189.745833333334</v>
      </c>
      <c r="M27" s="94">
        <f t="shared" si="1"/>
        <v>2.4666666666744277</v>
      </c>
      <c r="N27" s="95">
        <f t="shared" si="2"/>
        <v>148</v>
      </c>
      <c r="O27" s="93" t="s">
        <v>73</v>
      </c>
      <c r="P27" s="426"/>
      <c r="Q27" s="97">
        <f t="shared" si="3"/>
        <v>10</v>
      </c>
      <c r="R27" s="98">
        <f t="shared" si="4"/>
        <v>29.456320920000003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74</v>
      </c>
      <c r="AC27" s="106">
        <f t="shared" si="14"/>
        <v>29.456320920000003</v>
      </c>
      <c r="AD27" s="107"/>
    </row>
    <row r="28" spans="2:30" s="1" customFormat="1" ht="16.5" customHeight="1">
      <c r="B28" s="13"/>
      <c r="C28" s="79">
        <v>27</v>
      </c>
      <c r="D28" s="79">
        <v>217429</v>
      </c>
      <c r="E28" s="79">
        <v>1536</v>
      </c>
      <c r="F28" s="77" t="s">
        <v>76</v>
      </c>
      <c r="G28" s="77">
        <v>66</v>
      </c>
      <c r="H28" s="90">
        <v>46.79999923706055</v>
      </c>
      <c r="I28" s="91" t="s">
        <v>77</v>
      </c>
      <c r="J28" s="92">
        <f t="shared" si="0"/>
        <v>54.717623107986455</v>
      </c>
      <c r="K28" s="432">
        <v>40189.91805555556</v>
      </c>
      <c r="L28" s="432">
        <v>40189.92916666667</v>
      </c>
      <c r="M28" s="94">
        <f t="shared" si="1"/>
        <v>0.26666666666278616</v>
      </c>
      <c r="N28" s="95">
        <f t="shared" si="2"/>
        <v>16</v>
      </c>
      <c r="O28" s="93" t="s">
        <v>75</v>
      </c>
      <c r="P28" s="426"/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>
        <f t="shared" si="6"/>
        <v>547.1762310798646</v>
      </c>
      <c r="U28" s="100">
        <f t="shared" si="7"/>
        <v>147.73758239156345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74</v>
      </c>
      <c r="AC28" s="106">
        <f t="shared" si="14"/>
        <v>694.913813471428</v>
      </c>
      <c r="AD28" s="107"/>
    </row>
    <row r="29" spans="2:30" s="1" customFormat="1" ht="16.5" customHeight="1">
      <c r="B29" s="13"/>
      <c r="C29" s="79">
        <v>29</v>
      </c>
      <c r="D29" s="79">
        <v>217438</v>
      </c>
      <c r="E29" s="79">
        <v>2616</v>
      </c>
      <c r="F29" s="77" t="s">
        <v>90</v>
      </c>
      <c r="G29" s="77">
        <v>132</v>
      </c>
      <c r="H29" s="90">
        <v>102</v>
      </c>
      <c r="I29" s="91" t="s">
        <v>77</v>
      </c>
      <c r="J29" s="92">
        <f t="shared" si="0"/>
        <v>119.25636</v>
      </c>
      <c r="K29" s="432">
        <v>40190.333333333336</v>
      </c>
      <c r="L29" s="432">
        <v>40190.75</v>
      </c>
      <c r="M29" s="94">
        <f t="shared" si="1"/>
        <v>9.999999999941792</v>
      </c>
      <c r="N29" s="95">
        <f t="shared" si="2"/>
        <v>600</v>
      </c>
      <c r="O29" s="93" t="s">
        <v>73</v>
      </c>
      <c r="P29" s="426"/>
      <c r="Q29" s="97">
        <f t="shared" si="3"/>
        <v>10</v>
      </c>
      <c r="R29" s="98">
        <f t="shared" si="4"/>
        <v>119.25635999999999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74</v>
      </c>
      <c r="AC29" s="106">
        <f t="shared" si="14"/>
        <v>119.25635999999999</v>
      </c>
      <c r="AD29" s="107"/>
    </row>
    <row r="30" spans="2:30" s="1" customFormat="1" ht="16.5" customHeight="1">
      <c r="B30" s="13"/>
      <c r="C30" s="79">
        <v>30</v>
      </c>
      <c r="D30" s="79">
        <v>217439</v>
      </c>
      <c r="E30" s="79">
        <v>1433</v>
      </c>
      <c r="F30" s="77" t="s">
        <v>89</v>
      </c>
      <c r="G30" s="77">
        <v>132</v>
      </c>
      <c r="H30" s="90">
        <v>2.200000047683716</v>
      </c>
      <c r="I30" s="91" t="s">
        <v>77</v>
      </c>
      <c r="J30" s="92">
        <f t="shared" si="0"/>
        <v>29.2295</v>
      </c>
      <c r="K30" s="432">
        <v>40190.36597222222</v>
      </c>
      <c r="L30" s="432">
        <v>40190.74444444444</v>
      </c>
      <c r="M30" s="94">
        <f t="shared" si="1"/>
        <v>9.083333333255723</v>
      </c>
      <c r="N30" s="95">
        <f t="shared" si="2"/>
        <v>545</v>
      </c>
      <c r="O30" s="93" t="s">
        <v>73</v>
      </c>
      <c r="P30" s="426"/>
      <c r="Q30" s="97">
        <f t="shared" si="3"/>
        <v>10</v>
      </c>
      <c r="R30" s="98">
        <f t="shared" si="4"/>
        <v>26.540385999999998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74</v>
      </c>
      <c r="AC30" s="106">
        <f t="shared" si="14"/>
        <v>26.540385999999998</v>
      </c>
      <c r="AD30" s="107"/>
    </row>
    <row r="31" spans="2:30" s="1" customFormat="1" ht="16.5" customHeight="1">
      <c r="B31" s="13"/>
      <c r="C31" s="79">
        <v>31</v>
      </c>
      <c r="D31" s="79">
        <v>217440</v>
      </c>
      <c r="E31" s="79">
        <v>1452</v>
      </c>
      <c r="F31" s="77" t="s">
        <v>83</v>
      </c>
      <c r="G31" s="77">
        <v>132</v>
      </c>
      <c r="H31" s="90">
        <v>51.5099983215332</v>
      </c>
      <c r="I31" s="91" t="s">
        <v>77</v>
      </c>
      <c r="J31" s="92">
        <f t="shared" si="0"/>
        <v>60.224459837570194</v>
      </c>
      <c r="K31" s="432">
        <v>40190.37986111111</v>
      </c>
      <c r="L31" s="432">
        <v>40190.53472222222</v>
      </c>
      <c r="M31" s="94">
        <f t="shared" si="1"/>
        <v>3.7166666665580124</v>
      </c>
      <c r="N31" s="95">
        <f t="shared" si="2"/>
        <v>223</v>
      </c>
      <c r="O31" s="93" t="s">
        <v>73</v>
      </c>
      <c r="P31" s="426"/>
      <c r="Q31" s="97">
        <f t="shared" si="3"/>
        <v>10</v>
      </c>
      <c r="R31" s="98">
        <f t="shared" si="4"/>
        <v>22.403499059576117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74</v>
      </c>
      <c r="AC31" s="106">
        <f t="shared" si="14"/>
        <v>22.403499059576117</v>
      </c>
      <c r="AD31" s="107"/>
    </row>
    <row r="32" spans="2:30" s="1" customFormat="1" ht="16.5" customHeight="1">
      <c r="B32" s="13"/>
      <c r="C32" s="79">
        <v>32</v>
      </c>
      <c r="D32" s="79">
        <v>217442</v>
      </c>
      <c r="E32" s="79">
        <v>1534</v>
      </c>
      <c r="F32" s="77" t="s">
        <v>87</v>
      </c>
      <c r="G32" s="77">
        <v>132</v>
      </c>
      <c r="H32" s="90">
        <v>19</v>
      </c>
      <c r="I32" s="91" t="s">
        <v>77</v>
      </c>
      <c r="J32" s="92">
        <f t="shared" si="0"/>
        <v>29.2295</v>
      </c>
      <c r="K32" s="432">
        <v>40190.407638888886</v>
      </c>
      <c r="L32" s="432">
        <v>40190.5875</v>
      </c>
      <c r="M32" s="94">
        <f t="shared" si="1"/>
        <v>4.31666666676756</v>
      </c>
      <c r="N32" s="95">
        <f t="shared" si="2"/>
        <v>259</v>
      </c>
      <c r="O32" s="93" t="s">
        <v>73</v>
      </c>
      <c r="P32" s="426"/>
      <c r="Q32" s="97">
        <f t="shared" si="3"/>
        <v>10</v>
      </c>
      <c r="R32" s="98">
        <f t="shared" si="4"/>
        <v>12.627144000000001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74</v>
      </c>
      <c r="AC32" s="106">
        <f t="shared" si="14"/>
        <v>12.627144000000001</v>
      </c>
      <c r="AD32" s="107"/>
    </row>
    <row r="33" spans="2:30" s="1" customFormat="1" ht="16.5" customHeight="1">
      <c r="B33" s="108"/>
      <c r="C33" s="79">
        <v>33</v>
      </c>
      <c r="D33" s="79">
        <v>217443</v>
      </c>
      <c r="E33" s="79">
        <v>1433</v>
      </c>
      <c r="F33" s="77" t="s">
        <v>89</v>
      </c>
      <c r="G33" s="77">
        <v>132</v>
      </c>
      <c r="H33" s="90">
        <v>2.200000047683716</v>
      </c>
      <c r="I33" s="91" t="s">
        <v>77</v>
      </c>
      <c r="J33" s="92">
        <f t="shared" si="0"/>
        <v>29.2295</v>
      </c>
      <c r="K33" s="432">
        <v>40191.36388888889</v>
      </c>
      <c r="L33" s="432">
        <v>40191.67152777778</v>
      </c>
      <c r="M33" s="94">
        <f t="shared" si="1"/>
        <v>7.383333333302289</v>
      </c>
      <c r="N33" s="95">
        <f t="shared" si="2"/>
        <v>443</v>
      </c>
      <c r="O33" s="93" t="s">
        <v>73</v>
      </c>
      <c r="P33" s="426"/>
      <c r="Q33" s="97">
        <f t="shared" si="3"/>
        <v>10</v>
      </c>
      <c r="R33" s="98">
        <f t="shared" si="4"/>
        <v>21.571371000000003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74</v>
      </c>
      <c r="AC33" s="106">
        <f t="shared" si="14"/>
        <v>21.571371000000003</v>
      </c>
      <c r="AD33" s="107"/>
    </row>
    <row r="34" spans="2:30" s="1" customFormat="1" ht="16.5" customHeight="1">
      <c r="B34" s="108"/>
      <c r="C34" s="79">
        <v>34</v>
      </c>
      <c r="D34" s="79">
        <v>217444</v>
      </c>
      <c r="E34" s="79">
        <v>1532</v>
      </c>
      <c r="F34" s="77" t="s">
        <v>80</v>
      </c>
      <c r="G34" s="77">
        <v>132</v>
      </c>
      <c r="H34" s="90">
        <v>141</v>
      </c>
      <c r="I34" s="91" t="s">
        <v>81</v>
      </c>
      <c r="J34" s="92">
        <f t="shared" si="0"/>
        <v>164.85438000000002</v>
      </c>
      <c r="K34" s="432">
        <v>40191.373611111114</v>
      </c>
      <c r="L34" s="432">
        <v>40191.436111111114</v>
      </c>
      <c r="M34" s="94">
        <f t="shared" si="1"/>
        <v>1.5</v>
      </c>
      <c r="N34" s="95">
        <f t="shared" si="2"/>
        <v>90</v>
      </c>
      <c r="O34" s="93" t="s">
        <v>75</v>
      </c>
      <c r="P34" s="426"/>
      <c r="Q34" s="97">
        <f t="shared" si="3"/>
        <v>50</v>
      </c>
      <c r="R34" s="98" t="str">
        <f t="shared" si="4"/>
        <v>--</v>
      </c>
      <c r="S34" s="99" t="str">
        <f t="shared" si="5"/>
        <v>--</v>
      </c>
      <c r="T34" s="100">
        <f t="shared" si="6"/>
        <v>8242.719000000001</v>
      </c>
      <c r="U34" s="100">
        <f t="shared" si="7"/>
        <v>12364.078500000001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74</v>
      </c>
      <c r="AC34" s="106">
        <f t="shared" si="14"/>
        <v>20606.7975</v>
      </c>
      <c r="AD34" s="107"/>
    </row>
    <row r="35" spans="2:30" s="1" customFormat="1" ht="16.5" customHeight="1">
      <c r="B35" s="108"/>
      <c r="C35" s="79">
        <v>35</v>
      </c>
      <c r="D35" s="79">
        <v>217514</v>
      </c>
      <c r="E35" s="79">
        <v>1532</v>
      </c>
      <c r="F35" s="77" t="s">
        <v>80</v>
      </c>
      <c r="G35" s="77">
        <v>132</v>
      </c>
      <c r="H35" s="90">
        <v>141</v>
      </c>
      <c r="I35" s="91" t="s">
        <v>81</v>
      </c>
      <c r="J35" s="92">
        <f t="shared" si="0"/>
        <v>164.85438000000002</v>
      </c>
      <c r="K35" s="432">
        <v>40191.43680555555</v>
      </c>
      <c r="L35" s="432">
        <v>40191.677083333336</v>
      </c>
      <c r="M35" s="94">
        <f t="shared" si="1"/>
        <v>5.7666666667792015</v>
      </c>
      <c r="N35" s="95">
        <f t="shared" si="2"/>
        <v>346</v>
      </c>
      <c r="O35" s="93" t="s">
        <v>73</v>
      </c>
      <c r="P35" s="426"/>
      <c r="Q35" s="97">
        <f t="shared" si="3"/>
        <v>50</v>
      </c>
      <c r="R35" s="98">
        <f t="shared" si="4"/>
        <v>475.60488630000003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74</v>
      </c>
      <c r="AC35" s="106">
        <f t="shared" si="14"/>
        <v>475.60488630000003</v>
      </c>
      <c r="AD35" s="107"/>
    </row>
    <row r="36" spans="2:30" s="1" customFormat="1" ht="16.5" customHeight="1">
      <c r="B36" s="108"/>
      <c r="C36" s="79">
        <v>36</v>
      </c>
      <c r="D36" s="79">
        <v>217461</v>
      </c>
      <c r="E36" s="79">
        <v>4889</v>
      </c>
      <c r="F36" s="77" t="s">
        <v>175</v>
      </c>
      <c r="G36" s="77">
        <v>132</v>
      </c>
      <c r="H36" s="90">
        <v>24.7</v>
      </c>
      <c r="I36" s="91" t="s">
        <v>77</v>
      </c>
      <c r="J36" s="92">
        <f t="shared" si="0"/>
        <v>29.2295</v>
      </c>
      <c r="K36" s="432">
        <v>40192.34166666667</v>
      </c>
      <c r="L36" s="432">
        <v>40192.79375</v>
      </c>
      <c r="M36" s="94">
        <f t="shared" si="1"/>
        <v>10.84999999991851</v>
      </c>
      <c r="N36" s="95">
        <f t="shared" si="2"/>
        <v>651</v>
      </c>
      <c r="O36" s="93" t="s">
        <v>73</v>
      </c>
      <c r="P36" s="426"/>
      <c r="Q36" s="97">
        <f t="shared" si="3"/>
        <v>10</v>
      </c>
      <c r="R36" s="98">
        <f t="shared" si="4"/>
        <v>31.714007500000005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74</v>
      </c>
      <c r="AC36" s="106">
        <f t="shared" si="14"/>
        <v>31.714007500000005</v>
      </c>
      <c r="AD36" s="107"/>
    </row>
    <row r="37" spans="2:30" s="1" customFormat="1" ht="16.5" customHeight="1">
      <c r="B37" s="108"/>
      <c r="C37" s="79">
        <v>37</v>
      </c>
      <c r="D37" s="79">
        <v>217462</v>
      </c>
      <c r="E37" s="79">
        <v>1520</v>
      </c>
      <c r="F37" s="77" t="s">
        <v>91</v>
      </c>
      <c r="G37" s="77">
        <v>132</v>
      </c>
      <c r="H37" s="90">
        <v>88.19999694824219</v>
      </c>
      <c r="I37" s="91" t="s">
        <v>77</v>
      </c>
      <c r="J37" s="92">
        <f t="shared" si="0"/>
        <v>103.12167243194581</v>
      </c>
      <c r="K37" s="432">
        <v>40192.35972222222</v>
      </c>
      <c r="L37" s="432">
        <v>40192.42986111111</v>
      </c>
      <c r="M37" s="94">
        <f t="shared" si="1"/>
        <v>1.68333333323244</v>
      </c>
      <c r="N37" s="95">
        <f t="shared" si="2"/>
        <v>101</v>
      </c>
      <c r="O37" s="93" t="s">
        <v>73</v>
      </c>
      <c r="P37" s="426"/>
      <c r="Q37" s="97">
        <f t="shared" si="3"/>
        <v>10</v>
      </c>
      <c r="R37" s="98">
        <f t="shared" si="4"/>
        <v>17.324440968566897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 t="s">
        <v>74</v>
      </c>
      <c r="AC37" s="106">
        <f t="shared" si="14"/>
        <v>17.324440968566897</v>
      </c>
      <c r="AD37" s="107"/>
    </row>
    <row r="38" spans="2:30" s="1" customFormat="1" ht="16.5" customHeight="1">
      <c r="B38" s="108"/>
      <c r="C38" s="79">
        <v>38</v>
      </c>
      <c r="D38" s="79">
        <v>217465</v>
      </c>
      <c r="E38" s="79">
        <v>1532</v>
      </c>
      <c r="F38" s="77" t="s">
        <v>80</v>
      </c>
      <c r="G38" s="77">
        <v>132</v>
      </c>
      <c r="H38" s="90">
        <v>141</v>
      </c>
      <c r="I38" s="91" t="s">
        <v>81</v>
      </c>
      <c r="J38" s="92">
        <f t="shared" si="0"/>
        <v>164.85438000000002</v>
      </c>
      <c r="K38" s="432">
        <v>40192.37986111111</v>
      </c>
      <c r="L38" s="432">
        <v>40192.731944444444</v>
      </c>
      <c r="M38" s="94">
        <f t="shared" si="1"/>
        <v>8.449999999953434</v>
      </c>
      <c r="N38" s="95">
        <f t="shared" si="2"/>
        <v>507</v>
      </c>
      <c r="O38" s="93" t="s">
        <v>73</v>
      </c>
      <c r="P38" s="426"/>
      <c r="Q38" s="97">
        <f t="shared" si="3"/>
        <v>50</v>
      </c>
      <c r="R38" s="98">
        <f t="shared" si="4"/>
        <v>696.5097555000001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74</v>
      </c>
      <c r="AC38" s="106">
        <f t="shared" si="14"/>
        <v>696.5097555000001</v>
      </c>
      <c r="AD38" s="107"/>
    </row>
    <row r="39" spans="2:30" s="1" customFormat="1" ht="16.5" customHeight="1">
      <c r="B39" s="108"/>
      <c r="C39" s="79">
        <v>39</v>
      </c>
      <c r="D39" s="79">
        <v>217467</v>
      </c>
      <c r="E39" s="79">
        <v>1433</v>
      </c>
      <c r="F39" s="77" t="s">
        <v>89</v>
      </c>
      <c r="G39" s="77">
        <v>132</v>
      </c>
      <c r="H39" s="90">
        <v>2.200000047683716</v>
      </c>
      <c r="I39" s="91" t="s">
        <v>77</v>
      </c>
      <c r="J39" s="92">
        <f t="shared" si="0"/>
        <v>29.2295</v>
      </c>
      <c r="K39" s="432">
        <v>40192.43819444445</v>
      </c>
      <c r="L39" s="432">
        <v>40192.76875</v>
      </c>
      <c r="M39" s="94">
        <f t="shared" si="1"/>
        <v>7.933333333348855</v>
      </c>
      <c r="N39" s="95">
        <f t="shared" si="2"/>
        <v>476</v>
      </c>
      <c r="O39" s="93" t="s">
        <v>73</v>
      </c>
      <c r="P39" s="426"/>
      <c r="Q39" s="97">
        <f t="shared" si="3"/>
        <v>10</v>
      </c>
      <c r="R39" s="98">
        <f t="shared" si="4"/>
        <v>23.1789935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74</v>
      </c>
      <c r="AC39" s="106">
        <f t="shared" si="14"/>
        <v>23.1789935</v>
      </c>
      <c r="AD39" s="107"/>
    </row>
    <row r="40" spans="2:30" s="1" customFormat="1" ht="16.5" customHeight="1" thickBot="1">
      <c r="B40" s="13"/>
      <c r="C40" s="109"/>
      <c r="D40" s="109"/>
      <c r="E40" s="109"/>
      <c r="F40" s="333"/>
      <c r="G40" s="334"/>
      <c r="H40" s="335"/>
      <c r="I40" s="335"/>
      <c r="J40" s="111"/>
      <c r="K40" s="408"/>
      <c r="L40" s="408"/>
      <c r="M40" s="110"/>
      <c r="N40" s="110"/>
      <c r="O40" s="335"/>
      <c r="P40" s="336"/>
      <c r="Q40" s="337"/>
      <c r="R40" s="338"/>
      <c r="S40" s="339"/>
      <c r="T40" s="340"/>
      <c r="U40" s="341"/>
      <c r="V40" s="341"/>
      <c r="W40" s="342"/>
      <c r="X40" s="342"/>
      <c r="Y40" s="342"/>
      <c r="Z40" s="343"/>
      <c r="AA40" s="344"/>
      <c r="AB40" s="345"/>
      <c r="AC40" s="112"/>
      <c r="AD40" s="107"/>
    </row>
    <row r="41" spans="2:30" s="1" customFormat="1" ht="16.5" customHeight="1" thickBot="1" thickTop="1">
      <c r="B41" s="13"/>
      <c r="C41" s="113" t="s">
        <v>55</v>
      </c>
      <c r="D41" s="437" t="s">
        <v>191</v>
      </c>
      <c r="E41" s="129"/>
      <c r="F41" s="114"/>
      <c r="G41" s="115"/>
      <c r="H41" s="116"/>
      <c r="I41" s="116"/>
      <c r="J41" s="117"/>
      <c r="K41" s="117"/>
      <c r="L41" s="117"/>
      <c r="M41" s="117"/>
      <c r="N41" s="117"/>
      <c r="O41" s="117"/>
      <c r="P41" s="118"/>
      <c r="Q41" s="118"/>
      <c r="R41" s="119">
        <f aca="true" t="shared" si="15" ref="R41:AA41">SUM(R19:R40)</f>
        <v>2886.685916748144</v>
      </c>
      <c r="S41" s="120">
        <f t="shared" si="15"/>
        <v>0</v>
      </c>
      <c r="T41" s="121">
        <f t="shared" si="15"/>
        <v>8789.895231079865</v>
      </c>
      <c r="U41" s="121">
        <f t="shared" si="15"/>
        <v>12511.816082391564</v>
      </c>
      <c r="V41" s="121">
        <f t="shared" si="15"/>
        <v>0</v>
      </c>
      <c r="W41" s="122">
        <f t="shared" si="15"/>
        <v>0</v>
      </c>
      <c r="X41" s="122">
        <f t="shared" si="15"/>
        <v>0</v>
      </c>
      <c r="Y41" s="122">
        <f t="shared" si="15"/>
        <v>0</v>
      </c>
      <c r="Z41" s="123">
        <f t="shared" si="15"/>
        <v>0</v>
      </c>
      <c r="AA41" s="124">
        <f t="shared" si="15"/>
        <v>0</v>
      </c>
      <c r="AB41" s="125"/>
      <c r="AC41" s="417">
        <f>ROUND(SUM(AC19:AC40),2)</f>
        <v>97331.11</v>
      </c>
      <c r="AD41" s="126"/>
    </row>
    <row r="42" spans="2:30" s="127" customFormat="1" ht="9.75" thickTop="1">
      <c r="B42" s="128"/>
      <c r="C42" s="129"/>
      <c r="D42" s="129"/>
      <c r="E42" s="129"/>
      <c r="F42" s="130"/>
      <c r="G42" s="131"/>
      <c r="H42" s="132"/>
      <c r="I42" s="132"/>
      <c r="J42" s="133"/>
      <c r="K42" s="133"/>
      <c r="L42" s="133"/>
      <c r="M42" s="133"/>
      <c r="N42" s="133"/>
      <c r="O42" s="133"/>
      <c r="P42" s="134"/>
      <c r="Q42" s="134"/>
      <c r="R42" s="135"/>
      <c r="S42" s="135"/>
      <c r="T42" s="136"/>
      <c r="U42" s="136"/>
      <c r="V42" s="137"/>
      <c r="W42" s="137"/>
      <c r="X42" s="137"/>
      <c r="Y42" s="137"/>
      <c r="Z42" s="137"/>
      <c r="AA42" s="137"/>
      <c r="AB42" s="137"/>
      <c r="AC42" s="138"/>
      <c r="AD42" s="139"/>
    </row>
    <row r="43" spans="2:30" s="1" customFormat="1" ht="16.5" customHeight="1" thickBot="1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0" ht="13.5" thickTop="1">
      <c r="B44" s="143"/>
      <c r="AD44" s="143"/>
    </row>
    <row r="89" ht="12.75">
      <c r="B89" s="14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D88"/>
  <sheetViews>
    <sheetView zoomScale="70" zoomScaleNormal="70" workbookViewId="0" topLeftCell="A10">
      <selection activeCell="G14" sqref="G14:G16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'TOT-0110'!B2</f>
        <v>ANEXO II al Memorandum D.T.E.E. N°         /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122.355</v>
      </c>
      <c r="H14" s="37"/>
      <c r="I14" s="38"/>
      <c r="J14" s="34"/>
      <c r="K14" s="34"/>
      <c r="L14" s="39" t="s">
        <v>8</v>
      </c>
      <c r="M14" s="40">
        <f>150*'TOT-0110'!B13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116.918</v>
      </c>
      <c r="H15" s="42"/>
      <c r="I15" s="43"/>
      <c r="J15" s="7"/>
      <c r="K15" s="44"/>
      <c r="L15" s="39" t="s">
        <v>10</v>
      </c>
      <c r="M15" s="40">
        <f>50*'TOT-0110'!B13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116.918</v>
      </c>
      <c r="H16" s="42"/>
      <c r="I16" s="43"/>
      <c r="J16" s="7"/>
      <c r="K16" s="7"/>
      <c r="L16" s="39" t="s">
        <v>12</v>
      </c>
      <c r="M16" s="40">
        <f>10*'TOT-0110'!B13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70</v>
      </c>
      <c r="E18" s="421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'LI-01 (2)'!AC41</f>
        <v>97331.11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40</v>
      </c>
      <c r="D21" s="79">
        <v>217468</v>
      </c>
      <c r="E21" s="79">
        <v>1536</v>
      </c>
      <c r="F21" s="77" t="s">
        <v>76</v>
      </c>
      <c r="G21" s="77">
        <v>66</v>
      </c>
      <c r="H21" s="90">
        <v>46.79999923706055</v>
      </c>
      <c r="I21" s="91" t="s">
        <v>77</v>
      </c>
      <c r="J21" s="92">
        <f aca="true" t="shared" si="0" ref="J21:J38">IF(G21=220,$G$14,IF(G21=132,$G$15,$G$16))*IF(H21&gt;25,H21,25)/100</f>
        <v>54.717623107986455</v>
      </c>
      <c r="K21" s="432">
        <v>40192.46527777778</v>
      </c>
      <c r="L21" s="432">
        <v>40192.529861111114</v>
      </c>
      <c r="M21" s="94">
        <f aca="true" t="shared" si="1" ref="M21:M38">IF(F21="","",(L21-K21)*24)</f>
        <v>1.5499999999883585</v>
      </c>
      <c r="N21" s="95">
        <f aca="true" t="shared" si="2" ref="N21:N38">IF(F21="","",ROUND((L21-K21)*24*60,0))</f>
        <v>93</v>
      </c>
      <c r="O21" s="96" t="s">
        <v>73</v>
      </c>
      <c r="P21" s="426"/>
      <c r="Q21" s="97">
        <f aca="true" t="shared" si="3" ref="Q21:Q38">IF(I21="A",$M$14,IF(I21="B",$M$15,$M$16))</f>
        <v>10</v>
      </c>
      <c r="R21" s="98">
        <f aca="true" t="shared" si="4" ref="R21:R38">IF(O21="P",ROUND(N21/60,2)*J21*Q21*0.01,"--")</f>
        <v>8.4812315817379</v>
      </c>
      <c r="S21" s="99" t="str">
        <f aca="true" t="shared" si="5" ref="S21:S38">IF(O21="RP",ROUND(N21/60,2)*J21*Q21*0.01*P21/100,"--")</f>
        <v>--</v>
      </c>
      <c r="T21" s="100" t="str">
        <f aca="true" t="shared" si="6" ref="T21:T38">IF(O21="F",J21*Q21,"--")</f>
        <v>--</v>
      </c>
      <c r="U21" s="100" t="str">
        <f aca="true" t="shared" si="7" ref="U21:U38">IF(AND(N21&gt;10,O21="F"),J21*Q21*IF(N21&gt;180,3,ROUND((N21)/60,2)),"--")</f>
        <v>--</v>
      </c>
      <c r="V21" s="101" t="str">
        <f aca="true" t="shared" si="8" ref="V21:V38">IF(AND(O21="F",N21&gt;180),(ROUND(N21/60,2)-3)*J21*Q21*0.1,"--")</f>
        <v>--</v>
      </c>
      <c r="W21" s="102" t="str">
        <f aca="true" t="shared" si="9" ref="W21:W38">IF(O21="R",J21*Q21*P21/100,"--")</f>
        <v>--</v>
      </c>
      <c r="X21" s="102" t="str">
        <f aca="true" t="shared" si="10" ref="X21:X38">IF(AND(N21&gt;10,O21="R"),Q21*J21*P21/100*IF(N21&gt;180,3,ROUND((N21)/60,2)),"--")</f>
        <v>--</v>
      </c>
      <c r="Y21" s="103" t="str">
        <f aca="true" t="shared" si="11" ref="Y21:Y38">IF(AND(O21="R",N21&gt;180),(ROUND(N21/60,2)-3)*J21*Q21*0.1*P21/100,"--")</f>
        <v>--</v>
      </c>
      <c r="Z21" s="104" t="str">
        <f aca="true" t="shared" si="12" ref="Z21:Z38">IF(O21="RF",ROUND(N21/60,2)*J21*Q21*0.1,"--")</f>
        <v>--</v>
      </c>
      <c r="AA21" s="105" t="str">
        <f aca="true" t="shared" si="13" ref="AA21:AA38">IF(O21="RR",ROUND(N21/60,2)*J21*Q21*0.1*P21/100,"--")</f>
        <v>--</v>
      </c>
      <c r="AB21" s="427" t="s">
        <v>74</v>
      </c>
      <c r="AC21" s="106">
        <f aca="true" t="shared" si="14" ref="AC21:AC38">IF(F21="","",SUM(R21:AA21)*IF(AB21="SI",1,2))</f>
        <v>8.4812315817379</v>
      </c>
      <c r="AD21" s="107"/>
    </row>
    <row r="22" spans="2:30" s="1" customFormat="1" ht="16.5" customHeight="1">
      <c r="B22" s="13"/>
      <c r="C22" s="79">
        <v>41</v>
      </c>
      <c r="D22" s="79">
        <v>217471</v>
      </c>
      <c r="E22" s="79">
        <v>1532</v>
      </c>
      <c r="F22" s="77" t="s">
        <v>80</v>
      </c>
      <c r="G22" s="77">
        <v>132</v>
      </c>
      <c r="H22" s="90">
        <v>141</v>
      </c>
      <c r="I22" s="91" t="s">
        <v>81</v>
      </c>
      <c r="J22" s="92">
        <f t="shared" si="0"/>
        <v>164.85438000000002</v>
      </c>
      <c r="K22" s="432">
        <v>40193.37291666667</v>
      </c>
      <c r="L22" s="432">
        <v>40193.74722222222</v>
      </c>
      <c r="M22" s="94">
        <f t="shared" si="1"/>
        <v>8.983333333279006</v>
      </c>
      <c r="N22" s="95">
        <f t="shared" si="2"/>
        <v>539</v>
      </c>
      <c r="O22" s="96" t="s">
        <v>73</v>
      </c>
      <c r="P22" s="426"/>
      <c r="Q22" s="97">
        <f t="shared" si="3"/>
        <v>50</v>
      </c>
      <c r="R22" s="98">
        <f t="shared" si="4"/>
        <v>740.1961662000002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74</v>
      </c>
      <c r="AC22" s="106">
        <f t="shared" si="14"/>
        <v>740.1961662000002</v>
      </c>
      <c r="AD22" s="107"/>
    </row>
    <row r="23" spans="2:30" s="1" customFormat="1" ht="16.5" customHeight="1">
      <c r="B23" s="13"/>
      <c r="C23" s="79">
        <v>42</v>
      </c>
      <c r="D23" s="79">
        <v>217473</v>
      </c>
      <c r="E23" s="79">
        <v>1531</v>
      </c>
      <c r="F23" s="77" t="s">
        <v>92</v>
      </c>
      <c r="G23" s="77">
        <v>132</v>
      </c>
      <c r="H23" s="90">
        <v>102.08999633789062</v>
      </c>
      <c r="I23" s="91" t="s">
        <v>77</v>
      </c>
      <c r="J23" s="92">
        <f t="shared" si="0"/>
        <v>119.36158191833496</v>
      </c>
      <c r="K23" s="432">
        <v>40193.66875</v>
      </c>
      <c r="L23" s="432">
        <v>40193.67569444444</v>
      </c>
      <c r="M23" s="94">
        <f t="shared" si="1"/>
        <v>0.16666666668606922</v>
      </c>
      <c r="N23" s="95">
        <f t="shared" si="2"/>
        <v>10</v>
      </c>
      <c r="O23" s="96" t="s">
        <v>75</v>
      </c>
      <c r="P23" s="426"/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1193.6158191833497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74</v>
      </c>
      <c r="AC23" s="106">
        <f t="shared" si="14"/>
        <v>1193.6158191833497</v>
      </c>
      <c r="AD23" s="107"/>
    </row>
    <row r="24" spans="2:30" s="1" customFormat="1" ht="16.5" customHeight="1">
      <c r="B24" s="13"/>
      <c r="C24" s="79">
        <v>43</v>
      </c>
      <c r="D24" s="79">
        <v>217475</v>
      </c>
      <c r="E24" s="79">
        <v>4889</v>
      </c>
      <c r="F24" s="77" t="s">
        <v>179</v>
      </c>
      <c r="G24" s="77">
        <v>132</v>
      </c>
      <c r="H24" s="90">
        <v>24.7</v>
      </c>
      <c r="I24" s="91" t="s">
        <v>77</v>
      </c>
      <c r="J24" s="92">
        <f t="shared" si="0"/>
        <v>29.2295</v>
      </c>
      <c r="K24" s="432">
        <v>40195.30138888889</v>
      </c>
      <c r="L24" s="432">
        <v>40195.70625</v>
      </c>
      <c r="M24" s="94">
        <f t="shared" si="1"/>
        <v>9.716666666732635</v>
      </c>
      <c r="N24" s="95">
        <f t="shared" si="2"/>
        <v>583</v>
      </c>
      <c r="O24" s="96" t="s">
        <v>73</v>
      </c>
      <c r="P24" s="426"/>
      <c r="Q24" s="97">
        <f t="shared" si="3"/>
        <v>10</v>
      </c>
      <c r="R24" s="98">
        <f t="shared" si="4"/>
        <v>28.411074000000003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74</v>
      </c>
      <c r="AC24" s="106">
        <f t="shared" si="14"/>
        <v>28.411074000000003</v>
      </c>
      <c r="AD24" s="107"/>
    </row>
    <row r="25" spans="2:30" s="1" customFormat="1" ht="16.5" customHeight="1">
      <c r="B25" s="13"/>
      <c r="C25" s="79">
        <v>44</v>
      </c>
      <c r="D25" s="79">
        <v>217478</v>
      </c>
      <c r="E25" s="79">
        <v>2714</v>
      </c>
      <c r="F25" s="77" t="s">
        <v>93</v>
      </c>
      <c r="G25" s="77">
        <v>132</v>
      </c>
      <c r="H25" s="90">
        <v>35</v>
      </c>
      <c r="I25" s="91" t="s">
        <v>77</v>
      </c>
      <c r="J25" s="92">
        <f t="shared" si="0"/>
        <v>40.9213</v>
      </c>
      <c r="K25" s="432">
        <v>40195.33125</v>
      </c>
      <c r="L25" s="432">
        <v>40195.334027777775</v>
      </c>
      <c r="M25" s="94">
        <f t="shared" si="1"/>
        <v>0.0666666665347293</v>
      </c>
      <c r="N25" s="95">
        <f t="shared" si="2"/>
        <v>4</v>
      </c>
      <c r="O25" s="96" t="s">
        <v>75</v>
      </c>
      <c r="P25" s="426"/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>
        <f t="shared" si="6"/>
        <v>409.213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74</v>
      </c>
      <c r="AC25" s="106">
        <f t="shared" si="14"/>
        <v>409.213</v>
      </c>
      <c r="AD25" s="107"/>
    </row>
    <row r="26" spans="2:30" s="1" customFormat="1" ht="16.5" customHeight="1">
      <c r="B26" s="13"/>
      <c r="C26" s="79">
        <v>45</v>
      </c>
      <c r="D26" s="79">
        <v>217489</v>
      </c>
      <c r="E26" s="79">
        <v>2713</v>
      </c>
      <c r="F26" s="77" t="s">
        <v>94</v>
      </c>
      <c r="G26" s="77">
        <v>132</v>
      </c>
      <c r="H26" s="90">
        <v>8</v>
      </c>
      <c r="I26" s="91" t="s">
        <v>77</v>
      </c>
      <c r="J26" s="92">
        <f t="shared" si="0"/>
        <v>29.2295</v>
      </c>
      <c r="K26" s="432">
        <v>40195.33125</v>
      </c>
      <c r="L26" s="432">
        <v>40195.33472222222</v>
      </c>
      <c r="M26" s="94">
        <f t="shared" si="1"/>
        <v>0.08333333325572312</v>
      </c>
      <c r="N26" s="95">
        <f t="shared" si="2"/>
        <v>5</v>
      </c>
      <c r="O26" s="93" t="s">
        <v>75</v>
      </c>
      <c r="P26" s="426"/>
      <c r="Q26" s="97">
        <f t="shared" si="3"/>
        <v>10</v>
      </c>
      <c r="R26" s="98" t="str">
        <f t="shared" si="4"/>
        <v>--</v>
      </c>
      <c r="S26" s="99" t="str">
        <f t="shared" si="5"/>
        <v>--</v>
      </c>
      <c r="T26" s="100">
        <f t="shared" si="6"/>
        <v>292.295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74</v>
      </c>
      <c r="AC26" s="106">
        <f t="shared" si="14"/>
        <v>292.295</v>
      </c>
      <c r="AD26" s="107"/>
    </row>
    <row r="27" spans="2:30" s="1" customFormat="1" ht="16.5" customHeight="1">
      <c r="B27" s="13"/>
      <c r="C27" s="79">
        <v>47</v>
      </c>
      <c r="D27" s="79">
        <v>217727</v>
      </c>
      <c r="E27" s="79">
        <v>4831</v>
      </c>
      <c r="F27" s="77" t="s">
        <v>177</v>
      </c>
      <c r="G27" s="77">
        <v>132</v>
      </c>
      <c r="H27" s="90">
        <v>15.73</v>
      </c>
      <c r="I27" s="91" t="s">
        <v>77</v>
      </c>
      <c r="J27" s="92">
        <f t="shared" si="0"/>
        <v>29.2295</v>
      </c>
      <c r="K27" s="432">
        <v>40196.40833333333</v>
      </c>
      <c r="L27" s="432">
        <v>40196.67291666667</v>
      </c>
      <c r="M27" s="94">
        <f t="shared" si="1"/>
        <v>6.350000000093132</v>
      </c>
      <c r="N27" s="95">
        <f t="shared" si="2"/>
        <v>381</v>
      </c>
      <c r="O27" s="93" t="s">
        <v>73</v>
      </c>
      <c r="P27" s="426"/>
      <c r="Q27" s="97">
        <f t="shared" si="3"/>
        <v>10</v>
      </c>
      <c r="R27" s="98">
        <f t="shared" si="4"/>
        <v>18.5607325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74</v>
      </c>
      <c r="AC27" s="106">
        <f t="shared" si="14"/>
        <v>18.5607325</v>
      </c>
      <c r="AD27" s="107"/>
    </row>
    <row r="28" spans="2:30" s="1" customFormat="1" ht="16.5" customHeight="1">
      <c r="B28" s="13"/>
      <c r="C28" s="79">
        <v>48</v>
      </c>
      <c r="D28" s="79">
        <v>217730</v>
      </c>
      <c r="E28" s="79">
        <v>4831</v>
      </c>
      <c r="F28" s="77" t="s">
        <v>177</v>
      </c>
      <c r="G28" s="77">
        <v>132</v>
      </c>
      <c r="H28" s="90">
        <v>15.73</v>
      </c>
      <c r="I28" s="91" t="s">
        <v>77</v>
      </c>
      <c r="J28" s="92">
        <f t="shared" si="0"/>
        <v>29.2295</v>
      </c>
      <c r="K28" s="432">
        <v>40197.379166666666</v>
      </c>
      <c r="L28" s="432">
        <v>40197.669444444444</v>
      </c>
      <c r="M28" s="94">
        <f t="shared" si="1"/>
        <v>6.966666666674428</v>
      </c>
      <c r="N28" s="95">
        <f t="shared" si="2"/>
        <v>418</v>
      </c>
      <c r="O28" s="93" t="s">
        <v>73</v>
      </c>
      <c r="P28" s="426"/>
      <c r="Q28" s="97">
        <f t="shared" si="3"/>
        <v>10</v>
      </c>
      <c r="R28" s="98">
        <f t="shared" si="4"/>
        <v>20.3729615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74</v>
      </c>
      <c r="AC28" s="106">
        <f t="shared" si="14"/>
        <v>20.3729615</v>
      </c>
      <c r="AD28" s="107"/>
    </row>
    <row r="29" spans="2:30" s="1" customFormat="1" ht="16.5" customHeight="1">
      <c r="B29" s="13"/>
      <c r="C29" s="79">
        <v>49</v>
      </c>
      <c r="D29" s="79">
        <v>217738</v>
      </c>
      <c r="E29" s="79">
        <v>3829</v>
      </c>
      <c r="F29" s="77" t="s">
        <v>95</v>
      </c>
      <c r="G29" s="77">
        <v>132</v>
      </c>
      <c r="H29" s="90">
        <v>139.39999389648438</v>
      </c>
      <c r="I29" s="91" t="s">
        <v>77</v>
      </c>
      <c r="J29" s="92">
        <f t="shared" si="0"/>
        <v>162.98368486389163</v>
      </c>
      <c r="K29" s="432">
        <v>40198.14027777778</v>
      </c>
      <c r="L29" s="432">
        <v>40198.14513888889</v>
      </c>
      <c r="M29" s="94">
        <f t="shared" si="1"/>
        <v>0.11666666669771075</v>
      </c>
      <c r="N29" s="95">
        <f t="shared" si="2"/>
        <v>7</v>
      </c>
      <c r="O29" s="93" t="s">
        <v>75</v>
      </c>
      <c r="P29" s="426"/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>
        <f t="shared" si="6"/>
        <v>1629.8368486389163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74</v>
      </c>
      <c r="AC29" s="106">
        <f t="shared" si="14"/>
        <v>1629.8368486389163</v>
      </c>
      <c r="AD29" s="107"/>
    </row>
    <row r="30" spans="2:30" s="1" customFormat="1" ht="16.5" customHeight="1">
      <c r="B30" s="13"/>
      <c r="C30" s="79">
        <v>50</v>
      </c>
      <c r="D30" s="79">
        <v>217740</v>
      </c>
      <c r="E30" s="79">
        <v>4915</v>
      </c>
      <c r="F30" s="77" t="s">
        <v>180</v>
      </c>
      <c r="G30" s="77">
        <v>132</v>
      </c>
      <c r="H30" s="90">
        <v>6.19</v>
      </c>
      <c r="I30" s="91" t="s">
        <v>77</v>
      </c>
      <c r="J30" s="92">
        <f t="shared" si="0"/>
        <v>29.2295</v>
      </c>
      <c r="K30" s="432">
        <v>40198.36944444444</v>
      </c>
      <c r="L30" s="432">
        <v>40198.72361111111</v>
      </c>
      <c r="M30" s="94">
        <f t="shared" si="1"/>
        <v>8.500000000116415</v>
      </c>
      <c r="N30" s="95">
        <f t="shared" si="2"/>
        <v>510</v>
      </c>
      <c r="O30" s="93" t="s">
        <v>73</v>
      </c>
      <c r="P30" s="426"/>
      <c r="Q30" s="97">
        <f t="shared" si="3"/>
        <v>10</v>
      </c>
      <c r="R30" s="98">
        <f t="shared" si="4"/>
        <v>24.845075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74</v>
      </c>
      <c r="AC30" s="106">
        <f t="shared" si="14"/>
        <v>24.845075</v>
      </c>
      <c r="AD30" s="107"/>
    </row>
    <row r="31" spans="2:30" s="1" customFormat="1" ht="16.5" customHeight="1">
      <c r="B31" s="13"/>
      <c r="C31" s="79">
        <v>51</v>
      </c>
      <c r="D31" s="79">
        <v>217742</v>
      </c>
      <c r="E31" s="79">
        <v>4831</v>
      </c>
      <c r="F31" s="77" t="s">
        <v>177</v>
      </c>
      <c r="G31" s="77">
        <v>132</v>
      </c>
      <c r="H31" s="90">
        <v>15.73</v>
      </c>
      <c r="I31" s="91" t="s">
        <v>77</v>
      </c>
      <c r="J31" s="92">
        <f t="shared" si="0"/>
        <v>29.2295</v>
      </c>
      <c r="K31" s="432">
        <v>40198.40416666667</v>
      </c>
      <c r="L31" s="432">
        <v>40198.67222222222</v>
      </c>
      <c r="M31" s="94">
        <f t="shared" si="1"/>
        <v>6.433333333348855</v>
      </c>
      <c r="N31" s="95">
        <f t="shared" si="2"/>
        <v>386</v>
      </c>
      <c r="O31" s="93" t="s">
        <v>73</v>
      </c>
      <c r="P31" s="426"/>
      <c r="Q31" s="97">
        <f t="shared" si="3"/>
        <v>10</v>
      </c>
      <c r="R31" s="98">
        <f t="shared" si="4"/>
        <v>18.7945685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74</v>
      </c>
      <c r="AC31" s="106">
        <f t="shared" si="14"/>
        <v>18.7945685</v>
      </c>
      <c r="AD31" s="107"/>
    </row>
    <row r="32" spans="2:30" s="1" customFormat="1" ht="16.5" customHeight="1">
      <c r="B32" s="13"/>
      <c r="C32" s="79">
        <v>52</v>
      </c>
      <c r="D32" s="79">
        <v>217749</v>
      </c>
      <c r="E32" s="79">
        <v>1440</v>
      </c>
      <c r="F32" s="77" t="s">
        <v>96</v>
      </c>
      <c r="G32" s="77">
        <v>132</v>
      </c>
      <c r="H32" s="90">
        <v>55</v>
      </c>
      <c r="I32" s="91" t="s">
        <v>77</v>
      </c>
      <c r="J32" s="92">
        <f t="shared" si="0"/>
        <v>64.3049</v>
      </c>
      <c r="K32" s="432">
        <v>40199.39722222222</v>
      </c>
      <c r="L32" s="432">
        <v>40200.64791666667</v>
      </c>
      <c r="M32" s="94">
        <f t="shared" si="1"/>
        <v>30.016666666720994</v>
      </c>
      <c r="N32" s="95">
        <f t="shared" si="2"/>
        <v>1801</v>
      </c>
      <c r="O32" s="93" t="s">
        <v>73</v>
      </c>
      <c r="P32" s="426"/>
      <c r="Q32" s="97">
        <f t="shared" si="3"/>
        <v>10</v>
      </c>
      <c r="R32" s="98">
        <f t="shared" si="4"/>
        <v>193.0433098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74</v>
      </c>
      <c r="AC32" s="106">
        <f t="shared" si="14"/>
        <v>193.0433098</v>
      </c>
      <c r="AD32" s="107"/>
    </row>
    <row r="33" spans="2:30" s="1" customFormat="1" ht="16.5" customHeight="1">
      <c r="B33" s="108"/>
      <c r="C33" s="79">
        <v>53</v>
      </c>
      <c r="D33" s="79">
        <v>217757</v>
      </c>
      <c r="E33" s="79">
        <v>1405</v>
      </c>
      <c r="F33" s="77" t="s">
        <v>97</v>
      </c>
      <c r="G33" s="77">
        <v>132</v>
      </c>
      <c r="H33" s="90">
        <v>83.80000305175781</v>
      </c>
      <c r="I33" s="91" t="s">
        <v>81</v>
      </c>
      <c r="J33" s="92">
        <f t="shared" si="0"/>
        <v>97.9772875680542</v>
      </c>
      <c r="K33" s="432">
        <v>40200.37777777778</v>
      </c>
      <c r="L33" s="432">
        <v>40200.563888888886</v>
      </c>
      <c r="M33" s="94">
        <f t="shared" si="1"/>
        <v>4.466666666558012</v>
      </c>
      <c r="N33" s="95">
        <f t="shared" si="2"/>
        <v>268</v>
      </c>
      <c r="O33" s="93" t="s">
        <v>73</v>
      </c>
      <c r="P33" s="426"/>
      <c r="Q33" s="97">
        <f t="shared" si="3"/>
        <v>50</v>
      </c>
      <c r="R33" s="98">
        <f t="shared" si="4"/>
        <v>218.9792377146011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74</v>
      </c>
      <c r="AC33" s="106">
        <f t="shared" si="14"/>
        <v>218.9792377146011</v>
      </c>
      <c r="AD33" s="107"/>
    </row>
    <row r="34" spans="2:30" s="1" customFormat="1" ht="16.5" customHeight="1">
      <c r="B34" s="108"/>
      <c r="C34" s="79">
        <v>54</v>
      </c>
      <c r="D34" s="79">
        <v>217759</v>
      </c>
      <c r="E34" s="79">
        <v>4831</v>
      </c>
      <c r="F34" s="77" t="s">
        <v>177</v>
      </c>
      <c r="G34" s="77">
        <v>132</v>
      </c>
      <c r="H34" s="90">
        <v>15.73</v>
      </c>
      <c r="I34" s="91" t="s">
        <v>77</v>
      </c>
      <c r="J34" s="92">
        <f t="shared" si="0"/>
        <v>29.2295</v>
      </c>
      <c r="K34" s="432">
        <v>40200.415972222225</v>
      </c>
      <c r="L34" s="432">
        <v>40200.611805555556</v>
      </c>
      <c r="M34" s="94">
        <f t="shared" si="1"/>
        <v>4.699999999953434</v>
      </c>
      <c r="N34" s="95">
        <f t="shared" si="2"/>
        <v>282</v>
      </c>
      <c r="O34" s="93" t="s">
        <v>73</v>
      </c>
      <c r="P34" s="426"/>
      <c r="Q34" s="97">
        <f t="shared" si="3"/>
        <v>10</v>
      </c>
      <c r="R34" s="98">
        <f t="shared" si="4"/>
        <v>13.737865000000001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74</v>
      </c>
      <c r="AC34" s="106">
        <f t="shared" si="14"/>
        <v>13.737865000000001</v>
      </c>
      <c r="AD34" s="107"/>
    </row>
    <row r="35" spans="2:30" s="1" customFormat="1" ht="16.5" customHeight="1">
      <c r="B35" s="108"/>
      <c r="C35" s="79">
        <v>56</v>
      </c>
      <c r="D35" s="79">
        <v>217891</v>
      </c>
      <c r="E35" s="79">
        <v>1416</v>
      </c>
      <c r="F35" s="77" t="s">
        <v>98</v>
      </c>
      <c r="G35" s="77">
        <v>132</v>
      </c>
      <c r="H35" s="90">
        <v>109.4000015258789</v>
      </c>
      <c r="I35" s="91" t="s">
        <v>77</v>
      </c>
      <c r="J35" s="92">
        <f t="shared" si="0"/>
        <v>127.9082937840271</v>
      </c>
      <c r="K35" s="432">
        <v>40203.02361111111</v>
      </c>
      <c r="L35" s="432">
        <v>40203.38263888889</v>
      </c>
      <c r="M35" s="94">
        <f t="shared" si="1"/>
        <v>8.616666666814126</v>
      </c>
      <c r="N35" s="95">
        <f t="shared" si="2"/>
        <v>517</v>
      </c>
      <c r="O35" s="93" t="s">
        <v>75</v>
      </c>
      <c r="P35" s="426"/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1279.082937840271</v>
      </c>
      <c r="U35" s="100">
        <f t="shared" si="7"/>
        <v>3837.2488135208127</v>
      </c>
      <c r="V35" s="101">
        <f t="shared" si="8"/>
        <v>718.8446110662321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74</v>
      </c>
      <c r="AC35" s="106">
        <f t="shared" si="14"/>
        <v>5835.176362427315</v>
      </c>
      <c r="AD35" s="107"/>
    </row>
    <row r="36" spans="2:30" s="1" customFormat="1" ht="16.5" customHeight="1">
      <c r="B36" s="108"/>
      <c r="C36" s="79">
        <v>57</v>
      </c>
      <c r="D36" s="79">
        <v>217893</v>
      </c>
      <c r="E36" s="79">
        <v>1544</v>
      </c>
      <c r="F36" s="77" t="s">
        <v>99</v>
      </c>
      <c r="G36" s="77">
        <v>132</v>
      </c>
      <c r="H36" s="90">
        <v>25</v>
      </c>
      <c r="I36" s="91" t="s">
        <v>77</v>
      </c>
      <c r="J36" s="92">
        <f t="shared" si="0"/>
        <v>29.2295</v>
      </c>
      <c r="K36" s="432">
        <v>40203.42013888889</v>
      </c>
      <c r="L36" s="432">
        <v>40203.64236111111</v>
      </c>
      <c r="M36" s="94">
        <f t="shared" si="1"/>
        <v>5.333333333255723</v>
      </c>
      <c r="N36" s="95">
        <f t="shared" si="2"/>
        <v>320</v>
      </c>
      <c r="O36" s="93" t="s">
        <v>73</v>
      </c>
      <c r="P36" s="426"/>
      <c r="Q36" s="97">
        <f t="shared" si="3"/>
        <v>10</v>
      </c>
      <c r="R36" s="98">
        <f t="shared" si="4"/>
        <v>15.579323500000001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74</v>
      </c>
      <c r="AC36" s="106">
        <f t="shared" si="14"/>
        <v>15.579323500000001</v>
      </c>
      <c r="AD36" s="107"/>
    </row>
    <row r="37" spans="2:30" s="1" customFormat="1" ht="16.5" customHeight="1">
      <c r="B37" s="108"/>
      <c r="C37" s="79">
        <v>58</v>
      </c>
      <c r="D37" s="79">
        <v>217896</v>
      </c>
      <c r="E37" s="79">
        <v>4888</v>
      </c>
      <c r="F37" s="77" t="s">
        <v>174</v>
      </c>
      <c r="G37" s="77">
        <v>132</v>
      </c>
      <c r="H37" s="90">
        <v>13</v>
      </c>
      <c r="I37" s="91" t="s">
        <v>77</v>
      </c>
      <c r="J37" s="92">
        <f t="shared" si="0"/>
        <v>29.2295</v>
      </c>
      <c r="K37" s="432">
        <v>40204.30347222222</v>
      </c>
      <c r="L37" s="432">
        <v>40204.785416666666</v>
      </c>
      <c r="M37" s="94">
        <f t="shared" si="1"/>
        <v>11.566666666651145</v>
      </c>
      <c r="N37" s="95">
        <f t="shared" si="2"/>
        <v>694</v>
      </c>
      <c r="O37" s="93" t="s">
        <v>73</v>
      </c>
      <c r="P37" s="426"/>
      <c r="Q37" s="97">
        <f t="shared" si="3"/>
        <v>10</v>
      </c>
      <c r="R37" s="98">
        <f t="shared" si="4"/>
        <v>33.8185315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 t="s">
        <v>74</v>
      </c>
      <c r="AC37" s="106">
        <f t="shared" si="14"/>
        <v>33.8185315</v>
      </c>
      <c r="AD37" s="107"/>
    </row>
    <row r="38" spans="2:30" s="1" customFormat="1" ht="16.5" customHeight="1">
      <c r="B38" s="108"/>
      <c r="C38" s="79">
        <v>59</v>
      </c>
      <c r="D38" s="79">
        <v>217930</v>
      </c>
      <c r="E38" s="79">
        <v>4889</v>
      </c>
      <c r="F38" s="77" t="s">
        <v>179</v>
      </c>
      <c r="G38" s="77">
        <v>132</v>
      </c>
      <c r="H38" s="90">
        <v>24.7</v>
      </c>
      <c r="I38" s="91" t="s">
        <v>77</v>
      </c>
      <c r="J38" s="92">
        <f t="shared" si="0"/>
        <v>29.2295</v>
      </c>
      <c r="K38" s="432">
        <v>40204.30347222222</v>
      </c>
      <c r="L38" s="432">
        <v>40204.785416666666</v>
      </c>
      <c r="M38" s="94">
        <f t="shared" si="1"/>
        <v>11.566666666651145</v>
      </c>
      <c r="N38" s="95">
        <f t="shared" si="2"/>
        <v>694</v>
      </c>
      <c r="O38" s="93" t="s">
        <v>73</v>
      </c>
      <c r="P38" s="426"/>
      <c r="Q38" s="97">
        <f t="shared" si="3"/>
        <v>10</v>
      </c>
      <c r="R38" s="98">
        <f t="shared" si="4"/>
        <v>33.8185315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74</v>
      </c>
      <c r="AC38" s="106">
        <f t="shared" si="14"/>
        <v>33.8185315</v>
      </c>
      <c r="AD38" s="107"/>
    </row>
    <row r="39" spans="2:30" s="1" customFormat="1" ht="16.5" customHeight="1" thickBot="1">
      <c r="B39" s="13"/>
      <c r="C39" s="109"/>
      <c r="D39" s="109"/>
      <c r="E39" s="109"/>
      <c r="F39" s="333"/>
      <c r="G39" s="334"/>
      <c r="H39" s="335"/>
      <c r="I39" s="335"/>
      <c r="J39" s="111"/>
      <c r="K39" s="408"/>
      <c r="L39" s="408"/>
      <c r="M39" s="110"/>
      <c r="N39" s="110"/>
      <c r="O39" s="335"/>
      <c r="P39" s="336"/>
      <c r="Q39" s="337"/>
      <c r="R39" s="338"/>
      <c r="S39" s="339"/>
      <c r="T39" s="340"/>
      <c r="U39" s="341"/>
      <c r="V39" s="341"/>
      <c r="W39" s="342"/>
      <c r="X39" s="342"/>
      <c r="Y39" s="342"/>
      <c r="Z39" s="343"/>
      <c r="AA39" s="344"/>
      <c r="AB39" s="345"/>
      <c r="AC39" s="112"/>
      <c r="AD39" s="107"/>
    </row>
    <row r="40" spans="2:30" s="1" customFormat="1" ht="16.5" customHeight="1" thickBot="1" thickTop="1">
      <c r="B40" s="13"/>
      <c r="C40" s="113" t="s">
        <v>55</v>
      </c>
      <c r="D40" s="437" t="s">
        <v>191</v>
      </c>
      <c r="E40" s="129"/>
      <c r="F40" s="114"/>
      <c r="G40" s="115"/>
      <c r="H40" s="116"/>
      <c r="I40" s="116"/>
      <c r="J40" s="117"/>
      <c r="K40" s="117"/>
      <c r="L40" s="117"/>
      <c r="M40" s="117"/>
      <c r="N40" s="117"/>
      <c r="O40" s="117"/>
      <c r="P40" s="118"/>
      <c r="Q40" s="118"/>
      <c r="R40" s="119">
        <f aca="true" t="shared" si="15" ref="R40:AA40">SUM(R19:R39)</f>
        <v>1368.6386082963395</v>
      </c>
      <c r="S40" s="120">
        <f t="shared" si="15"/>
        <v>0</v>
      </c>
      <c r="T40" s="121">
        <f t="shared" si="15"/>
        <v>4804.043605662537</v>
      </c>
      <c r="U40" s="121">
        <f t="shared" si="15"/>
        <v>3837.2488135208127</v>
      </c>
      <c r="V40" s="121">
        <f t="shared" si="15"/>
        <v>718.8446110662321</v>
      </c>
      <c r="W40" s="122">
        <f t="shared" si="15"/>
        <v>0</v>
      </c>
      <c r="X40" s="122">
        <f t="shared" si="15"/>
        <v>0</v>
      </c>
      <c r="Y40" s="122">
        <f t="shared" si="15"/>
        <v>0</v>
      </c>
      <c r="Z40" s="123">
        <f t="shared" si="15"/>
        <v>0</v>
      </c>
      <c r="AA40" s="124">
        <f t="shared" si="15"/>
        <v>0</v>
      </c>
      <c r="AB40" s="125"/>
      <c r="AC40" s="417">
        <f>ROUND(SUM(AC19:AC39),2)</f>
        <v>108059.89</v>
      </c>
      <c r="AD40" s="126"/>
    </row>
    <row r="41" spans="2:30" s="127" customFormat="1" ht="9.75" thickTop="1">
      <c r="B41" s="128"/>
      <c r="C41" s="129"/>
      <c r="D41" s="129"/>
      <c r="E41" s="129"/>
      <c r="F41" s="130"/>
      <c r="G41" s="131"/>
      <c r="H41" s="132"/>
      <c r="I41" s="132"/>
      <c r="J41" s="133"/>
      <c r="K41" s="133"/>
      <c r="L41" s="133"/>
      <c r="M41" s="133"/>
      <c r="N41" s="133"/>
      <c r="O41" s="133"/>
      <c r="P41" s="134"/>
      <c r="Q41" s="134"/>
      <c r="R41" s="135"/>
      <c r="S41" s="135"/>
      <c r="T41" s="136"/>
      <c r="U41" s="136"/>
      <c r="V41" s="137"/>
      <c r="W41" s="137"/>
      <c r="X41" s="137"/>
      <c r="Y41" s="137"/>
      <c r="Z41" s="137"/>
      <c r="AA41" s="137"/>
      <c r="AB41" s="137"/>
      <c r="AC41" s="138"/>
      <c r="AD41" s="139"/>
    </row>
    <row r="42" spans="2:30" s="1" customFormat="1" ht="16.5" customHeight="1" thickBot="1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2"/>
    </row>
    <row r="43" spans="2:30" ht="13.5" thickTop="1">
      <c r="B43" s="143"/>
      <c r="AD43" s="143"/>
    </row>
    <row r="88" ht="12.75">
      <c r="B88" s="14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D90"/>
  <sheetViews>
    <sheetView zoomScale="70" zoomScaleNormal="70" workbookViewId="0" topLeftCell="A13">
      <selection activeCell="G14" sqref="G14:G16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57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'TOT-0110'!B2</f>
        <v>ANEXO II al Memorandum D.T.E.E. N°         /             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+'TOT-0110'!B14</f>
        <v>Desde el 01 al 31 de enero de 2010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122.355</v>
      </c>
      <c r="H14" s="37"/>
      <c r="I14" s="38"/>
      <c r="J14" s="34"/>
      <c r="K14" s="34"/>
      <c r="L14" s="39" t="s">
        <v>8</v>
      </c>
      <c r="M14" s="40">
        <f>150*'TOT-0110'!B13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116.918</v>
      </c>
      <c r="H15" s="42"/>
      <c r="I15" s="43"/>
      <c r="J15" s="7"/>
      <c r="K15" s="44"/>
      <c r="L15" s="39" t="s">
        <v>10</v>
      </c>
      <c r="M15" s="40">
        <f>50*'TOT-0110'!B13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116.918</v>
      </c>
      <c r="H16" s="42"/>
      <c r="I16" s="43"/>
      <c r="J16" s="7"/>
      <c r="K16" s="7"/>
      <c r="L16" s="39" t="s">
        <v>12</v>
      </c>
      <c r="M16" s="40">
        <f>10*'TOT-0110'!B13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70</v>
      </c>
      <c r="E18" s="421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'LI-01 (3)'!AC40</f>
        <v>108059.89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60</v>
      </c>
      <c r="D21" s="79">
        <v>217903</v>
      </c>
      <c r="E21" s="79">
        <v>1544</v>
      </c>
      <c r="F21" s="77" t="s">
        <v>99</v>
      </c>
      <c r="G21" s="77">
        <v>132</v>
      </c>
      <c r="H21" s="90">
        <v>25</v>
      </c>
      <c r="I21" s="91" t="s">
        <v>77</v>
      </c>
      <c r="J21" s="92">
        <f aca="true" t="shared" si="0" ref="J21:J40">IF(G21=220,$G$14,IF(G21=132,$G$15,$G$16))*IF(H21&gt;25,H21,25)/100</f>
        <v>29.2295</v>
      </c>
      <c r="K21" s="432">
        <v>40204.37847222222</v>
      </c>
      <c r="L21" s="432">
        <v>40204.63263888889</v>
      </c>
      <c r="M21" s="94">
        <f aca="true" t="shared" si="1" ref="M21:M40">IF(F21="","",(L21-K21)*24)</f>
        <v>6.10000000015134</v>
      </c>
      <c r="N21" s="95">
        <f aca="true" t="shared" si="2" ref="N21:N40">IF(F21="","",ROUND((L21-K21)*24*60,0))</f>
        <v>366</v>
      </c>
      <c r="O21" s="96" t="s">
        <v>73</v>
      </c>
      <c r="P21" s="426"/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17.829995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7" t="s">
        <v>74</v>
      </c>
      <c r="AC21" s="106">
        <f aca="true" t="shared" si="14" ref="AC21:AC40">IF(F21="","",SUM(R21:AA21)*IF(AB21="SI",1,2))</f>
        <v>17.829995</v>
      </c>
      <c r="AD21" s="107"/>
    </row>
    <row r="22" spans="2:30" s="1" customFormat="1" ht="16.5" customHeight="1">
      <c r="B22" s="13"/>
      <c r="C22" s="79">
        <v>61</v>
      </c>
      <c r="D22" s="79">
        <v>217909</v>
      </c>
      <c r="E22" s="79">
        <v>1544</v>
      </c>
      <c r="F22" s="77" t="s">
        <v>99</v>
      </c>
      <c r="G22" s="77">
        <v>132</v>
      </c>
      <c r="H22" s="90">
        <v>25</v>
      </c>
      <c r="I22" s="91" t="s">
        <v>77</v>
      </c>
      <c r="J22" s="92">
        <f t="shared" si="0"/>
        <v>29.2295</v>
      </c>
      <c r="K22" s="432">
        <v>40205.39166666667</v>
      </c>
      <c r="L22" s="432">
        <v>40205.61597222222</v>
      </c>
      <c r="M22" s="94">
        <f t="shared" si="1"/>
        <v>5.383333333244082</v>
      </c>
      <c r="N22" s="95">
        <f t="shared" si="2"/>
        <v>323</v>
      </c>
      <c r="O22" s="96" t="s">
        <v>73</v>
      </c>
      <c r="P22" s="426"/>
      <c r="Q22" s="97">
        <f t="shared" si="3"/>
        <v>10</v>
      </c>
      <c r="R22" s="98">
        <f t="shared" si="4"/>
        <v>15.725471000000002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74</v>
      </c>
      <c r="AC22" s="106">
        <f t="shared" si="14"/>
        <v>15.725471000000002</v>
      </c>
      <c r="AD22" s="107"/>
    </row>
    <row r="23" spans="2:30" s="1" customFormat="1" ht="16.5" customHeight="1">
      <c r="B23" s="13"/>
      <c r="C23" s="79">
        <v>62</v>
      </c>
      <c r="D23" s="79">
        <v>217911</v>
      </c>
      <c r="E23" s="79">
        <v>1544</v>
      </c>
      <c r="F23" s="77" t="s">
        <v>99</v>
      </c>
      <c r="G23" s="77">
        <v>132</v>
      </c>
      <c r="H23" s="90">
        <v>25</v>
      </c>
      <c r="I23" s="91" t="s">
        <v>77</v>
      </c>
      <c r="J23" s="92">
        <f t="shared" si="0"/>
        <v>29.2295</v>
      </c>
      <c r="K23" s="432">
        <v>40206.40902777778</v>
      </c>
      <c r="L23" s="432">
        <v>40206.603472222225</v>
      </c>
      <c r="M23" s="94">
        <f t="shared" si="1"/>
        <v>4.666666666686069</v>
      </c>
      <c r="N23" s="95">
        <f t="shared" si="2"/>
        <v>280</v>
      </c>
      <c r="O23" s="96" t="s">
        <v>73</v>
      </c>
      <c r="P23" s="426"/>
      <c r="Q23" s="97">
        <f t="shared" si="3"/>
        <v>10</v>
      </c>
      <c r="R23" s="98">
        <f t="shared" si="4"/>
        <v>13.6501765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74</v>
      </c>
      <c r="AC23" s="106">
        <f t="shared" si="14"/>
        <v>13.6501765</v>
      </c>
      <c r="AD23" s="107"/>
    </row>
    <row r="24" spans="2:30" s="1" customFormat="1" ht="16.5" customHeight="1">
      <c r="B24" s="13"/>
      <c r="C24" s="79">
        <v>63</v>
      </c>
      <c r="D24" s="79">
        <v>217917</v>
      </c>
      <c r="E24" s="79">
        <v>1544</v>
      </c>
      <c r="F24" s="77" t="s">
        <v>99</v>
      </c>
      <c r="G24" s="77">
        <v>132</v>
      </c>
      <c r="H24" s="90">
        <v>25</v>
      </c>
      <c r="I24" s="91" t="s">
        <v>77</v>
      </c>
      <c r="J24" s="92">
        <f t="shared" si="0"/>
        <v>29.2295</v>
      </c>
      <c r="K24" s="432">
        <v>40207.41527777778</v>
      </c>
      <c r="L24" s="432">
        <v>40207.58472222222</v>
      </c>
      <c r="M24" s="94">
        <f t="shared" si="1"/>
        <v>4.066666666651145</v>
      </c>
      <c r="N24" s="95">
        <f t="shared" si="2"/>
        <v>244</v>
      </c>
      <c r="O24" s="96" t="s">
        <v>73</v>
      </c>
      <c r="P24" s="426"/>
      <c r="Q24" s="97">
        <f t="shared" si="3"/>
        <v>10</v>
      </c>
      <c r="R24" s="98">
        <f t="shared" si="4"/>
        <v>11.896406500000003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74</v>
      </c>
      <c r="AC24" s="106">
        <f t="shared" si="14"/>
        <v>11.896406500000003</v>
      </c>
      <c r="AD24" s="107"/>
    </row>
    <row r="25" spans="2:30" s="1" customFormat="1" ht="16.5" customHeight="1">
      <c r="B25" s="13"/>
      <c r="C25" s="79">
        <v>64</v>
      </c>
      <c r="D25" s="79">
        <v>217931</v>
      </c>
      <c r="E25" s="79">
        <v>4965</v>
      </c>
      <c r="F25" s="77" t="s">
        <v>181</v>
      </c>
      <c r="G25" s="77">
        <v>132</v>
      </c>
      <c r="H25" s="90">
        <v>13.3</v>
      </c>
      <c r="I25" s="91" t="s">
        <v>77</v>
      </c>
      <c r="J25" s="92">
        <f t="shared" si="0"/>
        <v>29.2295</v>
      </c>
      <c r="K25" s="432">
        <v>40209.294444444444</v>
      </c>
      <c r="L25" s="432">
        <v>40209.45694444444</v>
      </c>
      <c r="M25" s="94">
        <f t="shared" si="1"/>
        <v>3.8999999999650754</v>
      </c>
      <c r="N25" s="95">
        <f t="shared" si="2"/>
        <v>234</v>
      </c>
      <c r="O25" s="96" t="s">
        <v>75</v>
      </c>
      <c r="P25" s="426"/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>
        <f t="shared" si="6"/>
        <v>292.295</v>
      </c>
      <c r="U25" s="100">
        <f t="shared" si="7"/>
        <v>876.885</v>
      </c>
      <c r="V25" s="101">
        <f t="shared" si="8"/>
        <v>26.30655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74</v>
      </c>
      <c r="AC25" s="106">
        <f t="shared" si="14"/>
        <v>1195.48655</v>
      </c>
      <c r="AD25" s="107"/>
    </row>
    <row r="26" spans="2:30" s="1" customFormat="1" ht="16.5" customHeight="1">
      <c r="B26" s="13"/>
      <c r="C26" s="79"/>
      <c r="D26" s="79"/>
      <c r="E26" s="79"/>
      <c r="F26" s="77"/>
      <c r="G26" s="77"/>
      <c r="H26" s="90"/>
      <c r="I26" s="91"/>
      <c r="J26" s="92">
        <f t="shared" si="0"/>
        <v>29.2295</v>
      </c>
      <c r="K26" s="432"/>
      <c r="L26" s="432"/>
      <c r="M26" s="94">
        <f t="shared" si="1"/>
      </c>
      <c r="N26" s="95">
        <f t="shared" si="2"/>
      </c>
      <c r="O26" s="93"/>
      <c r="P26" s="426">
        <f aca="true" t="shared" si="15" ref="P26:P40">IF(F26="","","--")</f>
      </c>
      <c r="Q26" s="97">
        <f t="shared" si="3"/>
        <v>10</v>
      </c>
      <c r="R26" s="98" t="str">
        <f t="shared" si="4"/>
        <v>--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>
        <f aca="true" t="shared" si="16" ref="AB26:AB40">IF(F26="","","SI")</f>
      </c>
      <c r="AC26" s="106">
        <f t="shared" si="14"/>
      </c>
      <c r="AD26" s="107"/>
    </row>
    <row r="27" spans="2:30" s="1" customFormat="1" ht="16.5" customHeight="1">
      <c r="B27" s="13"/>
      <c r="C27" s="79"/>
      <c r="D27" s="79"/>
      <c r="E27" s="79"/>
      <c r="F27" s="77"/>
      <c r="G27" s="77"/>
      <c r="H27" s="90"/>
      <c r="I27" s="91"/>
      <c r="J27" s="92">
        <f t="shared" si="0"/>
        <v>29.2295</v>
      </c>
      <c r="K27" s="432"/>
      <c r="L27" s="432"/>
      <c r="M27" s="94">
        <f t="shared" si="1"/>
      </c>
      <c r="N27" s="95">
        <f t="shared" si="2"/>
      </c>
      <c r="O27" s="93"/>
      <c r="P27" s="426">
        <f t="shared" si="15"/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>
        <f t="shared" si="16"/>
      </c>
      <c r="AC27" s="106">
        <f t="shared" si="14"/>
      </c>
      <c r="AD27" s="107"/>
    </row>
    <row r="28" spans="2:30" s="1" customFormat="1" ht="16.5" customHeight="1">
      <c r="B28" s="13"/>
      <c r="C28" s="79"/>
      <c r="D28" s="79"/>
      <c r="E28" s="79"/>
      <c r="F28" s="77"/>
      <c r="G28" s="77"/>
      <c r="H28" s="90"/>
      <c r="I28" s="91"/>
      <c r="J28" s="92">
        <f t="shared" si="0"/>
        <v>29.2295</v>
      </c>
      <c r="K28" s="432"/>
      <c r="L28" s="432"/>
      <c r="M28" s="94">
        <f t="shared" si="1"/>
      </c>
      <c r="N28" s="95">
        <f t="shared" si="2"/>
      </c>
      <c r="O28" s="93"/>
      <c r="P28" s="426">
        <f t="shared" si="15"/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>
        <f t="shared" si="16"/>
      </c>
      <c r="AC28" s="106">
        <f t="shared" si="14"/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29.2295</v>
      </c>
      <c r="K29" s="432"/>
      <c r="L29" s="432"/>
      <c r="M29" s="94">
        <f t="shared" si="1"/>
      </c>
      <c r="N29" s="95">
        <f t="shared" si="2"/>
      </c>
      <c r="O29" s="93"/>
      <c r="P29" s="426">
        <f t="shared" si="15"/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>
        <f t="shared" si="16"/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29.2295</v>
      </c>
      <c r="K30" s="432"/>
      <c r="L30" s="432"/>
      <c r="M30" s="94">
        <f t="shared" si="1"/>
      </c>
      <c r="N30" s="95">
        <f t="shared" si="2"/>
      </c>
      <c r="O30" s="93"/>
      <c r="P30" s="426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>
        <f t="shared" si="16"/>
      </c>
      <c r="AC30" s="106">
        <f t="shared" si="14"/>
      </c>
      <c r="AD30" s="107"/>
    </row>
    <row r="31" spans="2:30" s="1" customFormat="1" ht="16.5" customHeight="1">
      <c r="B31" s="13"/>
      <c r="C31" s="79"/>
      <c r="D31" s="79"/>
      <c r="E31" s="79"/>
      <c r="F31" s="77"/>
      <c r="G31" s="77"/>
      <c r="H31" s="90"/>
      <c r="I31" s="91"/>
      <c r="J31" s="92">
        <f t="shared" si="0"/>
        <v>29.2295</v>
      </c>
      <c r="K31" s="432"/>
      <c r="L31" s="432"/>
      <c r="M31" s="94">
        <f t="shared" si="1"/>
      </c>
      <c r="N31" s="95">
        <f t="shared" si="2"/>
      </c>
      <c r="O31" s="93"/>
      <c r="P31" s="426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>
        <f t="shared" si="16"/>
      </c>
      <c r="AC31" s="106">
        <f t="shared" si="14"/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29.2295</v>
      </c>
      <c r="K32" s="432"/>
      <c r="L32" s="432"/>
      <c r="M32" s="94">
        <f t="shared" si="1"/>
      </c>
      <c r="N32" s="95">
        <f t="shared" si="2"/>
      </c>
      <c r="O32" s="93"/>
      <c r="P32" s="426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>
        <f t="shared" si="16"/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29.2295</v>
      </c>
      <c r="K33" s="432"/>
      <c r="L33" s="432"/>
      <c r="M33" s="94">
        <f t="shared" si="1"/>
      </c>
      <c r="N33" s="95">
        <f t="shared" si="2"/>
      </c>
      <c r="O33" s="93"/>
      <c r="P33" s="426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29.2295</v>
      </c>
      <c r="K34" s="432"/>
      <c r="L34" s="432"/>
      <c r="M34" s="94">
        <f t="shared" si="1"/>
      </c>
      <c r="N34" s="95">
        <f t="shared" si="2"/>
      </c>
      <c r="O34" s="93"/>
      <c r="P34" s="426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29.2295</v>
      </c>
      <c r="K35" s="432"/>
      <c r="L35" s="432"/>
      <c r="M35" s="94">
        <f t="shared" si="1"/>
      </c>
      <c r="N35" s="95">
        <f t="shared" si="2"/>
      </c>
      <c r="O35" s="93"/>
      <c r="P35" s="426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29.2295</v>
      </c>
      <c r="K36" s="432"/>
      <c r="L36" s="432"/>
      <c r="M36" s="94">
        <f t="shared" si="1"/>
      </c>
      <c r="N36" s="95">
        <f t="shared" si="2"/>
      </c>
      <c r="O36" s="93"/>
      <c r="P36" s="426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29.2295</v>
      </c>
      <c r="K37" s="432"/>
      <c r="L37" s="432"/>
      <c r="M37" s="94">
        <f t="shared" si="1"/>
      </c>
      <c r="N37" s="95">
        <f t="shared" si="2"/>
      </c>
      <c r="O37" s="93"/>
      <c r="P37" s="426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29.2295</v>
      </c>
      <c r="K38" s="432"/>
      <c r="L38" s="432"/>
      <c r="M38" s="94">
        <f t="shared" si="1"/>
      </c>
      <c r="N38" s="95">
        <f t="shared" si="2"/>
      </c>
      <c r="O38" s="93"/>
      <c r="P38" s="426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29.2295</v>
      </c>
      <c r="K39" s="432"/>
      <c r="L39" s="432"/>
      <c r="M39" s="94">
        <f t="shared" si="1"/>
      </c>
      <c r="N39" s="95">
        <f t="shared" si="2"/>
      </c>
      <c r="O39" s="93"/>
      <c r="P39" s="426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29.2295</v>
      </c>
      <c r="K40" s="432"/>
      <c r="L40" s="432"/>
      <c r="M40" s="94">
        <f t="shared" si="1"/>
      </c>
      <c r="N40" s="95">
        <f t="shared" si="2"/>
      </c>
      <c r="O40" s="93"/>
      <c r="P40" s="426">
        <f t="shared" si="15"/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>
        <f t="shared" si="16"/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6" t="s">
        <v>190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7" ref="R42:AA42">SUM(R19:R41)</f>
        <v>59.10204900000001</v>
      </c>
      <c r="S42" s="120">
        <f t="shared" si="17"/>
        <v>0</v>
      </c>
      <c r="T42" s="121">
        <f t="shared" si="17"/>
        <v>292.295</v>
      </c>
      <c r="U42" s="121">
        <f t="shared" si="17"/>
        <v>876.885</v>
      </c>
      <c r="V42" s="121">
        <f t="shared" si="17"/>
        <v>26.30655</v>
      </c>
      <c r="W42" s="122">
        <f t="shared" si="17"/>
        <v>0</v>
      </c>
      <c r="X42" s="122">
        <f t="shared" si="17"/>
        <v>0</v>
      </c>
      <c r="Y42" s="122">
        <f t="shared" si="17"/>
        <v>0</v>
      </c>
      <c r="Z42" s="123">
        <f t="shared" si="17"/>
        <v>0</v>
      </c>
      <c r="AA42" s="124">
        <f t="shared" si="17"/>
        <v>0</v>
      </c>
      <c r="AB42" s="125"/>
      <c r="AC42" s="417">
        <f>ROUND(SUM(AC19:AC41),2)</f>
        <v>109314.48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1121">
    <pageSetUpPr fitToPage="1"/>
  </sheetPr>
  <dimension ref="A1:AO42"/>
  <sheetViews>
    <sheetView zoomScale="75" zoomScaleNormal="75" workbookViewId="0" topLeftCell="I1">
      <selection activeCell="G20" sqref="G20"/>
    </sheetView>
  </sheetViews>
  <sheetFormatPr defaultColWidth="11.421875" defaultRowHeight="12.75"/>
  <cols>
    <col min="1" max="1" width="23.57421875" style="683" customWidth="1"/>
    <col min="2" max="2" width="15.7109375" style="683" customWidth="1"/>
    <col min="3" max="3" width="3.421875" style="683" customWidth="1"/>
    <col min="4" max="4" width="3.57421875" style="683" customWidth="1"/>
    <col min="5" max="5" width="4.7109375" style="683" customWidth="1"/>
    <col min="6" max="6" width="31.57421875" style="683" customWidth="1"/>
    <col min="7" max="7" width="5.8515625" style="683" customWidth="1"/>
    <col min="8" max="8" width="7.140625" style="683" bestFit="1" customWidth="1"/>
    <col min="9" max="9" width="3.7109375" style="683" customWidth="1"/>
    <col min="10" max="10" width="3.140625" style="683" hidden="1" customWidth="1"/>
    <col min="11" max="11" width="8.00390625" style="683" hidden="1" customWidth="1"/>
    <col min="12" max="13" width="16.28125" style="683" customWidth="1"/>
    <col min="14" max="14" width="7.140625" style="684" customWidth="1"/>
    <col min="15" max="15" width="7.8515625" style="683" customWidth="1"/>
    <col min="16" max="16" width="7.140625" style="683" customWidth="1"/>
    <col min="17" max="17" width="6.57421875" style="683" customWidth="1"/>
    <col min="18" max="18" width="5.421875" style="683" customWidth="1"/>
    <col min="19" max="19" width="6.00390625" style="683" bestFit="1" customWidth="1"/>
    <col min="20" max="20" width="48.00390625" style="683" hidden="1" customWidth="1"/>
    <col min="21" max="22" width="9.140625" style="683" hidden="1" customWidth="1"/>
    <col min="23" max="23" width="13.28125" style="685" customWidth="1"/>
    <col min="24" max="24" width="8.57421875" style="683" customWidth="1"/>
    <col min="25" max="25" width="7.421875" style="683" bestFit="1" customWidth="1"/>
    <col min="26" max="26" width="7.28125" style="685" customWidth="1"/>
    <col min="27" max="27" width="8.57421875" style="685" customWidth="1"/>
    <col min="28" max="28" width="4.140625" style="685" bestFit="1" customWidth="1"/>
    <col min="29" max="29" width="8.57421875" style="685" bestFit="1" customWidth="1"/>
    <col min="30" max="30" width="7.57421875" style="685" bestFit="1" customWidth="1"/>
    <col min="31" max="31" width="12.00390625" style="685" bestFit="1" customWidth="1"/>
    <col min="32" max="32" width="16.57421875" style="685" hidden="1" customWidth="1"/>
    <col min="33" max="33" width="15.7109375" style="683" hidden="1" customWidth="1"/>
    <col min="34" max="34" width="9.8515625" style="683" hidden="1" customWidth="1"/>
    <col min="35" max="35" width="48.140625" style="683" hidden="1" customWidth="1"/>
    <col min="36" max="36" width="9.140625" style="683" hidden="1" customWidth="1"/>
    <col min="37" max="37" width="7.57421875" style="683" hidden="1" customWidth="1"/>
    <col min="38" max="38" width="18.28125" style="683" bestFit="1" customWidth="1"/>
    <col min="39" max="39" width="13.140625" style="683" bestFit="1" customWidth="1"/>
    <col min="40" max="40" width="3.8515625" style="683" customWidth="1"/>
    <col min="41" max="41" width="30.421875" style="683" customWidth="1"/>
    <col min="42" max="42" width="3.140625" style="683" customWidth="1"/>
    <col min="43" max="43" width="3.57421875" style="683" customWidth="1"/>
    <col min="44" max="44" width="24.28125" style="683" customWidth="1"/>
    <col min="45" max="45" width="4.7109375" style="683" customWidth="1"/>
    <col min="46" max="46" width="7.57421875" style="683" customWidth="1"/>
    <col min="47" max="48" width="4.140625" style="683" customWidth="1"/>
    <col min="49" max="49" width="7.140625" style="683" customWidth="1"/>
    <col min="50" max="50" width="5.28125" style="683" customWidth="1"/>
    <col min="51" max="51" width="5.421875" style="683" customWidth="1"/>
    <col min="52" max="52" width="4.7109375" style="683" customWidth="1"/>
    <col min="53" max="53" width="5.28125" style="683" customWidth="1"/>
    <col min="54" max="55" width="13.28125" style="683" customWidth="1"/>
    <col min="56" max="56" width="6.57421875" style="683" customWidth="1"/>
    <col min="57" max="57" width="6.421875" style="683" customWidth="1"/>
    <col min="58" max="61" width="11.421875" style="683" customWidth="1"/>
    <col min="62" max="62" width="12.7109375" style="683" customWidth="1"/>
    <col min="63" max="65" width="11.421875" style="683" customWidth="1"/>
    <col min="66" max="66" width="21.00390625" style="683" customWidth="1"/>
    <col min="67" max="16384" width="11.421875" style="683" customWidth="1"/>
  </cols>
  <sheetData>
    <row r="1" spans="1:40" s="560" customFormat="1" ht="26.25">
      <c r="A1" s="559"/>
      <c r="N1" s="559"/>
      <c r="W1" s="559"/>
      <c r="Z1" s="559"/>
      <c r="AA1" s="559"/>
      <c r="AB1" s="559"/>
      <c r="AC1" s="559"/>
      <c r="AD1" s="559"/>
      <c r="AE1" s="559"/>
      <c r="AF1" s="559"/>
      <c r="AN1" s="686"/>
    </row>
    <row r="2" spans="1:40" s="560" customFormat="1" ht="26.25">
      <c r="A2" s="559"/>
      <c r="B2" s="561" t="str">
        <f>'TOT-0110'!B2</f>
        <v>ANEXO II al Memorandum D.T.E.E. N°         /             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2"/>
      <c r="O2" s="561"/>
      <c r="P2" s="561"/>
      <c r="Q2" s="561"/>
      <c r="R2" s="561"/>
      <c r="S2" s="561"/>
      <c r="T2" s="561"/>
      <c r="U2" s="561"/>
      <c r="V2" s="561"/>
      <c r="W2" s="562"/>
      <c r="X2" s="561"/>
      <c r="Y2" s="561"/>
      <c r="Z2" s="562"/>
      <c r="AA2" s="562"/>
      <c r="AB2" s="562"/>
      <c r="AC2" s="562"/>
      <c r="AD2" s="562"/>
      <c r="AE2" s="562"/>
      <c r="AF2" s="562"/>
      <c r="AG2" s="561"/>
      <c r="AH2" s="561"/>
      <c r="AI2" s="561"/>
      <c r="AJ2" s="561"/>
      <c r="AK2" s="561"/>
      <c r="AL2" s="561"/>
      <c r="AM2" s="561"/>
      <c r="AN2" s="561"/>
    </row>
    <row r="3" spans="1:32" s="564" customFormat="1" ht="12.75">
      <c r="A3" s="563"/>
      <c r="N3" s="563"/>
      <c r="W3" s="563"/>
      <c r="Z3" s="563"/>
      <c r="AA3" s="563"/>
      <c r="AB3" s="563"/>
      <c r="AC3" s="563"/>
      <c r="AD3" s="563"/>
      <c r="AE3" s="563"/>
      <c r="AF3" s="563"/>
    </row>
    <row r="4" spans="1:32" s="567" customFormat="1" ht="11.25">
      <c r="A4" s="565" t="s">
        <v>3</v>
      </c>
      <c r="B4" s="566"/>
      <c r="C4" s="566"/>
      <c r="D4" s="566"/>
      <c r="N4" s="568"/>
      <c r="W4" s="568"/>
      <c r="Z4" s="568"/>
      <c r="AA4" s="568"/>
      <c r="AB4" s="568"/>
      <c r="AC4" s="568"/>
      <c r="AD4" s="568"/>
      <c r="AE4" s="568"/>
      <c r="AF4" s="568"/>
    </row>
    <row r="5" spans="1:32" s="567" customFormat="1" ht="11.25">
      <c r="A5" s="565" t="s">
        <v>4</v>
      </c>
      <c r="B5" s="566"/>
      <c r="C5" s="566"/>
      <c r="D5" s="566"/>
      <c r="N5" s="568"/>
      <c r="W5" s="568"/>
      <c r="Z5" s="568"/>
      <c r="AA5" s="568"/>
      <c r="AB5" s="568"/>
      <c r="AC5" s="568"/>
      <c r="AD5" s="568"/>
      <c r="AE5" s="568"/>
      <c r="AF5" s="568"/>
    </row>
    <row r="6" spans="1:32" s="567" customFormat="1" ht="11.25">
      <c r="A6" s="565"/>
      <c r="B6" s="566"/>
      <c r="C6" s="566"/>
      <c r="D6" s="566"/>
      <c r="N6" s="568"/>
      <c r="W6" s="568"/>
      <c r="Z6" s="568"/>
      <c r="AA6" s="568"/>
      <c r="AB6" s="568"/>
      <c r="AC6" s="568"/>
      <c r="AD6" s="568"/>
      <c r="AE6" s="568"/>
      <c r="AF6" s="568"/>
    </row>
    <row r="7" spans="1:32" s="567" customFormat="1" ht="11.25">
      <c r="A7" s="565"/>
      <c r="B7" s="566"/>
      <c r="C7" s="566"/>
      <c r="D7" s="566"/>
      <c r="N7" s="568"/>
      <c r="W7" s="568"/>
      <c r="Z7" s="568"/>
      <c r="AA7" s="568"/>
      <c r="AB7" s="568"/>
      <c r="AC7" s="568"/>
      <c r="AD7" s="568"/>
      <c r="AE7" s="568"/>
      <c r="AF7" s="568"/>
    </row>
    <row r="8" spans="1:32" s="567" customFormat="1" ht="11.25">
      <c r="A8" s="565"/>
      <c r="B8" s="566"/>
      <c r="C8" s="566"/>
      <c r="D8" s="566"/>
      <c r="N8" s="568"/>
      <c r="W8" s="568"/>
      <c r="Z8" s="568"/>
      <c r="AA8" s="568"/>
      <c r="AB8" s="568"/>
      <c r="AC8" s="568"/>
      <c r="AD8" s="568"/>
      <c r="AE8" s="568"/>
      <c r="AF8" s="568"/>
    </row>
    <row r="9" spans="1:32" s="567" customFormat="1" ht="12" thickBot="1">
      <c r="A9" s="565"/>
      <c r="B9" s="566"/>
      <c r="C9" s="566"/>
      <c r="D9" s="566"/>
      <c r="N9" s="568"/>
      <c r="W9" s="568"/>
      <c r="Z9" s="568"/>
      <c r="AA9" s="568"/>
      <c r="AB9" s="568"/>
      <c r="AC9" s="568"/>
      <c r="AD9" s="568"/>
      <c r="AE9" s="568"/>
      <c r="AF9" s="568"/>
    </row>
    <row r="10" spans="2:40" s="564" customFormat="1" ht="13.5" thickTop="1">
      <c r="B10" s="687"/>
      <c r="C10" s="688"/>
      <c r="D10" s="688"/>
      <c r="E10" s="688"/>
      <c r="F10" s="688"/>
      <c r="G10" s="689"/>
      <c r="H10" s="688"/>
      <c r="I10" s="688"/>
      <c r="J10" s="688"/>
      <c r="K10" s="688"/>
      <c r="L10" s="688"/>
      <c r="M10" s="688"/>
      <c r="N10" s="690"/>
      <c r="O10" s="688"/>
      <c r="P10" s="688"/>
      <c r="Q10" s="688"/>
      <c r="R10" s="688"/>
      <c r="S10" s="688"/>
      <c r="T10" s="688"/>
      <c r="U10" s="688"/>
      <c r="V10" s="688"/>
      <c r="W10" s="690"/>
      <c r="X10" s="688"/>
      <c r="Y10" s="688"/>
      <c r="Z10" s="690"/>
      <c r="AA10" s="690"/>
      <c r="AB10" s="690"/>
      <c r="AC10" s="690"/>
      <c r="AD10" s="690"/>
      <c r="AE10" s="690"/>
      <c r="AF10" s="690"/>
      <c r="AG10" s="688"/>
      <c r="AH10" s="688"/>
      <c r="AI10" s="688"/>
      <c r="AJ10" s="688"/>
      <c r="AK10" s="688"/>
      <c r="AL10" s="688"/>
      <c r="AM10" s="688"/>
      <c r="AN10" s="691"/>
    </row>
    <row r="11" spans="2:40" s="569" customFormat="1" ht="20.25">
      <c r="B11" s="692"/>
      <c r="C11" s="570"/>
      <c r="D11" s="570"/>
      <c r="E11" s="570"/>
      <c r="F11" s="24" t="s">
        <v>5</v>
      </c>
      <c r="G11" s="570"/>
      <c r="H11" s="570"/>
      <c r="I11" s="570"/>
      <c r="J11" s="570"/>
      <c r="N11" s="693"/>
      <c r="P11" s="570"/>
      <c r="Q11" s="570"/>
      <c r="R11" s="572"/>
      <c r="S11" s="572"/>
      <c r="T11" s="570"/>
      <c r="U11" s="570"/>
      <c r="V11" s="570"/>
      <c r="W11" s="571"/>
      <c r="X11" s="570"/>
      <c r="Y11" s="570"/>
      <c r="Z11" s="571"/>
      <c r="AA11" s="571"/>
      <c r="AB11" s="571"/>
      <c r="AC11" s="571"/>
      <c r="AD11" s="571"/>
      <c r="AE11" s="571"/>
      <c r="AF11" s="571"/>
      <c r="AG11" s="570"/>
      <c r="AH11" s="570"/>
      <c r="AI11" s="570"/>
      <c r="AJ11" s="570"/>
      <c r="AK11" s="570"/>
      <c r="AL11" s="570"/>
      <c r="AM11" s="570"/>
      <c r="AN11" s="694"/>
    </row>
    <row r="12" spans="2:40" s="564" customFormat="1" ht="12.75">
      <c r="B12" s="695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4"/>
      <c r="O12" s="573"/>
      <c r="P12" s="573"/>
      <c r="Q12" s="573"/>
      <c r="R12" s="573"/>
      <c r="S12" s="573"/>
      <c r="T12" s="573"/>
      <c r="U12" s="573"/>
      <c r="V12" s="573"/>
      <c r="W12" s="574"/>
      <c r="X12" s="573"/>
      <c r="Y12" s="573"/>
      <c r="Z12" s="574"/>
      <c r="AA12" s="574"/>
      <c r="AB12" s="574"/>
      <c r="AC12" s="574"/>
      <c r="AD12" s="574"/>
      <c r="AE12" s="574"/>
      <c r="AF12" s="574"/>
      <c r="AG12" s="573"/>
      <c r="AH12" s="573"/>
      <c r="AI12" s="573"/>
      <c r="AJ12" s="573"/>
      <c r="AK12" s="573"/>
      <c r="AL12" s="573"/>
      <c r="AM12" s="573"/>
      <c r="AN12" s="696"/>
    </row>
    <row r="13" spans="2:40" s="569" customFormat="1" ht="20.25">
      <c r="B13" s="692"/>
      <c r="C13" s="570"/>
      <c r="D13" s="570"/>
      <c r="E13" s="570"/>
      <c r="F13" s="575" t="s">
        <v>249</v>
      </c>
      <c r="G13" s="570"/>
      <c r="H13" s="570"/>
      <c r="I13" s="570"/>
      <c r="J13" s="570"/>
      <c r="K13" s="570"/>
      <c r="L13" s="570"/>
      <c r="M13" s="570"/>
      <c r="N13" s="571"/>
      <c r="O13" s="570"/>
      <c r="P13" s="570"/>
      <c r="Q13" s="570"/>
      <c r="R13" s="570"/>
      <c r="S13" s="570"/>
      <c r="T13" s="570"/>
      <c r="U13" s="570"/>
      <c r="V13" s="570"/>
      <c r="W13" s="571"/>
      <c r="X13" s="570"/>
      <c r="Y13" s="570"/>
      <c r="Z13" s="571"/>
      <c r="AA13" s="571"/>
      <c r="AB13" s="571"/>
      <c r="AC13" s="571"/>
      <c r="AD13" s="571"/>
      <c r="AE13" s="571"/>
      <c r="AF13" s="571"/>
      <c r="AG13" s="570"/>
      <c r="AH13" s="570"/>
      <c r="AI13" s="570"/>
      <c r="AJ13" s="570"/>
      <c r="AK13" s="570"/>
      <c r="AL13" s="570"/>
      <c r="AM13" s="570"/>
      <c r="AN13" s="694"/>
    </row>
    <row r="14" spans="2:40" s="564" customFormat="1" ht="12.75">
      <c r="B14" s="695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4"/>
      <c r="O14" s="573"/>
      <c r="P14" s="573"/>
      <c r="Q14" s="573"/>
      <c r="R14" s="573"/>
      <c r="S14" s="573"/>
      <c r="T14" s="573"/>
      <c r="U14" s="573"/>
      <c r="V14" s="573"/>
      <c r="W14" s="574"/>
      <c r="X14" s="573"/>
      <c r="Y14" s="573"/>
      <c r="Z14" s="574"/>
      <c r="AA14" s="574"/>
      <c r="AB14" s="574"/>
      <c r="AC14" s="574"/>
      <c r="AD14" s="574"/>
      <c r="AE14" s="574"/>
      <c r="AF14" s="574"/>
      <c r="AG14" s="573"/>
      <c r="AH14" s="573"/>
      <c r="AI14" s="573"/>
      <c r="AJ14" s="573"/>
      <c r="AK14" s="573"/>
      <c r="AL14" s="573"/>
      <c r="AM14" s="573"/>
      <c r="AN14" s="696"/>
    </row>
    <row r="15" spans="2:40" s="564" customFormat="1" ht="12.75">
      <c r="B15" s="695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4"/>
      <c r="O15" s="573"/>
      <c r="P15" s="573"/>
      <c r="Q15" s="573"/>
      <c r="R15" s="573"/>
      <c r="S15" s="573"/>
      <c r="T15" s="573"/>
      <c r="U15" s="573"/>
      <c r="V15" s="573"/>
      <c r="W15" s="574"/>
      <c r="X15" s="573"/>
      <c r="Y15" s="573"/>
      <c r="Z15" s="574"/>
      <c r="AA15" s="574"/>
      <c r="AB15" s="574"/>
      <c r="AC15" s="574"/>
      <c r="AD15" s="574"/>
      <c r="AE15" s="574"/>
      <c r="AF15" s="574"/>
      <c r="AG15" s="573"/>
      <c r="AH15" s="573"/>
      <c r="AI15" s="573"/>
      <c r="AJ15" s="573"/>
      <c r="AK15" s="573"/>
      <c r="AL15" s="573"/>
      <c r="AM15" s="573"/>
      <c r="AN15" s="696"/>
    </row>
    <row r="16" spans="2:40" s="576" customFormat="1" ht="19.5">
      <c r="B16" s="697" t="str">
        <f>'TOT-0110'!B14</f>
        <v>Desde el 01 al 31 de enero de 2010</v>
      </c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8"/>
      <c r="O16" s="577"/>
      <c r="P16" s="698"/>
      <c r="Q16" s="698"/>
      <c r="R16" s="577"/>
      <c r="S16" s="577"/>
      <c r="T16" s="577"/>
      <c r="U16" s="577"/>
      <c r="V16" s="577"/>
      <c r="W16" s="578"/>
      <c r="X16" s="577"/>
      <c r="Y16" s="577"/>
      <c r="Z16" s="578"/>
      <c r="AA16" s="578"/>
      <c r="AB16" s="578"/>
      <c r="AC16" s="578"/>
      <c r="AD16" s="578"/>
      <c r="AE16" s="578"/>
      <c r="AF16" s="578"/>
      <c r="AG16" s="577"/>
      <c r="AH16" s="577"/>
      <c r="AI16" s="577"/>
      <c r="AJ16" s="577"/>
      <c r="AK16" s="577"/>
      <c r="AL16" s="577"/>
      <c r="AM16" s="577"/>
      <c r="AN16" s="699"/>
    </row>
    <row r="17" spans="2:40" s="564" customFormat="1" ht="16.5" customHeight="1" thickBot="1">
      <c r="B17" s="695"/>
      <c r="C17" s="573"/>
      <c r="D17" s="573"/>
      <c r="E17" s="573"/>
      <c r="F17" s="573"/>
      <c r="G17" s="579"/>
      <c r="H17" s="579"/>
      <c r="I17" s="573"/>
      <c r="J17" s="573"/>
      <c r="K17" s="573"/>
      <c r="L17" s="580"/>
      <c r="M17" s="573"/>
      <c r="N17" s="574"/>
      <c r="O17" s="573"/>
      <c r="R17" s="573"/>
      <c r="S17" s="573"/>
      <c r="T17" s="573"/>
      <c r="U17" s="573"/>
      <c r="V17" s="573"/>
      <c r="W17" s="574"/>
      <c r="X17" s="573"/>
      <c r="Y17" s="573"/>
      <c r="Z17" s="574"/>
      <c r="AA17" s="574"/>
      <c r="AB17" s="574"/>
      <c r="AC17" s="574"/>
      <c r="AD17" s="574"/>
      <c r="AE17" s="574"/>
      <c r="AF17" s="574"/>
      <c r="AG17" s="573"/>
      <c r="AH17" s="573"/>
      <c r="AI17" s="573"/>
      <c r="AJ17" s="573"/>
      <c r="AK17" s="573"/>
      <c r="AL17" s="573"/>
      <c r="AM17" s="573"/>
      <c r="AN17" s="696"/>
    </row>
    <row r="18" spans="2:40" s="564" customFormat="1" ht="16.5" customHeight="1" thickBot="1" thickTop="1">
      <c r="B18" s="695"/>
      <c r="C18" s="573"/>
      <c r="D18" s="573"/>
      <c r="E18" s="573"/>
      <c r="F18" s="581" t="s">
        <v>216</v>
      </c>
      <c r="G18" s="700">
        <v>122.355</v>
      </c>
      <c r="H18" s="701"/>
      <c r="I18" s="573"/>
      <c r="J18" s="573"/>
      <c r="K18" s="573"/>
      <c r="L18" s="582"/>
      <c r="M18" s="573"/>
      <c r="N18" s="574"/>
      <c r="O18" s="573"/>
      <c r="P18" s="573"/>
      <c r="Q18" s="573"/>
      <c r="R18" s="573"/>
      <c r="S18" s="573"/>
      <c r="T18" s="583" t="s">
        <v>215</v>
      </c>
      <c r="U18" s="584"/>
      <c r="V18" s="585"/>
      <c r="W18" s="574"/>
      <c r="X18" s="573"/>
      <c r="Y18" s="573"/>
      <c r="Z18" s="574"/>
      <c r="AA18" s="574"/>
      <c r="AB18" s="574"/>
      <c r="AC18" s="574"/>
      <c r="AD18" s="574"/>
      <c r="AE18" s="574"/>
      <c r="AF18" s="574"/>
      <c r="AG18" s="573"/>
      <c r="AH18" s="573"/>
      <c r="AI18" s="586" t="s">
        <v>215</v>
      </c>
      <c r="AJ18" s="587"/>
      <c r="AK18" s="588"/>
      <c r="AL18" s="573"/>
      <c r="AM18" s="573"/>
      <c r="AN18" s="696"/>
    </row>
    <row r="19" spans="2:40" s="564" customFormat="1" ht="16.5" customHeight="1" thickBot="1" thickTop="1">
      <c r="B19" s="695"/>
      <c r="C19" s="573"/>
      <c r="D19" s="573"/>
      <c r="E19" s="573"/>
      <c r="F19" s="581" t="s">
        <v>250</v>
      </c>
      <c r="G19" s="700">
        <v>116.918</v>
      </c>
      <c r="H19" s="701"/>
      <c r="I19" s="573"/>
      <c r="J19" s="573"/>
      <c r="K19" s="573"/>
      <c r="L19" s="582"/>
      <c r="M19" s="589"/>
      <c r="N19" s="574"/>
      <c r="O19" s="573"/>
      <c r="P19" s="573"/>
      <c r="Q19" s="573"/>
      <c r="R19" s="573"/>
      <c r="S19" s="573"/>
      <c r="T19" s="590" t="s">
        <v>217</v>
      </c>
      <c r="U19" s="591"/>
      <c r="V19" s="592"/>
      <c r="W19" s="563"/>
      <c r="X19" s="593"/>
      <c r="Z19" s="563"/>
      <c r="AA19" s="563"/>
      <c r="AB19" s="563"/>
      <c r="AC19" s="563"/>
      <c r="AD19" s="563"/>
      <c r="AE19" s="563"/>
      <c r="AF19" s="563"/>
      <c r="AI19" s="594" t="s">
        <v>218</v>
      </c>
      <c r="AJ19" s="595"/>
      <c r="AK19" s="596"/>
      <c r="AL19" s="597"/>
      <c r="AM19" s="597"/>
      <c r="AN19" s="702"/>
    </row>
    <row r="20" spans="2:40" s="564" customFormat="1" ht="16.5" customHeight="1" thickBot="1" thickTop="1">
      <c r="B20" s="695"/>
      <c r="C20" s="573"/>
      <c r="D20" s="573"/>
      <c r="E20" s="573"/>
      <c r="F20" s="573"/>
      <c r="G20" s="598"/>
      <c r="H20" s="573"/>
      <c r="I20" s="573"/>
      <c r="J20" s="573"/>
      <c r="K20" s="573"/>
      <c r="L20" s="573"/>
      <c r="M20" s="573"/>
      <c r="N20" s="574"/>
      <c r="O20" s="573"/>
      <c r="P20" s="599"/>
      <c r="Q20" s="573"/>
      <c r="R20" s="573"/>
      <c r="S20" s="573"/>
      <c r="T20" s="600" t="s">
        <v>219</v>
      </c>
      <c r="U20" s="601"/>
      <c r="V20" s="602"/>
      <c r="W20" s="574"/>
      <c r="X20" s="573"/>
      <c r="Y20" s="573"/>
      <c r="Z20" s="574"/>
      <c r="AA20" s="574"/>
      <c r="AB20" s="574"/>
      <c r="AC20" s="574"/>
      <c r="AD20" s="574"/>
      <c r="AE20" s="574"/>
      <c r="AF20" s="574"/>
      <c r="AG20" s="573"/>
      <c r="AH20" s="573"/>
      <c r="AI20" s="603" t="s">
        <v>220</v>
      </c>
      <c r="AJ20" s="604"/>
      <c r="AK20" s="605"/>
      <c r="AL20" s="573"/>
      <c r="AM20" s="573"/>
      <c r="AN20" s="696"/>
    </row>
    <row r="21" spans="2:40" s="564" customFormat="1" ht="40.5" customHeight="1" thickBot="1" thickTop="1">
      <c r="B21" s="695"/>
      <c r="C21" s="573"/>
      <c r="D21" s="606" t="s">
        <v>221</v>
      </c>
      <c r="E21" s="703" t="s">
        <v>13</v>
      </c>
      <c r="F21" s="704" t="s">
        <v>1</v>
      </c>
      <c r="G21" s="609" t="s">
        <v>14</v>
      </c>
      <c r="H21" s="608" t="s">
        <v>15</v>
      </c>
      <c r="I21" s="705" t="s">
        <v>222</v>
      </c>
      <c r="J21" s="706" t="s">
        <v>223</v>
      </c>
      <c r="K21" s="707" t="s">
        <v>16</v>
      </c>
      <c r="L21" s="704" t="s">
        <v>17</v>
      </c>
      <c r="M21" s="708" t="s">
        <v>18</v>
      </c>
      <c r="N21" s="611" t="s">
        <v>224</v>
      </c>
      <c r="O21" s="612" t="s">
        <v>225</v>
      </c>
      <c r="P21" s="610" t="s">
        <v>54</v>
      </c>
      <c r="Q21" s="608" t="s">
        <v>226</v>
      </c>
      <c r="R21" s="708" t="s">
        <v>227</v>
      </c>
      <c r="S21" s="704" t="s">
        <v>40</v>
      </c>
      <c r="T21" s="613" t="s">
        <v>251</v>
      </c>
      <c r="U21" s="709"/>
      <c r="V21" s="710"/>
      <c r="W21" s="614" t="s">
        <v>228</v>
      </c>
      <c r="X21" s="607" t="s">
        <v>29</v>
      </c>
      <c r="Y21" s="607" t="s">
        <v>229</v>
      </c>
      <c r="Z21" s="614" t="s">
        <v>230</v>
      </c>
      <c r="AA21" s="614" t="s">
        <v>231</v>
      </c>
      <c r="AB21" s="614" t="s">
        <v>232</v>
      </c>
      <c r="AC21" s="614" t="s">
        <v>233</v>
      </c>
      <c r="AD21" s="614" t="s">
        <v>234</v>
      </c>
      <c r="AE21" s="614" t="s">
        <v>235</v>
      </c>
      <c r="AF21" s="615" t="s">
        <v>236</v>
      </c>
      <c r="AG21" s="615" t="s">
        <v>237</v>
      </c>
      <c r="AH21" s="615" t="s">
        <v>238</v>
      </c>
      <c r="AI21" s="613" t="s">
        <v>251</v>
      </c>
      <c r="AJ21" s="709"/>
      <c r="AK21" s="710"/>
      <c r="AL21" s="614" t="s">
        <v>239</v>
      </c>
      <c r="AM21" s="607" t="s">
        <v>30</v>
      </c>
      <c r="AN21" s="711"/>
    </row>
    <row r="22" spans="2:40" s="564" customFormat="1" ht="16.5" customHeight="1" hidden="1" thickTop="1">
      <c r="B22" s="695"/>
      <c r="C22" s="573"/>
      <c r="D22" s="573"/>
      <c r="E22" s="616"/>
      <c r="F22" s="617"/>
      <c r="G22" s="617"/>
      <c r="H22" s="616"/>
      <c r="I22" s="616"/>
      <c r="J22" s="618"/>
      <c r="K22" s="619"/>
      <c r="L22" s="616"/>
      <c r="M22" s="616"/>
      <c r="N22" s="620"/>
      <c r="O22" s="621"/>
      <c r="P22" s="616"/>
      <c r="Q22" s="616"/>
      <c r="R22" s="616"/>
      <c r="S22" s="616"/>
      <c r="T22" s="622"/>
      <c r="U22" s="623"/>
      <c r="V22" s="624"/>
      <c r="W22" s="625"/>
      <c r="X22" s="616"/>
      <c r="Y22" s="626"/>
      <c r="Z22" s="627"/>
      <c r="AA22" s="626"/>
      <c r="AB22" s="626"/>
      <c r="AC22" s="627"/>
      <c r="AD22" s="627"/>
      <c r="AE22" s="628"/>
      <c r="AF22" s="629"/>
      <c r="AG22" s="629"/>
      <c r="AH22" s="629"/>
      <c r="AI22" s="622"/>
      <c r="AJ22" s="623"/>
      <c r="AK22" s="624"/>
      <c r="AL22" s="627"/>
      <c r="AM22" s="626"/>
      <c r="AN22" s="696"/>
    </row>
    <row r="23" spans="2:40" s="564" customFormat="1" ht="16.5" thickBot="1" thickTop="1">
      <c r="B23" s="695"/>
      <c r="C23" s="630"/>
      <c r="D23" s="631"/>
      <c r="E23" s="632"/>
      <c r="F23" s="712"/>
      <c r="G23" s="713"/>
      <c r="H23" s="712"/>
      <c r="I23" s="712"/>
      <c r="J23" s="714"/>
      <c r="K23" s="715"/>
      <c r="L23" s="716"/>
      <c r="M23" s="717"/>
      <c r="N23" s="633"/>
      <c r="O23" s="633"/>
      <c r="P23" s="718"/>
      <c r="Q23" s="633"/>
      <c r="R23" s="633"/>
      <c r="S23" s="633"/>
      <c r="T23" s="719"/>
      <c r="U23" s="719"/>
      <c r="V23" s="659"/>
      <c r="W23" s="634"/>
      <c r="X23" s="633"/>
      <c r="Y23" s="720"/>
      <c r="Z23" s="634"/>
      <c r="AA23" s="720"/>
      <c r="AB23" s="634"/>
      <c r="AC23" s="634"/>
      <c r="AD23" s="634"/>
      <c r="AE23" s="635"/>
      <c r="AF23" s="634"/>
      <c r="AG23" s="634"/>
      <c r="AH23" s="634"/>
      <c r="AI23" s="719"/>
      <c r="AJ23" s="719"/>
      <c r="AK23" s="659"/>
      <c r="AL23" s="634"/>
      <c r="AM23" s="636"/>
      <c r="AN23" s="696"/>
    </row>
    <row r="24" spans="2:40" s="563" customFormat="1" ht="18" customHeight="1" thickBot="1">
      <c r="B24" s="721"/>
      <c r="C24" s="815" t="s">
        <v>240</v>
      </c>
      <c r="D24" s="637"/>
      <c r="E24" s="722">
        <v>28</v>
      </c>
      <c r="F24" s="531" t="s">
        <v>178</v>
      </c>
      <c r="G24" s="531">
        <v>132</v>
      </c>
      <c r="H24" s="532">
        <v>48.6</v>
      </c>
      <c r="I24" s="723" t="s">
        <v>77</v>
      </c>
      <c r="J24" s="804">
        <f>IF(I24="A",150,IF(I24="B",50,10))</f>
        <v>10</v>
      </c>
      <c r="K24" s="725">
        <f>IF(G24=220,$G$18,IF(G24=132,$G$19)*IF(H24&gt;25,H24,25)/100)</f>
        <v>56.822148000000006</v>
      </c>
      <c r="L24" s="533">
        <v>40190.040972222225</v>
      </c>
      <c r="M24" s="533">
        <v>40190.71319444444</v>
      </c>
      <c r="N24" s="638">
        <f aca="true" t="shared" si="0" ref="N24:N30">IF(F24="","",(M24-L24)*24)</f>
        <v>16.133333333185874</v>
      </c>
      <c r="O24" s="639">
        <f aca="true" t="shared" si="1" ref="O24:O30">IF(F24="","",ROUND((M24-L24)*24*60,0))</f>
        <v>968</v>
      </c>
      <c r="P24" s="726" t="s">
        <v>75</v>
      </c>
      <c r="Q24" s="640" t="str">
        <f aca="true" t="shared" si="2" ref="Q24:Q30">IF(F24="","","--")</f>
        <v>--</v>
      </c>
      <c r="R24" s="641" t="str">
        <f aca="true" t="shared" si="3" ref="R24:R30">IF(F24="","","NO")</f>
        <v>NO</v>
      </c>
      <c r="S24" s="641" t="str">
        <f aca="true" t="shared" si="4" ref="S24:S30">IF(F24="","",IF(OR(P24="P",P24="RP"),"--","NO"))</f>
        <v>NO</v>
      </c>
      <c r="T24" s="727">
        <f>IF(AND(P24="F",S24="NO"),K24*J24*IF(R24="SI",1.2,1),"--")</f>
        <v>568.22148</v>
      </c>
      <c r="U24" s="727">
        <f>IF(AND(P24="F",AF24&gt;=10),K24*J24*IF(R24="SI",1.2,1)*IF(AF24&lt;=180,ROUND(AF24/60,2),3),"--")</f>
        <v>1704.66444</v>
      </c>
      <c r="V24" s="643">
        <f>IF(AND(P24="F",AF24&gt;180),(ROUND(AF24/60,2)-3)*K24*J24*0.1*IF(R24="SI",1.2,1),"--")</f>
        <v>3784.3550568</v>
      </c>
      <c r="W24" s="728">
        <f aca="true" t="shared" si="5" ref="W24:W30">IF(F24="","",SUM(T24:V24)*IF(X24="SI",1,2))</f>
        <v>6057.2409768</v>
      </c>
      <c r="X24" s="729" t="str">
        <f aca="true" t="shared" si="6" ref="X24:X30">IF(F24="","","SI")</f>
        <v>SI</v>
      </c>
      <c r="Y24" s="730">
        <v>1</v>
      </c>
      <c r="Z24" s="731">
        <f>IF(F24="","",IF(Y24&lt;=10,48,72))</f>
        <v>48</v>
      </c>
      <c r="AA24" s="732">
        <v>0</v>
      </c>
      <c r="AB24" s="733">
        <f>IF(F24="","",0.9)</f>
        <v>0.9</v>
      </c>
      <c r="AC24" s="734">
        <f>IF(F24="","",Z24+AA24)</f>
        <v>48</v>
      </c>
      <c r="AD24" s="728">
        <f>IF(F24="","",AB24*24*Y24)</f>
        <v>21.6</v>
      </c>
      <c r="AE24" s="735">
        <f aca="true" t="shared" si="7" ref="AE24:AE30">IF(F24="","",AD24+AC24)</f>
        <v>69.6</v>
      </c>
      <c r="AF24" s="736">
        <f>AE24*60</f>
        <v>4176</v>
      </c>
      <c r="AG24" s="737">
        <f>LOG(W24)/LOG(AD24)</f>
        <v>2.8343244180592215</v>
      </c>
      <c r="AH24" s="737">
        <f>1/(2*Y24)</f>
        <v>0.5</v>
      </c>
      <c r="AI24" s="727">
        <f>IF(AND(P24="F",S24="NO"),K24*J24*IF(R24="SI",1.2,1),"--")</f>
        <v>568.22148</v>
      </c>
      <c r="AJ24" s="727">
        <f>IF(AND(P24="F",O24&gt;=10),K24*J24*IF(R24="SI",1.2,1)*IF(O24&lt;=180,ROUND(O24/60,2),3),"--")</f>
        <v>1704.66444</v>
      </c>
      <c r="AK24" s="643">
        <f>IF(AND(P24="F",O24&gt;180),(ROUND(O24/60,2)-3)*K24*J24*0.1*IF(R24="SI",1.2,1),"--")</f>
        <v>746.0748032400002</v>
      </c>
      <c r="AL24" s="728">
        <f aca="true" t="shared" si="8" ref="AL24:AL30">IF(F24="","",SUM(AI24:AK24)*IF(X24="SI",1,2))</f>
        <v>3018.9607232400003</v>
      </c>
      <c r="AM24" s="642">
        <f aca="true" t="shared" si="9" ref="AM24:AM30">IF(F24=""," ",IF(N24&lt;=AC24,0,(IF(N24&gt;AE24,AL24,(N24-AC24)^AG24*1/(1-AH24*(N24-AE24))))))</f>
        <v>0</v>
      </c>
      <c r="AN24" s="738"/>
    </row>
    <row r="25" spans="2:40" s="563" customFormat="1" ht="20.25" customHeight="1" thickBot="1">
      <c r="B25" s="721"/>
      <c r="C25" s="816"/>
      <c r="D25" s="645"/>
      <c r="E25" s="739"/>
      <c r="F25" s="723"/>
      <c r="G25" s="740"/>
      <c r="H25" s="741"/>
      <c r="I25" s="740"/>
      <c r="J25" s="742"/>
      <c r="K25" s="725"/>
      <c r="L25" s="743"/>
      <c r="M25" s="743"/>
      <c r="N25" s="646">
        <f t="shared" si="0"/>
      </c>
      <c r="O25" s="647">
        <f t="shared" si="1"/>
      </c>
      <c r="P25" s="744"/>
      <c r="Q25" s="648">
        <f t="shared" si="2"/>
      </c>
      <c r="R25" s="649">
        <f t="shared" si="3"/>
      </c>
      <c r="S25" s="649">
        <f t="shared" si="4"/>
      </c>
      <c r="T25" s="745"/>
      <c r="U25" s="745"/>
      <c r="V25" s="651"/>
      <c r="W25" s="650">
        <f t="shared" si="5"/>
      </c>
      <c r="X25" s="651">
        <f t="shared" si="6"/>
      </c>
      <c r="Y25" s="746"/>
      <c r="Z25" s="747">
        <f>IF(F25="","",IF(#REF!&lt;=#REF!,0,IF(Y25&lt;=10,48,72)))</f>
      </c>
      <c r="AA25" s="748"/>
      <c r="AB25" s="749">
        <f>IF(F25="","",IF(#REF!&lt;=#REF!,1,0.9))</f>
      </c>
      <c r="AC25" s="650">
        <f>IF(F25="","",IF(#REF!&lt;=#REF!,#REF!+AA25,Z25+AA25))</f>
      </c>
      <c r="AD25" s="750">
        <f>IF(F25="","",IF(#REF!&lt;=#REF!,AB25*Y25*24,AB25*Y25*24))</f>
      </c>
      <c r="AE25" s="650">
        <f t="shared" si="7"/>
      </c>
      <c r="AF25" s="650"/>
      <c r="AG25" s="751"/>
      <c r="AH25" s="751"/>
      <c r="AI25" s="727"/>
      <c r="AJ25" s="727"/>
      <c r="AK25" s="643"/>
      <c r="AL25" s="650">
        <f t="shared" si="8"/>
      </c>
      <c r="AM25" s="650" t="str">
        <f t="shared" si="9"/>
        <v> </v>
      </c>
      <c r="AN25" s="738"/>
    </row>
    <row r="26" spans="2:40" s="574" customFormat="1" ht="22.5" customHeight="1" thickBot="1">
      <c r="B26" s="721"/>
      <c r="C26" s="817"/>
      <c r="D26" s="653"/>
      <c r="E26" s="752"/>
      <c r="F26" s="753"/>
      <c r="G26" s="754"/>
      <c r="H26" s="755"/>
      <c r="I26" s="754"/>
      <c r="J26" s="756"/>
      <c r="K26" s="725"/>
      <c r="L26" s="757"/>
      <c r="M26" s="757"/>
      <c r="N26" s="654">
        <f t="shared" si="0"/>
      </c>
      <c r="O26" s="655">
        <f t="shared" si="1"/>
      </c>
      <c r="P26" s="758"/>
      <c r="Q26" s="656">
        <f t="shared" si="2"/>
      </c>
      <c r="R26" s="657">
        <f t="shared" si="3"/>
      </c>
      <c r="S26" s="657">
        <f t="shared" si="4"/>
      </c>
      <c r="T26" s="719"/>
      <c r="U26" s="719"/>
      <c r="V26" s="659"/>
      <c r="W26" s="658">
        <f t="shared" si="5"/>
      </c>
      <c r="X26" s="659">
        <f t="shared" si="6"/>
      </c>
      <c r="Y26" s="759"/>
      <c r="Z26" s="660">
        <f>IF(F26="","",IF(N25&lt;=AE25,0,IF(Y26&lt;=10,48,72)))</f>
      </c>
      <c r="AA26" s="760"/>
      <c r="AB26" s="749">
        <f>IF(F26="","",IF(N25&lt;=AE25,1,0.9))</f>
      </c>
      <c r="AC26" s="658">
        <f>IF(F26="","",IF(N25&lt;=AE25,N25+AA26,Z26+AA26))</f>
      </c>
      <c r="AD26" s="750">
        <f>IF(F26="","",IF(N25&lt;=AE25,AB26*Y26*24,AB26*Y26*24))</f>
      </c>
      <c r="AE26" s="658">
        <f t="shared" si="7"/>
      </c>
      <c r="AF26" s="658"/>
      <c r="AG26" s="761"/>
      <c r="AH26" s="761"/>
      <c r="AI26" s="727"/>
      <c r="AJ26" s="727"/>
      <c r="AK26" s="643"/>
      <c r="AL26" s="658">
        <f t="shared" si="8"/>
      </c>
      <c r="AM26" s="658" t="str">
        <f t="shared" si="9"/>
        <v> </v>
      </c>
      <c r="AN26" s="738"/>
    </row>
    <row r="27" spans="2:40" s="563" customFormat="1" ht="16.5" customHeight="1" thickBot="1">
      <c r="B27" s="721"/>
      <c r="C27" s="815"/>
      <c r="D27" s="637"/>
      <c r="E27" s="762"/>
      <c r="F27" s="763"/>
      <c r="G27" s="764"/>
      <c r="H27" s="765"/>
      <c r="I27" s="764"/>
      <c r="J27" s="724"/>
      <c r="K27" s="725"/>
      <c r="L27" s="766"/>
      <c r="M27" s="767"/>
      <c r="N27" s="638">
        <f t="shared" si="0"/>
      </c>
      <c r="O27" s="639">
        <f t="shared" si="1"/>
      </c>
      <c r="P27" s="726"/>
      <c r="Q27" s="640">
        <f t="shared" si="2"/>
      </c>
      <c r="R27" s="641">
        <f t="shared" si="3"/>
      </c>
      <c r="S27" s="641">
        <f t="shared" si="4"/>
      </c>
      <c r="T27" s="727"/>
      <c r="U27" s="727"/>
      <c r="V27" s="643"/>
      <c r="W27" s="728">
        <f t="shared" si="5"/>
      </c>
      <c r="X27" s="643">
        <f t="shared" si="6"/>
      </c>
      <c r="Y27" s="730"/>
      <c r="Z27" s="768">
        <f>IF(F27="","",IF(Y27&lt;=10,48,72))</f>
      </c>
      <c r="AA27" s="769"/>
      <c r="AB27" s="644">
        <f>IF(F27="","",0.9)</f>
      </c>
      <c r="AC27" s="728">
        <f>IF(F27="","",Z27+AA27)</f>
      </c>
      <c r="AD27" s="728">
        <f>IF(F27="","",AB27*24*Y27)</f>
      </c>
      <c r="AE27" s="735">
        <f t="shared" si="7"/>
      </c>
      <c r="AF27" s="736"/>
      <c r="AG27" s="737"/>
      <c r="AH27" s="737"/>
      <c r="AI27" s="727"/>
      <c r="AJ27" s="727"/>
      <c r="AK27" s="643"/>
      <c r="AL27" s="728">
        <f t="shared" si="8"/>
      </c>
      <c r="AM27" s="642" t="str">
        <f t="shared" si="9"/>
        <v> </v>
      </c>
      <c r="AN27" s="738"/>
    </row>
    <row r="28" spans="2:40" s="563" customFormat="1" ht="16.5" customHeight="1" thickBot="1">
      <c r="B28" s="721"/>
      <c r="C28" s="816"/>
      <c r="D28" s="645"/>
      <c r="E28" s="739"/>
      <c r="F28" s="723"/>
      <c r="G28" s="740"/>
      <c r="H28" s="741"/>
      <c r="I28" s="740"/>
      <c r="J28" s="742"/>
      <c r="K28" s="725"/>
      <c r="L28" s="770"/>
      <c r="M28" s="771"/>
      <c r="N28" s="646">
        <f t="shared" si="0"/>
      </c>
      <c r="O28" s="647">
        <f t="shared" si="1"/>
      </c>
      <c r="P28" s="772"/>
      <c r="Q28" s="648">
        <f t="shared" si="2"/>
      </c>
      <c r="R28" s="649">
        <f t="shared" si="3"/>
      </c>
      <c r="S28" s="649">
        <f t="shared" si="4"/>
      </c>
      <c r="T28" s="745"/>
      <c r="U28" s="745"/>
      <c r="V28" s="651"/>
      <c r="W28" s="750">
        <f t="shared" si="5"/>
      </c>
      <c r="X28" s="651">
        <f t="shared" si="6"/>
      </c>
      <c r="Y28" s="773"/>
      <c r="Z28" s="747">
        <f>IF(F28="","",IF(N27&lt;=AE27,0,IF(Y28&lt;=10,48,72)))</f>
      </c>
      <c r="AA28" s="774"/>
      <c r="AB28" s="749">
        <f>IF(F28="","",IF(N27&lt;=AE27,1,0.9))</f>
      </c>
      <c r="AC28" s="750">
        <f>IF(F28="","",IF(N27&lt;=AE27,N27+AA28,Z28+AA28))</f>
      </c>
      <c r="AD28" s="750">
        <f>IF(F28="","",IF(N27&lt;=AE27,AB28*Y28*24,AB28*Y28*24))</f>
      </c>
      <c r="AE28" s="775">
        <f t="shared" si="7"/>
      </c>
      <c r="AF28" s="776"/>
      <c r="AG28" s="777"/>
      <c r="AH28" s="777"/>
      <c r="AI28" s="727"/>
      <c r="AJ28" s="727"/>
      <c r="AK28" s="643"/>
      <c r="AL28" s="750">
        <f t="shared" si="8"/>
      </c>
      <c r="AM28" s="778" t="str">
        <f t="shared" si="9"/>
        <v> </v>
      </c>
      <c r="AN28" s="738"/>
    </row>
    <row r="29" spans="2:40" s="563" customFormat="1" ht="16.5" customHeight="1" thickBot="1">
      <c r="B29" s="721"/>
      <c r="C29" s="816"/>
      <c r="D29" s="645"/>
      <c r="E29" s="739"/>
      <c r="F29" s="723"/>
      <c r="G29" s="740"/>
      <c r="H29" s="741"/>
      <c r="I29" s="740"/>
      <c r="J29" s="742"/>
      <c r="K29" s="725"/>
      <c r="L29" s="743"/>
      <c r="M29" s="743"/>
      <c r="N29" s="646">
        <f t="shared" si="0"/>
      </c>
      <c r="O29" s="647">
        <f t="shared" si="1"/>
      </c>
      <c r="P29" s="744"/>
      <c r="Q29" s="648">
        <f t="shared" si="2"/>
      </c>
      <c r="R29" s="649">
        <f t="shared" si="3"/>
      </c>
      <c r="S29" s="649">
        <f t="shared" si="4"/>
      </c>
      <c r="T29" s="745"/>
      <c r="U29" s="745"/>
      <c r="V29" s="651"/>
      <c r="W29" s="650">
        <f t="shared" si="5"/>
      </c>
      <c r="X29" s="651">
        <f t="shared" si="6"/>
      </c>
      <c r="Y29" s="746"/>
      <c r="Z29" s="652">
        <f>IF(F29="","",IF(N28&lt;=AE28,0,IF(Y29&lt;=10,48,72)))</f>
      </c>
      <c r="AA29" s="748"/>
      <c r="AB29" s="749">
        <f>IF(F29="","",IF(N28&lt;=AE28,1,0.9))</f>
      </c>
      <c r="AC29" s="650">
        <f>IF(F29="","",IF(N28&lt;=AE28,N28+AA29,Z29+AA29))</f>
      </c>
      <c r="AD29" s="750">
        <f>IF(F29="","",IF(N28&lt;=AE28,AB29*Y29*24,AB29*Y29*24))</f>
      </c>
      <c r="AE29" s="650">
        <f t="shared" si="7"/>
      </c>
      <c r="AF29" s="650"/>
      <c r="AG29" s="751"/>
      <c r="AH29" s="751"/>
      <c r="AI29" s="727"/>
      <c r="AJ29" s="727"/>
      <c r="AK29" s="643"/>
      <c r="AL29" s="650">
        <f t="shared" si="8"/>
      </c>
      <c r="AM29" s="650" t="str">
        <f t="shared" si="9"/>
        <v> </v>
      </c>
      <c r="AN29" s="738"/>
    </row>
    <row r="30" spans="2:40" s="574" customFormat="1" ht="16.5" customHeight="1" thickBot="1">
      <c r="B30" s="721"/>
      <c r="C30" s="817"/>
      <c r="D30" s="653"/>
      <c r="E30" s="752"/>
      <c r="F30" s="753"/>
      <c r="G30" s="754"/>
      <c r="H30" s="755"/>
      <c r="I30" s="754"/>
      <c r="J30" s="756"/>
      <c r="K30" s="725"/>
      <c r="L30" s="757"/>
      <c r="M30" s="757"/>
      <c r="N30" s="654">
        <f t="shared" si="0"/>
      </c>
      <c r="O30" s="655">
        <f t="shared" si="1"/>
      </c>
      <c r="P30" s="758"/>
      <c r="Q30" s="656">
        <f t="shared" si="2"/>
      </c>
      <c r="R30" s="657">
        <f t="shared" si="3"/>
      </c>
      <c r="S30" s="657">
        <f t="shared" si="4"/>
      </c>
      <c r="T30" s="719"/>
      <c r="U30" s="719"/>
      <c r="V30" s="659"/>
      <c r="W30" s="658">
        <f t="shared" si="5"/>
      </c>
      <c r="X30" s="659">
        <f t="shared" si="6"/>
      </c>
      <c r="Y30" s="759"/>
      <c r="Z30" s="660">
        <f>IF(F30="","",IF(N29&lt;=AE29,0,IF(Y30&lt;=10,48,72)))</f>
      </c>
      <c r="AA30" s="760"/>
      <c r="AB30" s="661">
        <f>IF(F30="","",IF(N29&lt;=AE29,1,0.9))</f>
      </c>
      <c r="AC30" s="658">
        <f>IF(F30="","",IF(N29&lt;=AE29,N29+AA30,Z30+AA30))</f>
      </c>
      <c r="AD30" s="779">
        <f>IF(F30="","",IF(N29&lt;=AE29,AB30*Y30*24,AB30*Y30*24))</f>
      </c>
      <c r="AE30" s="658">
        <f t="shared" si="7"/>
      </c>
      <c r="AF30" s="658"/>
      <c r="AG30" s="761"/>
      <c r="AH30" s="761"/>
      <c r="AI30" s="727"/>
      <c r="AJ30" s="727"/>
      <c r="AK30" s="643"/>
      <c r="AL30" s="658">
        <f t="shared" si="8"/>
      </c>
      <c r="AM30" s="658" t="str">
        <f t="shared" si="9"/>
        <v> </v>
      </c>
      <c r="AN30" s="738"/>
    </row>
    <row r="31" spans="1:41" s="563" customFormat="1" ht="16.5" customHeight="1" thickBot="1">
      <c r="A31" s="564"/>
      <c r="B31" s="695"/>
      <c r="C31" s="662"/>
      <c r="D31" s="663"/>
      <c r="E31" s="664"/>
      <c r="F31" s="780"/>
      <c r="G31" s="781"/>
      <c r="H31" s="780"/>
      <c r="I31" s="782"/>
      <c r="J31" s="783"/>
      <c r="K31" s="784"/>
      <c r="L31" s="785"/>
      <c r="M31" s="785"/>
      <c r="N31" s="665"/>
      <c r="O31" s="665"/>
      <c r="P31" s="785"/>
      <c r="Q31" s="666"/>
      <c r="R31" s="665"/>
      <c r="S31" s="665"/>
      <c r="T31" s="786"/>
      <c r="U31" s="786"/>
      <c r="V31" s="787"/>
      <c r="W31" s="667"/>
      <c r="X31" s="788"/>
      <c r="Y31" s="789"/>
      <c r="Z31" s="668"/>
      <c r="AA31" s="790"/>
      <c r="AB31" s="669"/>
      <c r="AC31" s="668"/>
      <c r="AD31" s="668"/>
      <c r="AE31" s="668"/>
      <c r="AF31" s="791"/>
      <c r="AG31" s="668"/>
      <c r="AH31" s="668"/>
      <c r="AI31" s="792"/>
      <c r="AJ31" s="792"/>
      <c r="AK31" s="793"/>
      <c r="AL31" s="668"/>
      <c r="AM31" s="670"/>
      <c r="AN31" s="738"/>
      <c r="AO31" s="564"/>
    </row>
    <row r="32" spans="2:40" s="564" customFormat="1" ht="16.5" customHeight="1" thickBot="1" thickTop="1">
      <c r="B32" s="695"/>
      <c r="C32" s="573"/>
      <c r="D32" s="573"/>
      <c r="E32" s="671"/>
      <c r="F32" s="672"/>
      <c r="G32" s="673"/>
      <c r="H32" s="598"/>
      <c r="I32" s="674"/>
      <c r="J32" s="598"/>
      <c r="K32" s="675"/>
      <c r="L32" s="675"/>
      <c r="M32" s="675"/>
      <c r="N32" s="676"/>
      <c r="O32" s="675"/>
      <c r="P32" s="675"/>
      <c r="Q32" s="677"/>
      <c r="R32" s="675"/>
      <c r="S32" s="675"/>
      <c r="T32" s="678">
        <f>SUM(T22:T31)</f>
        <v>568.22148</v>
      </c>
      <c r="U32" s="678">
        <f>SUM(U22:U31)</f>
        <v>1704.66444</v>
      </c>
      <c r="V32" s="678">
        <f>SUM(V22:V31)</f>
        <v>3784.3550568</v>
      </c>
      <c r="W32" s="679"/>
      <c r="X32" s="680"/>
      <c r="Y32" s="679"/>
      <c r="Z32" s="679"/>
      <c r="AA32" s="679"/>
      <c r="AB32" s="679"/>
      <c r="AC32" s="679"/>
      <c r="AD32" s="679"/>
      <c r="AE32" s="679"/>
      <c r="AF32" s="679"/>
      <c r="AG32" s="679"/>
      <c r="AH32" s="679"/>
      <c r="AI32" s="678">
        <f>SUM(AI22:AI31)</f>
        <v>568.22148</v>
      </c>
      <c r="AJ32" s="678">
        <f>SUM(AJ22:AJ31)</f>
        <v>1704.66444</v>
      </c>
      <c r="AK32" s="678">
        <f>SUM(AK22:AK31)</f>
        <v>746.0748032400002</v>
      </c>
      <c r="AL32" s="679"/>
      <c r="AM32" s="681">
        <f>ROUND(SUM(AM22:AM31),2)</f>
        <v>0</v>
      </c>
      <c r="AN32" s="738"/>
    </row>
    <row r="33" spans="2:40" ht="13.5" thickTop="1">
      <c r="B33" s="794"/>
      <c r="C33" s="682"/>
      <c r="D33" s="682"/>
      <c r="E33" s="683" t="s">
        <v>241</v>
      </c>
      <c r="F33" s="795" t="s">
        <v>242</v>
      </c>
      <c r="AN33" s="796"/>
    </row>
    <row r="34" spans="2:40" ht="12.75">
      <c r="B34" s="794"/>
      <c r="C34" s="682"/>
      <c r="D34" s="682"/>
      <c r="E34" s="683" t="s">
        <v>243</v>
      </c>
      <c r="F34" s="795" t="s">
        <v>244</v>
      </c>
      <c r="AN34" s="796"/>
    </row>
    <row r="35" spans="2:40" ht="12.75">
      <c r="B35" s="794"/>
      <c r="C35" s="682"/>
      <c r="D35" s="682"/>
      <c r="E35" s="795" t="s">
        <v>245</v>
      </c>
      <c r="F35" s="795" t="s">
        <v>246</v>
      </c>
      <c r="AN35" s="796"/>
    </row>
    <row r="36" spans="2:40" ht="12.75">
      <c r="B36" s="794"/>
      <c r="C36" s="682"/>
      <c r="D36" s="682"/>
      <c r="E36" s="795" t="s">
        <v>247</v>
      </c>
      <c r="F36" s="795" t="s">
        <v>248</v>
      </c>
      <c r="AN36" s="796"/>
    </row>
    <row r="37" spans="2:40" s="564" customFormat="1" ht="16.5" customHeight="1" thickBot="1">
      <c r="B37" s="797"/>
      <c r="C37" s="798"/>
      <c r="D37" s="798"/>
      <c r="E37" s="799"/>
      <c r="F37" s="799"/>
      <c r="G37" s="799"/>
      <c r="H37" s="799"/>
      <c r="I37" s="799"/>
      <c r="J37" s="799"/>
      <c r="K37" s="799"/>
      <c r="L37" s="799"/>
      <c r="M37" s="799"/>
      <c r="N37" s="800"/>
      <c r="O37" s="799"/>
      <c r="P37" s="799"/>
      <c r="Q37" s="799"/>
      <c r="R37" s="799"/>
      <c r="S37" s="799"/>
      <c r="T37" s="799"/>
      <c r="U37" s="799"/>
      <c r="V37" s="799"/>
      <c r="W37" s="800"/>
      <c r="X37" s="799"/>
      <c r="Y37" s="799"/>
      <c r="Z37" s="800"/>
      <c r="AA37" s="800"/>
      <c r="AB37" s="800"/>
      <c r="AC37" s="800"/>
      <c r="AD37" s="800"/>
      <c r="AE37" s="800"/>
      <c r="AF37" s="800"/>
      <c r="AG37" s="799"/>
      <c r="AH37" s="799"/>
      <c r="AI37" s="799"/>
      <c r="AJ37" s="799"/>
      <c r="AK37" s="799"/>
      <c r="AL37" s="799"/>
      <c r="AM37" s="799"/>
      <c r="AN37" s="801"/>
    </row>
    <row r="38" spans="2:40" ht="16.5" customHeight="1" thickTop="1">
      <c r="B38" s="682"/>
      <c r="C38" s="682"/>
      <c r="D38" s="682"/>
      <c r="AN38" s="682"/>
    </row>
    <row r="39" spans="6:15" ht="15.75">
      <c r="F39" s="802"/>
      <c r="G39" s="802"/>
      <c r="H39" s="802"/>
      <c r="I39" s="802"/>
      <c r="J39" s="802"/>
      <c r="K39" s="802"/>
      <c r="L39" s="802"/>
      <c r="M39" s="802"/>
      <c r="N39" s="803"/>
      <c r="O39" s="802"/>
    </row>
    <row r="40" spans="6:15" ht="15.75">
      <c r="F40" s="802"/>
      <c r="G40" s="802"/>
      <c r="H40" s="802"/>
      <c r="I40" s="802"/>
      <c r="J40" s="802"/>
      <c r="K40" s="802"/>
      <c r="L40" s="802"/>
      <c r="M40" s="802"/>
      <c r="N40" s="803"/>
      <c r="O40" s="802"/>
    </row>
    <row r="41" spans="6:15" ht="15.75">
      <c r="F41" s="802"/>
      <c r="G41" s="802"/>
      <c r="H41" s="802"/>
      <c r="I41" s="802"/>
      <c r="J41" s="802"/>
      <c r="K41" s="802"/>
      <c r="L41" s="802"/>
      <c r="M41" s="802"/>
      <c r="N41" s="803"/>
      <c r="O41" s="802"/>
    </row>
    <row r="42" spans="6:15" ht="15.75">
      <c r="F42" s="802"/>
      <c r="G42" s="802"/>
      <c r="H42" s="802"/>
      <c r="I42" s="802"/>
      <c r="J42" s="802"/>
      <c r="K42" s="802"/>
      <c r="L42" s="802"/>
      <c r="M42" s="802"/>
      <c r="N42" s="803"/>
      <c r="O42" s="802"/>
    </row>
  </sheetData>
  <mergeCells count="2">
    <mergeCell ref="C24:C26"/>
    <mergeCell ref="C27:C3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4"/>
  <headerFooter alignWithMargins="0">
    <oddFooter>&amp;L&amp;"Times New Roman,Normal"&amp;8&amp;F-&amp;A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D45"/>
  <sheetViews>
    <sheetView zoomScale="75" zoomScaleNormal="75" workbookViewId="0" topLeftCell="A8">
      <selection activeCell="I16" sqref="I16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'TOT-0110'!B2</f>
        <v>ANEXO II al Memorandum D.T.E.E. N°         /             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'TOT-0110'!B14</f>
        <v>Desde el 01 al 31 de enero de 2010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0.408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60*'TOT-0110'!B13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70</v>
      </c>
      <c r="E19" s="421" t="s">
        <v>71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65</v>
      </c>
      <c r="D22" s="209">
        <v>216789</v>
      </c>
      <c r="E22" s="209">
        <v>2649</v>
      </c>
      <c r="F22" s="77" t="s">
        <v>100</v>
      </c>
      <c r="G22" s="79" t="s">
        <v>101</v>
      </c>
      <c r="H22" s="222">
        <v>15</v>
      </c>
      <c r="I22" s="223" t="s">
        <v>102</v>
      </c>
      <c r="J22" s="224">
        <f aca="true" t="shared" si="0" ref="J22:J40">H22*$I$16</f>
        <v>6.119999999999999</v>
      </c>
      <c r="K22" s="432">
        <v>40180.325694444444</v>
      </c>
      <c r="L22" s="432">
        <v>40180.46111111111</v>
      </c>
      <c r="M22" s="225">
        <f aca="true" t="shared" si="1" ref="M22:M40">IF(F22="","",(L22-K22)*24)</f>
        <v>3.2499999999417923</v>
      </c>
      <c r="N22" s="226">
        <f aca="true" t="shared" si="2" ref="N22:N40">IF(F22="","",ROUND((L22-K22)*24*60,0))</f>
        <v>195</v>
      </c>
      <c r="O22" s="227" t="s">
        <v>73</v>
      </c>
      <c r="P22" s="424" t="str">
        <f aca="true" t="shared" si="3" ref="P22:P40">IF(F22="","",IF(OR(O22="P",O22="RP"),"--","NO"))</f>
        <v>--</v>
      </c>
      <c r="Q22" s="425"/>
      <c r="R22" s="424" t="str">
        <f aca="true" t="shared" si="4" ref="R22:R40">IF(F22="","","NO")</f>
        <v>NO</v>
      </c>
      <c r="S22" s="105">
        <f aca="true" t="shared" si="5" ref="S22:S40">$I$17*IF(OR(O22="P",O22="RP"),0.1,1)*IF(R22="SI",1,0.1)</f>
        <v>0.6000000000000001</v>
      </c>
      <c r="T22" s="229">
        <f aca="true" t="shared" si="6" ref="T22:T40">IF(O22="P",J22*S22*ROUND(N22/60,2),"--")</f>
        <v>11.934000000000001</v>
      </c>
      <c r="U22" s="230" t="str">
        <f aca="true" t="shared" si="7" ref="U22:U40">IF(O22="RP",J22*S22*ROUND(N22/60,2)*Q22/100,"--")</f>
        <v>--</v>
      </c>
      <c r="V22" s="231" t="str">
        <f aca="true" t="shared" si="8" ref="V22:V40">IF(AND(O22="F",P22="NO"),J22*S22,"--")</f>
        <v>--</v>
      </c>
      <c r="W22" s="232" t="str">
        <f aca="true" t="shared" si="9" ref="W22:W40">IF(O22="F",J22*S22*ROUND(N22/60,2),"--")</f>
        <v>--</v>
      </c>
      <c r="X22" s="233" t="str">
        <f aca="true" t="shared" si="10" ref="X22:X40">IF(AND(O22="R",P22="NO"),J22*S22*Q22/100,"--")</f>
        <v>--</v>
      </c>
      <c r="Y22" s="234" t="str">
        <f aca="true" t="shared" si="11" ref="Y22:Y40">IF(O22="R",J22*S22*ROUND(N22/60,2)*Q22/100,"--")</f>
        <v>--</v>
      </c>
      <c r="Z22" s="235" t="str">
        <f aca="true" t="shared" si="12" ref="Z22:Z40">IF(O22="RF",J22*S22*ROUND(N22/60,2),"--")</f>
        <v>--</v>
      </c>
      <c r="AA22" s="236" t="str">
        <f aca="true" t="shared" si="13" ref="AA22:AA40">IF(O22="RR",J22*S22*ROUND(N22/60,2)*Q22/100,"--")</f>
        <v>--</v>
      </c>
      <c r="AB22" s="424" t="s">
        <v>74</v>
      </c>
      <c r="AC22" s="237">
        <f aca="true" t="shared" si="14" ref="AC22:AC40">IF(F22="","",SUM(T22:AA22)*IF(AB22="SI",1,2)*IF(AND(Q22&lt;&gt;"",O22="RF"),Q22/100,1))</f>
        <v>11.934000000000001</v>
      </c>
      <c r="AD22" s="238"/>
    </row>
    <row r="23" spans="2:30" s="1" customFormat="1" ht="16.5" customHeight="1">
      <c r="B23" s="158"/>
      <c r="C23" s="209">
        <v>66</v>
      </c>
      <c r="D23" s="209">
        <v>216791</v>
      </c>
      <c r="E23" s="209">
        <v>4418</v>
      </c>
      <c r="F23" s="77" t="s">
        <v>182</v>
      </c>
      <c r="G23" s="79" t="s">
        <v>183</v>
      </c>
      <c r="H23" s="222">
        <v>30</v>
      </c>
      <c r="I23" s="90" t="s">
        <v>102</v>
      </c>
      <c r="J23" s="224">
        <f t="shared" si="0"/>
        <v>12.239999999999998</v>
      </c>
      <c r="K23" s="432">
        <v>40180.717361111114</v>
      </c>
      <c r="L23" s="432">
        <v>40180.74166666667</v>
      </c>
      <c r="M23" s="225">
        <f t="shared" si="1"/>
        <v>0.5833333333139308</v>
      </c>
      <c r="N23" s="226">
        <f t="shared" si="2"/>
        <v>35</v>
      </c>
      <c r="O23" s="227" t="s">
        <v>75</v>
      </c>
      <c r="P23" s="424" t="str">
        <f t="shared" si="3"/>
        <v>NO</v>
      </c>
      <c r="Q23" s="425"/>
      <c r="R23" s="424" t="s">
        <v>74</v>
      </c>
      <c r="S23" s="105">
        <f t="shared" si="5"/>
        <v>60</v>
      </c>
      <c r="T23" s="229" t="str">
        <f t="shared" si="6"/>
        <v>--</v>
      </c>
      <c r="U23" s="230" t="str">
        <f t="shared" si="7"/>
        <v>--</v>
      </c>
      <c r="V23" s="231">
        <f t="shared" si="8"/>
        <v>734.3999999999999</v>
      </c>
      <c r="W23" s="232">
        <f t="shared" si="9"/>
        <v>425.9519999999999</v>
      </c>
      <c r="X23" s="233" t="str">
        <f t="shared" si="10"/>
        <v>--</v>
      </c>
      <c r="Y23" s="234" t="str">
        <f t="shared" si="11"/>
        <v>--</v>
      </c>
      <c r="Z23" s="235" t="str">
        <f t="shared" si="12"/>
        <v>--</v>
      </c>
      <c r="AA23" s="236" t="str">
        <f t="shared" si="13"/>
        <v>--</v>
      </c>
      <c r="AB23" s="424" t="s">
        <v>74</v>
      </c>
      <c r="AC23" s="237">
        <f t="shared" si="14"/>
        <v>1160.3519999999999</v>
      </c>
      <c r="AD23" s="238"/>
    </row>
    <row r="24" spans="2:30" s="1" customFormat="1" ht="16.5" customHeight="1">
      <c r="B24" s="158"/>
      <c r="C24" s="209">
        <v>67</v>
      </c>
      <c r="D24" s="209">
        <v>217074</v>
      </c>
      <c r="E24" s="209">
        <v>2404</v>
      </c>
      <c r="F24" s="77" t="s">
        <v>103</v>
      </c>
      <c r="G24" s="79" t="s">
        <v>101</v>
      </c>
      <c r="H24" s="222">
        <v>10</v>
      </c>
      <c r="I24" s="223" t="s">
        <v>102</v>
      </c>
      <c r="J24" s="224">
        <f t="shared" si="0"/>
        <v>4.08</v>
      </c>
      <c r="K24" s="432">
        <v>40182.13263888889</v>
      </c>
      <c r="L24" s="432">
        <v>40182.166666666664</v>
      </c>
      <c r="M24" s="225">
        <f t="shared" si="1"/>
        <v>0.8166666665347293</v>
      </c>
      <c r="N24" s="226">
        <f t="shared" si="2"/>
        <v>49</v>
      </c>
      <c r="O24" s="227" t="s">
        <v>75</v>
      </c>
      <c r="P24" s="424" t="str">
        <f t="shared" si="3"/>
        <v>NO</v>
      </c>
      <c r="Q24" s="425"/>
      <c r="R24" s="424" t="s">
        <v>74</v>
      </c>
      <c r="S24" s="105">
        <f t="shared" si="5"/>
        <v>60</v>
      </c>
      <c r="T24" s="229" t="str">
        <f t="shared" si="6"/>
        <v>--</v>
      </c>
      <c r="U24" s="230" t="str">
        <f t="shared" si="7"/>
        <v>--</v>
      </c>
      <c r="V24" s="231">
        <f t="shared" si="8"/>
        <v>244.8</v>
      </c>
      <c r="W24" s="232">
        <f t="shared" si="9"/>
        <v>200.736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24" t="s">
        <v>74</v>
      </c>
      <c r="AC24" s="237">
        <f t="shared" si="14"/>
        <v>445.536</v>
      </c>
      <c r="AD24" s="159"/>
    </row>
    <row r="25" spans="2:30" s="542" customFormat="1" ht="16.5" customHeight="1">
      <c r="B25" s="534"/>
      <c r="C25" s="543">
        <v>68</v>
      </c>
      <c r="D25" s="543">
        <v>217081</v>
      </c>
      <c r="E25" s="543">
        <v>2496</v>
      </c>
      <c r="F25" s="536" t="s">
        <v>104</v>
      </c>
      <c r="G25" s="535" t="s">
        <v>107</v>
      </c>
      <c r="H25" s="544">
        <v>40</v>
      </c>
      <c r="I25" s="545" t="s">
        <v>102</v>
      </c>
      <c r="J25" s="546">
        <f t="shared" si="0"/>
        <v>16.32</v>
      </c>
      <c r="K25" s="537">
        <v>40183.115277777775</v>
      </c>
      <c r="L25" s="537">
        <v>40183.180555555555</v>
      </c>
      <c r="M25" s="538">
        <f t="shared" si="1"/>
        <v>1.5666666667093523</v>
      </c>
      <c r="N25" s="547">
        <f t="shared" si="2"/>
        <v>94</v>
      </c>
      <c r="O25" s="548" t="s">
        <v>75</v>
      </c>
      <c r="P25" s="549" t="str">
        <f t="shared" si="3"/>
        <v>NO</v>
      </c>
      <c r="Q25" s="539"/>
      <c r="R25" s="549" t="s">
        <v>74</v>
      </c>
      <c r="S25" s="541">
        <f t="shared" si="5"/>
        <v>60</v>
      </c>
      <c r="T25" s="540" t="str">
        <f t="shared" si="6"/>
        <v>--</v>
      </c>
      <c r="U25" s="550" t="str">
        <f t="shared" si="7"/>
        <v>--</v>
      </c>
      <c r="V25" s="551">
        <f t="shared" si="8"/>
        <v>979.2</v>
      </c>
      <c r="W25" s="552">
        <f t="shared" si="9"/>
        <v>1537.344</v>
      </c>
      <c r="X25" s="553" t="str">
        <f t="shared" si="10"/>
        <v>--</v>
      </c>
      <c r="Y25" s="554" t="str">
        <f t="shared" si="11"/>
        <v>--</v>
      </c>
      <c r="Z25" s="555" t="str">
        <f t="shared" si="12"/>
        <v>--</v>
      </c>
      <c r="AA25" s="556" t="str">
        <f t="shared" si="13"/>
        <v>--</v>
      </c>
      <c r="AB25" s="549" t="s">
        <v>74</v>
      </c>
      <c r="AC25" s="557">
        <f t="shared" si="14"/>
        <v>2516.544</v>
      </c>
      <c r="AD25" s="558"/>
    </row>
    <row r="26" spans="2:30" s="542" customFormat="1" ht="16.5" customHeight="1">
      <c r="B26" s="534"/>
      <c r="C26" s="543" t="s">
        <v>206</v>
      </c>
      <c r="D26" s="543">
        <v>217081</v>
      </c>
      <c r="E26" s="543">
        <v>2496</v>
      </c>
      <c r="F26" s="536" t="s">
        <v>104</v>
      </c>
      <c r="G26" s="535" t="s">
        <v>107</v>
      </c>
      <c r="H26" s="544">
        <v>40</v>
      </c>
      <c r="I26" s="545" t="s">
        <v>102</v>
      </c>
      <c r="J26" s="546">
        <f>H26*$I$16</f>
        <v>16.32</v>
      </c>
      <c r="K26" s="537">
        <v>40183.180555555555</v>
      </c>
      <c r="L26" s="537">
        <v>40183.50069444445</v>
      </c>
      <c r="M26" s="538">
        <f>IF(F26="","",(L26-K26)*24)</f>
        <v>7.683333333407063</v>
      </c>
      <c r="N26" s="547">
        <f>IF(F26="","",ROUND((L26-K26)*24*60,0))</f>
        <v>461</v>
      </c>
      <c r="O26" s="548" t="s">
        <v>207</v>
      </c>
      <c r="P26" s="549" t="str">
        <f>IF(F26="","",IF(OR(O26="P",O26="RP"),"--","NO"))</f>
        <v>NO</v>
      </c>
      <c r="Q26" s="539"/>
      <c r="R26" s="549" t="s">
        <v>208</v>
      </c>
      <c r="S26" s="541">
        <f>$I$17*IF(OR(O26="P",O26="RP"),0.1,1)*IF(R26="SI",1,0.1)</f>
        <v>6</v>
      </c>
      <c r="T26" s="540" t="str">
        <f>IF(O26="P",J26*S26*ROUND(N26/60,2),"--")</f>
        <v>--</v>
      </c>
      <c r="U26" s="550" t="str">
        <f>IF(O26="RP",J26*S26*ROUND(N26/60,2)*Q26/100,"--")</f>
        <v>--</v>
      </c>
      <c r="V26" s="551" t="str">
        <f>IF(AND(O26="F",P26="NO"),J26*S26,"--")</f>
        <v>--</v>
      </c>
      <c r="W26" s="552" t="str">
        <f>IF(O26="F",J26*S26*ROUND(N26/60,2),"--")</f>
        <v>--</v>
      </c>
      <c r="X26" s="553" t="str">
        <f>IF(AND(O26="R",P26="NO"),J26*S26*Q26/100,"--")</f>
        <v>--</v>
      </c>
      <c r="Y26" s="554" t="str">
        <f>IF(O26="R",J26*S26*ROUND(N26/60,2)*Q26/100,"--")</f>
        <v>--</v>
      </c>
      <c r="Z26" s="555">
        <f>IF(O26="RF",J26*S26*ROUND(N26/60,2),"--")</f>
        <v>752.0255999999999</v>
      </c>
      <c r="AA26" s="556" t="str">
        <f>IF(O26="RR",J26*S26*ROUND(N26/60,2)*Q26/100,"--")</f>
        <v>--</v>
      </c>
      <c r="AB26" s="549" t="s">
        <v>74</v>
      </c>
      <c r="AC26" s="557">
        <f>IF(F26="","",SUM(T26:AA26)*IF(AB26="SI",1,2)*IF(AND(Q26&lt;&gt;"",O26="RF"),Q26/100,1))</f>
        <v>752.0255999999999</v>
      </c>
      <c r="AD26" s="558"/>
    </row>
    <row r="27" spans="2:30" s="1" customFormat="1" ht="16.5" customHeight="1">
      <c r="B27" s="158"/>
      <c r="C27" s="209">
        <v>69</v>
      </c>
      <c r="D27" s="209">
        <v>217084</v>
      </c>
      <c r="E27" s="209">
        <v>2329</v>
      </c>
      <c r="F27" s="77" t="s">
        <v>106</v>
      </c>
      <c r="G27" s="79" t="s">
        <v>107</v>
      </c>
      <c r="H27" s="222">
        <v>10</v>
      </c>
      <c r="I27" s="223" t="s">
        <v>108</v>
      </c>
      <c r="J27" s="224">
        <f t="shared" si="0"/>
        <v>4.08</v>
      </c>
      <c r="K27" s="432">
        <v>40183.353472222225</v>
      </c>
      <c r="L27" s="432">
        <v>40183.39097222222</v>
      </c>
      <c r="M27" s="225">
        <f t="shared" si="1"/>
        <v>0.8999999999650754</v>
      </c>
      <c r="N27" s="226">
        <f t="shared" si="2"/>
        <v>54</v>
      </c>
      <c r="O27" s="227" t="s">
        <v>73</v>
      </c>
      <c r="P27" s="424" t="str">
        <f t="shared" si="3"/>
        <v>--</v>
      </c>
      <c r="Q27" s="425"/>
      <c r="R27" s="424" t="str">
        <f t="shared" si="4"/>
        <v>NO</v>
      </c>
      <c r="S27" s="105">
        <f t="shared" si="5"/>
        <v>0.6000000000000001</v>
      </c>
      <c r="T27" s="229">
        <f t="shared" si="6"/>
        <v>2.2032000000000003</v>
      </c>
      <c r="U27" s="230" t="str">
        <f t="shared" si="7"/>
        <v>--</v>
      </c>
      <c r="V27" s="231" t="str">
        <f t="shared" si="8"/>
        <v>--</v>
      </c>
      <c r="W27" s="232" t="str">
        <f t="shared" si="9"/>
        <v>--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24" t="s">
        <v>74</v>
      </c>
      <c r="AC27" s="237">
        <f t="shared" si="14"/>
        <v>2.2032000000000003</v>
      </c>
      <c r="AD27" s="159"/>
    </row>
    <row r="28" spans="2:30" s="542" customFormat="1" ht="16.5" customHeight="1">
      <c r="B28" s="534"/>
      <c r="C28" s="543">
        <v>70</v>
      </c>
      <c r="D28" s="543">
        <v>217086</v>
      </c>
      <c r="E28" s="543">
        <v>2188</v>
      </c>
      <c r="F28" s="536" t="s">
        <v>109</v>
      </c>
      <c r="G28" s="535" t="s">
        <v>110</v>
      </c>
      <c r="H28" s="544">
        <v>5</v>
      </c>
      <c r="I28" s="545" t="s">
        <v>111</v>
      </c>
      <c r="J28" s="546">
        <f t="shared" si="0"/>
        <v>2.04</v>
      </c>
      <c r="K28" s="537">
        <v>40183.4</v>
      </c>
      <c r="L28" s="537">
        <v>40183.419444444444</v>
      </c>
      <c r="M28" s="538">
        <f t="shared" si="1"/>
        <v>0.46666666661622</v>
      </c>
      <c r="N28" s="547">
        <f t="shared" si="2"/>
        <v>28</v>
      </c>
      <c r="O28" s="548" t="s">
        <v>75</v>
      </c>
      <c r="P28" s="549" t="str">
        <f t="shared" si="3"/>
        <v>NO</v>
      </c>
      <c r="Q28" s="539"/>
      <c r="R28" s="549" t="s">
        <v>74</v>
      </c>
      <c r="S28" s="541">
        <f t="shared" si="5"/>
        <v>60</v>
      </c>
      <c r="T28" s="540" t="str">
        <f t="shared" si="6"/>
        <v>--</v>
      </c>
      <c r="U28" s="550" t="str">
        <f t="shared" si="7"/>
        <v>--</v>
      </c>
      <c r="V28" s="551">
        <f t="shared" si="8"/>
        <v>122.4</v>
      </c>
      <c r="W28" s="552">
        <f t="shared" si="9"/>
        <v>57.528</v>
      </c>
      <c r="X28" s="553" t="str">
        <f t="shared" si="10"/>
        <v>--</v>
      </c>
      <c r="Y28" s="554" t="str">
        <f t="shared" si="11"/>
        <v>--</v>
      </c>
      <c r="Z28" s="555" t="str">
        <f t="shared" si="12"/>
        <v>--</v>
      </c>
      <c r="AA28" s="556" t="str">
        <f t="shared" si="13"/>
        <v>--</v>
      </c>
      <c r="AB28" s="549" t="s">
        <v>74</v>
      </c>
      <c r="AC28" s="557">
        <f t="shared" si="14"/>
        <v>179.928</v>
      </c>
      <c r="AD28" s="558"/>
    </row>
    <row r="29" spans="2:30" s="542" customFormat="1" ht="16.5" customHeight="1">
      <c r="B29" s="534"/>
      <c r="C29" s="543" t="s">
        <v>209</v>
      </c>
      <c r="D29" s="543">
        <v>217086</v>
      </c>
      <c r="E29" s="543">
        <v>2188</v>
      </c>
      <c r="F29" s="536" t="s">
        <v>109</v>
      </c>
      <c r="G29" s="535" t="s">
        <v>110</v>
      </c>
      <c r="H29" s="544">
        <v>5</v>
      </c>
      <c r="I29" s="545" t="s">
        <v>111</v>
      </c>
      <c r="J29" s="546">
        <f>H29*$I$16</f>
        <v>2.04</v>
      </c>
      <c r="K29" s="537">
        <v>40183.419444444444</v>
      </c>
      <c r="L29" s="537">
        <v>40183.55347222222</v>
      </c>
      <c r="M29" s="538">
        <f>IF(F29="","",(L29-K29)*24)</f>
        <v>3.2166666666744277</v>
      </c>
      <c r="N29" s="547">
        <f>IF(F29="","",ROUND((L29-K29)*24*60,0))</f>
        <v>193</v>
      </c>
      <c r="O29" s="548" t="s">
        <v>207</v>
      </c>
      <c r="P29" s="549" t="str">
        <f>IF(F29="","",IF(OR(O29="P",O29="RP"),"--","NO"))</f>
        <v>NO</v>
      </c>
      <c r="Q29" s="539"/>
      <c r="R29" s="549" t="s">
        <v>74</v>
      </c>
      <c r="S29" s="541">
        <f>$I$17*IF(OR(O29="P",O29="RP"),0.1,1)*IF(R29="SI",1,0.1)</f>
        <v>60</v>
      </c>
      <c r="T29" s="540" t="str">
        <f>IF(O29="P",J29*S29*ROUND(N29/60,2),"--")</f>
        <v>--</v>
      </c>
      <c r="U29" s="550" t="str">
        <f>IF(O29="RP",J29*S29*ROUND(N29/60,2)*Q29/100,"--")</f>
        <v>--</v>
      </c>
      <c r="V29" s="551" t="str">
        <f>IF(AND(O29="F",P29="NO"),J29*S29,"--")</f>
        <v>--</v>
      </c>
      <c r="W29" s="552" t="str">
        <f>IF(O29="F",J29*S29*ROUND(N29/60,2),"--")</f>
        <v>--</v>
      </c>
      <c r="X29" s="553" t="str">
        <f>IF(AND(O29="R",P29="NO"),J29*S29*Q29/100,"--")</f>
        <v>--</v>
      </c>
      <c r="Y29" s="554" t="str">
        <f>IF(O29="R",J29*S29*ROUND(N29/60,2)*Q29/100,"--")</f>
        <v>--</v>
      </c>
      <c r="Z29" s="555">
        <f>IF(O29="RF",J29*S29*ROUND(N29/60,2),"--")</f>
        <v>394.12800000000004</v>
      </c>
      <c r="AA29" s="556" t="str">
        <f>IF(O29="RR",J29*S29*ROUND(N29/60,2)*Q29/100,"--")</f>
        <v>--</v>
      </c>
      <c r="AB29" s="549" t="s">
        <v>208</v>
      </c>
      <c r="AC29" s="557">
        <f>IF(F29="","",SUM(T29:AA29)*IF(AB29="SI",1,2)*IF(AND(Q29&lt;&gt;"",O29="RF"),Q29/100,1))</f>
        <v>788.2560000000001</v>
      </c>
      <c r="AD29" s="558"/>
    </row>
    <row r="30" spans="2:30" s="1" customFormat="1" ht="16.5" customHeight="1">
      <c r="B30" s="158"/>
      <c r="C30" s="209">
        <v>71</v>
      </c>
      <c r="D30" s="209">
        <v>217094</v>
      </c>
      <c r="E30" s="209">
        <v>4832</v>
      </c>
      <c r="F30" s="77" t="s">
        <v>184</v>
      </c>
      <c r="G30" s="79" t="s">
        <v>107</v>
      </c>
      <c r="H30" s="222">
        <v>30</v>
      </c>
      <c r="I30" s="90" t="s">
        <v>102</v>
      </c>
      <c r="J30" s="224">
        <f t="shared" si="0"/>
        <v>12.239999999999998</v>
      </c>
      <c r="K30" s="432">
        <v>40183.450694444444</v>
      </c>
      <c r="L30" s="432">
        <v>40183.486805555556</v>
      </c>
      <c r="M30" s="225">
        <f t="shared" si="1"/>
        <v>0.8666666666977108</v>
      </c>
      <c r="N30" s="226">
        <f t="shared" si="2"/>
        <v>52</v>
      </c>
      <c r="O30" s="227" t="s">
        <v>73</v>
      </c>
      <c r="P30" s="424" t="str">
        <f t="shared" si="3"/>
        <v>--</v>
      </c>
      <c r="Q30" s="425"/>
      <c r="R30" s="424" t="str">
        <f t="shared" si="4"/>
        <v>NO</v>
      </c>
      <c r="S30" s="105">
        <f t="shared" si="5"/>
        <v>0.6000000000000001</v>
      </c>
      <c r="T30" s="229">
        <f t="shared" si="6"/>
        <v>6.38928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24" t="s">
        <v>74</v>
      </c>
      <c r="AC30" s="237">
        <f t="shared" si="14"/>
        <v>6.38928</v>
      </c>
      <c r="AD30" s="159"/>
    </row>
    <row r="31" spans="2:30" s="1" customFormat="1" ht="16.5" customHeight="1">
      <c r="B31" s="158"/>
      <c r="C31" s="209">
        <v>72</v>
      </c>
      <c r="D31" s="209">
        <v>217129</v>
      </c>
      <c r="E31" s="209">
        <v>3454</v>
      </c>
      <c r="F31" s="77" t="s">
        <v>112</v>
      </c>
      <c r="G31" s="79" t="s">
        <v>105</v>
      </c>
      <c r="H31" s="222">
        <v>30</v>
      </c>
      <c r="I31" s="223" t="s">
        <v>102</v>
      </c>
      <c r="J31" s="224">
        <f t="shared" si="0"/>
        <v>12.239999999999998</v>
      </c>
      <c r="K31" s="432">
        <v>40183.8875</v>
      </c>
      <c r="L31" s="432">
        <v>40183.902083333334</v>
      </c>
      <c r="M31" s="225">
        <f t="shared" si="1"/>
        <v>0.35000000009313226</v>
      </c>
      <c r="N31" s="226">
        <f t="shared" si="2"/>
        <v>21</v>
      </c>
      <c r="O31" s="227" t="s">
        <v>75</v>
      </c>
      <c r="P31" s="424" t="str">
        <f t="shared" si="3"/>
        <v>NO</v>
      </c>
      <c r="Q31" s="425"/>
      <c r="R31" s="424" t="s">
        <v>74</v>
      </c>
      <c r="S31" s="105">
        <f t="shared" si="5"/>
        <v>60</v>
      </c>
      <c r="T31" s="229" t="str">
        <f t="shared" si="6"/>
        <v>--</v>
      </c>
      <c r="U31" s="230" t="str">
        <f t="shared" si="7"/>
        <v>--</v>
      </c>
      <c r="V31" s="231">
        <f t="shared" si="8"/>
        <v>734.3999999999999</v>
      </c>
      <c r="W31" s="232">
        <f t="shared" si="9"/>
        <v>257.03999999999996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24" t="s">
        <v>74</v>
      </c>
      <c r="AC31" s="237">
        <f t="shared" si="14"/>
        <v>991.4399999999998</v>
      </c>
      <c r="AD31" s="159"/>
    </row>
    <row r="32" spans="2:30" s="1" customFormat="1" ht="16.5" customHeight="1">
      <c r="B32" s="158"/>
      <c r="C32" s="209">
        <v>73</v>
      </c>
      <c r="D32" s="209">
        <v>217133</v>
      </c>
      <c r="E32" s="209">
        <v>4676</v>
      </c>
      <c r="F32" s="77" t="s">
        <v>185</v>
      </c>
      <c r="G32" s="79" t="s">
        <v>107</v>
      </c>
      <c r="H32" s="222">
        <v>30</v>
      </c>
      <c r="I32" s="90" t="s">
        <v>102</v>
      </c>
      <c r="J32" s="224">
        <f t="shared" si="0"/>
        <v>12.239999999999998</v>
      </c>
      <c r="K32" s="432">
        <v>40184.20416666667</v>
      </c>
      <c r="L32" s="432">
        <v>40184.231944444444</v>
      </c>
      <c r="M32" s="225">
        <f t="shared" si="1"/>
        <v>0.6666666665696539</v>
      </c>
      <c r="N32" s="226">
        <f t="shared" si="2"/>
        <v>40</v>
      </c>
      <c r="O32" s="227" t="s">
        <v>75</v>
      </c>
      <c r="P32" s="424" t="str">
        <f t="shared" si="3"/>
        <v>NO</v>
      </c>
      <c r="Q32" s="425"/>
      <c r="R32" s="424" t="s">
        <v>74</v>
      </c>
      <c r="S32" s="105">
        <f t="shared" si="5"/>
        <v>60</v>
      </c>
      <c r="T32" s="229" t="str">
        <f t="shared" si="6"/>
        <v>--</v>
      </c>
      <c r="U32" s="230" t="str">
        <f t="shared" si="7"/>
        <v>--</v>
      </c>
      <c r="V32" s="231">
        <f t="shared" si="8"/>
        <v>734.3999999999999</v>
      </c>
      <c r="W32" s="232">
        <f t="shared" si="9"/>
        <v>492.04799999999994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24" t="s">
        <v>74</v>
      </c>
      <c r="AC32" s="237">
        <f t="shared" si="14"/>
        <v>1226.4479999999999</v>
      </c>
      <c r="AD32" s="159"/>
    </row>
    <row r="33" spans="2:30" s="542" customFormat="1" ht="16.5" customHeight="1">
      <c r="B33" s="534"/>
      <c r="C33" s="543">
        <v>74</v>
      </c>
      <c r="D33" s="543">
        <v>217140</v>
      </c>
      <c r="E33" s="543">
        <v>3086</v>
      </c>
      <c r="F33" s="536" t="s">
        <v>113</v>
      </c>
      <c r="G33" s="535" t="s">
        <v>101</v>
      </c>
      <c r="H33" s="544">
        <v>10</v>
      </c>
      <c r="I33" s="545" t="s">
        <v>102</v>
      </c>
      <c r="J33" s="546">
        <f t="shared" si="0"/>
        <v>4.08</v>
      </c>
      <c r="K33" s="537">
        <v>40184.90416666667</v>
      </c>
      <c r="L33" s="537">
        <v>40184.91875</v>
      </c>
      <c r="M33" s="538">
        <f t="shared" si="1"/>
        <v>0.3499999999185093</v>
      </c>
      <c r="N33" s="547">
        <f t="shared" si="2"/>
        <v>21</v>
      </c>
      <c r="O33" s="548" t="s">
        <v>75</v>
      </c>
      <c r="P33" s="549" t="str">
        <f t="shared" si="3"/>
        <v>NO</v>
      </c>
      <c r="Q33" s="539"/>
      <c r="R33" s="549" t="s">
        <v>74</v>
      </c>
      <c r="S33" s="541">
        <f t="shared" si="5"/>
        <v>60</v>
      </c>
      <c r="T33" s="540" t="str">
        <f t="shared" si="6"/>
        <v>--</v>
      </c>
      <c r="U33" s="550" t="str">
        <f t="shared" si="7"/>
        <v>--</v>
      </c>
      <c r="V33" s="551">
        <f t="shared" si="8"/>
        <v>244.8</v>
      </c>
      <c r="W33" s="552">
        <f t="shared" si="9"/>
        <v>85.67999999999999</v>
      </c>
      <c r="X33" s="553" t="str">
        <f t="shared" si="10"/>
        <v>--</v>
      </c>
      <c r="Y33" s="554" t="str">
        <f t="shared" si="11"/>
        <v>--</v>
      </c>
      <c r="Z33" s="555" t="str">
        <f t="shared" si="12"/>
        <v>--</v>
      </c>
      <c r="AA33" s="556" t="str">
        <f t="shared" si="13"/>
        <v>--</v>
      </c>
      <c r="AB33" s="549" t="s">
        <v>74</v>
      </c>
      <c r="AC33" s="557">
        <f t="shared" si="14"/>
        <v>330.48</v>
      </c>
      <c r="AD33" s="558"/>
    </row>
    <row r="34" spans="2:30" s="542" customFormat="1" ht="16.5" customHeight="1">
      <c r="B34" s="534"/>
      <c r="C34" s="543" t="s">
        <v>210</v>
      </c>
      <c r="D34" s="543">
        <v>217140</v>
      </c>
      <c r="E34" s="543">
        <v>3086</v>
      </c>
      <c r="F34" s="536" t="s">
        <v>113</v>
      </c>
      <c r="G34" s="535" t="s">
        <v>101</v>
      </c>
      <c r="H34" s="544">
        <v>10</v>
      </c>
      <c r="I34" s="545" t="s">
        <v>102</v>
      </c>
      <c r="J34" s="546">
        <f>H34*$I$16</f>
        <v>4.08</v>
      </c>
      <c r="K34" s="537">
        <v>40184.91875</v>
      </c>
      <c r="L34" s="537">
        <v>40185.69236111111</v>
      </c>
      <c r="M34" s="538">
        <f>IF(F34="","",(L34-K34)*24)</f>
        <v>18.56666666676756</v>
      </c>
      <c r="N34" s="547">
        <f>IF(F34="","",ROUND((L34-K34)*24*60,0))</f>
        <v>1114</v>
      </c>
      <c r="O34" s="548" t="s">
        <v>207</v>
      </c>
      <c r="P34" s="549" t="str">
        <f>IF(F34="","",IF(OR(O34="P",O34="RP"),"--","NO"))</f>
        <v>NO</v>
      </c>
      <c r="Q34" s="539"/>
      <c r="R34" s="549" t="s">
        <v>208</v>
      </c>
      <c r="S34" s="541">
        <f>$I$17*IF(OR(O34="P",O34="RP"),0.1,1)*IF(R34="SI",1,0.1)</f>
        <v>6</v>
      </c>
      <c r="T34" s="540" t="str">
        <f>IF(O34="P",J34*S34*ROUND(N34/60,2),"--")</f>
        <v>--</v>
      </c>
      <c r="U34" s="550" t="str">
        <f>IF(O34="RP",J34*S34*ROUND(N34/60,2)*Q34/100,"--")</f>
        <v>--</v>
      </c>
      <c r="V34" s="551" t="str">
        <f>IF(AND(O34="F",P34="NO"),J34*S34,"--")</f>
        <v>--</v>
      </c>
      <c r="W34" s="552" t="str">
        <f>IF(O34="F",J34*S34*ROUND(N34/60,2),"--")</f>
        <v>--</v>
      </c>
      <c r="X34" s="553" t="str">
        <f>IF(AND(O34="R",P34="NO"),J34*S34*Q34/100,"--")</f>
        <v>--</v>
      </c>
      <c r="Y34" s="554" t="str">
        <f>IF(O34="R",J34*S34*ROUND(N34/60,2)*Q34/100,"--")</f>
        <v>--</v>
      </c>
      <c r="Z34" s="555">
        <f>IF(O34="RF",J34*S34*ROUND(N34/60,2),"--")</f>
        <v>454.59360000000004</v>
      </c>
      <c r="AA34" s="556" t="str">
        <f>IF(O34="RR",J34*S34*ROUND(N34/60,2)*Q34/100,"--")</f>
        <v>--</v>
      </c>
      <c r="AB34" s="549" t="s">
        <v>74</v>
      </c>
      <c r="AC34" s="557">
        <f>IF(F34="","",SUM(T34:AA34)*IF(AB34="SI",1,2)*IF(AND(Q34&lt;&gt;"",O34="RF"),Q34/100,1))</f>
        <v>454.59360000000004</v>
      </c>
      <c r="AD34" s="558"/>
    </row>
    <row r="35" spans="2:30" s="1" customFormat="1" ht="16.5" customHeight="1">
      <c r="B35" s="158"/>
      <c r="C35" s="209">
        <v>75</v>
      </c>
      <c r="D35" s="209">
        <v>217141</v>
      </c>
      <c r="E35" s="209">
        <v>2296</v>
      </c>
      <c r="F35" s="77" t="s">
        <v>114</v>
      </c>
      <c r="G35" s="79" t="s">
        <v>115</v>
      </c>
      <c r="H35" s="222">
        <v>30</v>
      </c>
      <c r="I35" s="223" t="s">
        <v>102</v>
      </c>
      <c r="J35" s="224">
        <f t="shared" si="0"/>
        <v>12.239999999999998</v>
      </c>
      <c r="K35" s="432">
        <v>40185.36597222222</v>
      </c>
      <c r="L35" s="432">
        <v>40185.385416666664</v>
      </c>
      <c r="M35" s="225">
        <f t="shared" si="1"/>
        <v>0.46666666661622</v>
      </c>
      <c r="N35" s="226">
        <f t="shared" si="2"/>
        <v>28</v>
      </c>
      <c r="O35" s="227" t="s">
        <v>73</v>
      </c>
      <c r="P35" s="424" t="str">
        <f t="shared" si="3"/>
        <v>--</v>
      </c>
      <c r="Q35" s="425"/>
      <c r="R35" s="424" t="str">
        <f t="shared" si="4"/>
        <v>NO</v>
      </c>
      <c r="S35" s="105">
        <f t="shared" si="5"/>
        <v>0.6000000000000001</v>
      </c>
      <c r="T35" s="229">
        <f t="shared" si="6"/>
        <v>3.45168</v>
      </c>
      <c r="U35" s="230" t="str">
        <f t="shared" si="7"/>
        <v>--</v>
      </c>
      <c r="V35" s="231" t="str">
        <f t="shared" si="8"/>
        <v>--</v>
      </c>
      <c r="W35" s="232" t="str">
        <f t="shared" si="9"/>
        <v>--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24" t="s">
        <v>74</v>
      </c>
      <c r="AC35" s="237">
        <f t="shared" si="14"/>
        <v>3.45168</v>
      </c>
      <c r="AD35" s="159"/>
    </row>
    <row r="36" spans="2:30" s="1" customFormat="1" ht="16.5" customHeight="1">
      <c r="B36" s="158"/>
      <c r="C36" s="209">
        <v>76</v>
      </c>
      <c r="D36" s="209">
        <v>217142</v>
      </c>
      <c r="E36" s="209">
        <v>2331</v>
      </c>
      <c r="F36" s="77" t="s">
        <v>106</v>
      </c>
      <c r="G36" s="79" t="s">
        <v>110</v>
      </c>
      <c r="H36" s="222">
        <v>15</v>
      </c>
      <c r="I36" s="223" t="s">
        <v>102</v>
      </c>
      <c r="J36" s="224">
        <f t="shared" si="0"/>
        <v>6.119999999999999</v>
      </c>
      <c r="K36" s="432">
        <v>40185.36944444444</v>
      </c>
      <c r="L36" s="432">
        <v>40185.39791666667</v>
      </c>
      <c r="M36" s="225">
        <f t="shared" si="1"/>
        <v>0.6833333334652707</v>
      </c>
      <c r="N36" s="226">
        <f t="shared" si="2"/>
        <v>41</v>
      </c>
      <c r="O36" s="227" t="s">
        <v>73</v>
      </c>
      <c r="P36" s="424" t="str">
        <f t="shared" si="3"/>
        <v>--</v>
      </c>
      <c r="Q36" s="425"/>
      <c r="R36" s="424" t="str">
        <f t="shared" si="4"/>
        <v>NO</v>
      </c>
      <c r="S36" s="105">
        <f t="shared" si="5"/>
        <v>0.6000000000000001</v>
      </c>
      <c r="T36" s="229">
        <f t="shared" si="6"/>
        <v>2.49696</v>
      </c>
      <c r="U36" s="230" t="str">
        <f t="shared" si="7"/>
        <v>--</v>
      </c>
      <c r="V36" s="231" t="str">
        <f t="shared" si="8"/>
        <v>--</v>
      </c>
      <c r="W36" s="232" t="str">
        <f t="shared" si="9"/>
        <v>--</v>
      </c>
      <c r="X36" s="233" t="str">
        <f t="shared" si="10"/>
        <v>--</v>
      </c>
      <c r="Y36" s="234" t="str">
        <f t="shared" si="11"/>
        <v>--</v>
      </c>
      <c r="Z36" s="235" t="str">
        <f t="shared" si="12"/>
        <v>--</v>
      </c>
      <c r="AA36" s="236" t="str">
        <f t="shared" si="13"/>
        <v>--</v>
      </c>
      <c r="AB36" s="424" t="s">
        <v>74</v>
      </c>
      <c r="AC36" s="237">
        <f t="shared" si="14"/>
        <v>2.49696</v>
      </c>
      <c r="AD36" s="159"/>
    </row>
    <row r="37" spans="2:30" s="1" customFormat="1" ht="16.5" customHeight="1">
      <c r="B37" s="158"/>
      <c r="C37" s="209">
        <v>77</v>
      </c>
      <c r="D37" s="209">
        <v>217145</v>
      </c>
      <c r="E37" s="209">
        <v>2404</v>
      </c>
      <c r="F37" s="77" t="s">
        <v>103</v>
      </c>
      <c r="G37" s="79" t="s">
        <v>101</v>
      </c>
      <c r="H37" s="222">
        <v>10</v>
      </c>
      <c r="I37" s="223" t="s">
        <v>102</v>
      </c>
      <c r="J37" s="224">
        <f t="shared" si="0"/>
        <v>4.08</v>
      </c>
      <c r="K37" s="432">
        <v>40186.30416666667</v>
      </c>
      <c r="L37" s="432">
        <v>40186.48263888889</v>
      </c>
      <c r="M37" s="225">
        <f t="shared" si="1"/>
        <v>4.283333333325572</v>
      </c>
      <c r="N37" s="226">
        <f t="shared" si="2"/>
        <v>257</v>
      </c>
      <c r="O37" s="227" t="s">
        <v>73</v>
      </c>
      <c r="P37" s="424" t="str">
        <f t="shared" si="3"/>
        <v>--</v>
      </c>
      <c r="Q37" s="425"/>
      <c r="R37" s="424" t="str">
        <f t="shared" si="4"/>
        <v>NO</v>
      </c>
      <c r="S37" s="105">
        <f t="shared" si="5"/>
        <v>0.6000000000000001</v>
      </c>
      <c r="T37" s="229">
        <f t="shared" si="6"/>
        <v>10.477440000000003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24" t="s">
        <v>74</v>
      </c>
      <c r="AC37" s="237">
        <f t="shared" si="14"/>
        <v>10.477440000000003</v>
      </c>
      <c r="AD37" s="159"/>
    </row>
    <row r="38" spans="2:30" s="1" customFormat="1" ht="16.5" customHeight="1">
      <c r="B38" s="158"/>
      <c r="C38" s="209">
        <v>78</v>
      </c>
      <c r="D38" s="209">
        <v>217147</v>
      </c>
      <c r="E38" s="209">
        <v>4963</v>
      </c>
      <c r="F38" s="77" t="s">
        <v>182</v>
      </c>
      <c r="G38" s="79" t="s">
        <v>107</v>
      </c>
      <c r="H38" s="222">
        <v>30</v>
      </c>
      <c r="I38" s="90" t="s">
        <v>102</v>
      </c>
      <c r="J38" s="224">
        <f t="shared" si="0"/>
        <v>12.239999999999998</v>
      </c>
      <c r="K38" s="432">
        <v>40186.39513888889</v>
      </c>
      <c r="L38" s="432">
        <v>40186.427777777775</v>
      </c>
      <c r="M38" s="225">
        <f t="shared" si="1"/>
        <v>0.7833333332673647</v>
      </c>
      <c r="N38" s="226">
        <f t="shared" si="2"/>
        <v>47</v>
      </c>
      <c r="O38" s="227" t="s">
        <v>73</v>
      </c>
      <c r="P38" s="424" t="str">
        <f t="shared" si="3"/>
        <v>--</v>
      </c>
      <c r="Q38" s="425"/>
      <c r="R38" s="424" t="str">
        <f t="shared" si="4"/>
        <v>NO</v>
      </c>
      <c r="S38" s="105">
        <f t="shared" si="5"/>
        <v>0.6000000000000001</v>
      </c>
      <c r="T38" s="229">
        <f t="shared" si="6"/>
        <v>5.72832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24" t="s">
        <v>74</v>
      </c>
      <c r="AC38" s="237">
        <f t="shared" si="14"/>
        <v>5.72832</v>
      </c>
      <c r="AD38" s="159"/>
    </row>
    <row r="39" spans="2:30" s="1" customFormat="1" ht="16.5" customHeight="1">
      <c r="B39" s="158"/>
      <c r="C39" s="209">
        <v>82</v>
      </c>
      <c r="D39" s="209">
        <v>217457</v>
      </c>
      <c r="E39" s="209">
        <v>2188</v>
      </c>
      <c r="F39" s="77" t="s">
        <v>109</v>
      </c>
      <c r="G39" s="79" t="s">
        <v>110</v>
      </c>
      <c r="H39" s="222">
        <v>5</v>
      </c>
      <c r="I39" s="223" t="s">
        <v>111</v>
      </c>
      <c r="J39" s="224">
        <f t="shared" si="0"/>
        <v>2.04</v>
      </c>
      <c r="K39" s="432">
        <v>40191.42083333333</v>
      </c>
      <c r="L39" s="432">
        <v>40191.60555555556</v>
      </c>
      <c r="M39" s="225">
        <f t="shared" si="1"/>
        <v>4.433333333465271</v>
      </c>
      <c r="N39" s="226">
        <f t="shared" si="2"/>
        <v>266</v>
      </c>
      <c r="O39" s="227" t="s">
        <v>73</v>
      </c>
      <c r="P39" s="424" t="str">
        <f t="shared" si="3"/>
        <v>--</v>
      </c>
      <c r="Q39" s="425"/>
      <c r="R39" s="424" t="str">
        <f t="shared" si="4"/>
        <v>NO</v>
      </c>
      <c r="S39" s="105">
        <f t="shared" si="5"/>
        <v>0.6000000000000001</v>
      </c>
      <c r="T39" s="229">
        <f t="shared" si="6"/>
        <v>5.422320000000001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24" t="s">
        <v>74</v>
      </c>
      <c r="AC39" s="237">
        <f t="shared" si="14"/>
        <v>5.422320000000001</v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32"/>
      <c r="L40" s="432"/>
      <c r="M40" s="225">
        <f t="shared" si="1"/>
      </c>
      <c r="N40" s="226">
        <f t="shared" si="2"/>
      </c>
      <c r="O40" s="227"/>
      <c r="P40" s="424">
        <f t="shared" si="3"/>
      </c>
      <c r="Q40" s="425">
        <f>IF(F40="","","--")</f>
      </c>
      <c r="R40" s="424">
        <f t="shared" si="4"/>
      </c>
      <c r="S40" s="105">
        <f t="shared" si="5"/>
        <v>6</v>
      </c>
      <c r="T40" s="229" t="str">
        <f t="shared" si="6"/>
        <v>--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24">
        <f>IF(F40="","","SI")</f>
      </c>
      <c r="AC40" s="237">
        <f t="shared" si="14"/>
      </c>
      <c r="AD40" s="159"/>
    </row>
    <row r="41" spans="2:30" s="1" customFormat="1" ht="16.5" customHeight="1" thickBot="1">
      <c r="B41" s="158"/>
      <c r="C41" s="318"/>
      <c r="D41" s="318"/>
      <c r="E41" s="318"/>
      <c r="F41" s="318"/>
      <c r="G41" s="318"/>
      <c r="H41" s="318"/>
      <c r="I41" s="318"/>
      <c r="J41" s="240"/>
      <c r="K41" s="408"/>
      <c r="L41" s="408"/>
      <c r="M41" s="239"/>
      <c r="N41" s="239"/>
      <c r="O41" s="318"/>
      <c r="P41" s="318"/>
      <c r="Q41" s="318"/>
      <c r="R41" s="318"/>
      <c r="S41" s="319"/>
      <c r="T41" s="320"/>
      <c r="U41" s="321"/>
      <c r="V41" s="322"/>
      <c r="W41" s="323"/>
      <c r="X41" s="324"/>
      <c r="Y41" s="325"/>
      <c r="Z41" s="326"/>
      <c r="AA41" s="327"/>
      <c r="AB41" s="318"/>
      <c r="AC41" s="241"/>
      <c r="AD41" s="159"/>
    </row>
    <row r="42" spans="2:30" s="1" customFormat="1" ht="16.5" customHeight="1" thickBot="1" thickTop="1">
      <c r="B42" s="158"/>
      <c r="C42" s="113" t="s">
        <v>55</v>
      </c>
      <c r="D42" s="436" t="s">
        <v>190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42">
        <f>SUM(T20:T41)</f>
        <v>48.1032</v>
      </c>
      <c r="U42" s="243">
        <f>SUM(U20:U41)</f>
        <v>0</v>
      </c>
      <c r="V42" s="244">
        <f>SUM(V20:V41)</f>
        <v>3794.3999999999996</v>
      </c>
      <c r="W42" s="245">
        <f>SUM(W22:W41)</f>
        <v>3056.3279999999995</v>
      </c>
      <c r="X42" s="246">
        <f>SUM(X20:X41)</f>
        <v>0</v>
      </c>
      <c r="Y42" s="246">
        <f>SUM(Y22:Y41)</f>
        <v>0</v>
      </c>
      <c r="Z42" s="247">
        <f>SUM(Z20:Z41)</f>
        <v>1600.7472000000002</v>
      </c>
      <c r="AA42" s="248">
        <f>SUM(AA22:AA41)</f>
        <v>0</v>
      </c>
      <c r="AB42" s="249"/>
      <c r="AC42" s="418">
        <f>ROUND(SUM(AC20:AC41),2)</f>
        <v>8893.71</v>
      </c>
      <c r="AD42" s="159"/>
    </row>
    <row r="43" spans="2:30" s="127" customFormat="1" ht="9.75" thickTop="1">
      <c r="B43" s="250"/>
      <c r="C43" s="129"/>
      <c r="D43" s="129"/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2"/>
      <c r="U43" s="252"/>
      <c r="V43" s="252"/>
      <c r="W43" s="252"/>
      <c r="X43" s="252"/>
      <c r="Y43" s="252"/>
      <c r="Z43" s="252"/>
      <c r="AA43" s="252"/>
      <c r="AB43" s="251"/>
      <c r="AC43" s="253"/>
      <c r="AD43" s="254"/>
    </row>
    <row r="44" spans="2:30" s="1" customFormat="1" ht="16.5" customHeight="1" thickBot="1">
      <c r="B44" s="255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7"/>
    </row>
    <row r="45" spans="2:30" ht="16.5" customHeight="1" thickTop="1"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D48"/>
  <sheetViews>
    <sheetView zoomScale="70" zoomScaleNormal="70" workbookViewId="0" topLeftCell="A13">
      <selection activeCell="I17" sqref="I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'TOT-0110'!B2</f>
        <v>ANEXO II al Memorandum D.T.E.E. N°         /             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'TOT-0110'!B14</f>
        <v>Desde el 01 al 31 de enero de 2010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0.408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60*'TOT-0110'!B13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70</v>
      </c>
      <c r="E19" s="421" t="s">
        <v>71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'T-01 (1)'!AC42</f>
        <v>8893.71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84</v>
      </c>
      <c r="D22" s="209">
        <v>217460</v>
      </c>
      <c r="E22" s="209">
        <v>4890</v>
      </c>
      <c r="F22" s="77" t="s">
        <v>186</v>
      </c>
      <c r="G22" s="79" t="s">
        <v>107</v>
      </c>
      <c r="H22" s="222">
        <v>15</v>
      </c>
      <c r="I22" s="90" t="s">
        <v>102</v>
      </c>
      <c r="J22" s="224">
        <f aca="true" t="shared" si="0" ref="J22:J42">H22*$I$16</f>
        <v>6.119999999999999</v>
      </c>
      <c r="K22" s="432">
        <v>40192.34166666667</v>
      </c>
      <c r="L22" s="432">
        <v>40192.55694444444</v>
      </c>
      <c r="M22" s="225">
        <f aca="true" t="shared" si="1" ref="M22:M42">IF(F22="","",(L22-K22)*24)</f>
        <v>5.166666666569654</v>
      </c>
      <c r="N22" s="226">
        <f aca="true" t="shared" si="2" ref="N22:N42">IF(F22="","",ROUND((L22-K22)*24*60,0))</f>
        <v>310</v>
      </c>
      <c r="O22" s="227" t="s">
        <v>73</v>
      </c>
      <c r="P22" s="424" t="str">
        <f aca="true" t="shared" si="3" ref="P22:P42">IF(F22="","",IF(OR(O22="P",O22="RP"),"--","NO"))</f>
        <v>--</v>
      </c>
      <c r="Q22" s="425"/>
      <c r="R22" s="424" t="str">
        <f aca="true" t="shared" si="4" ref="R22:R42">IF(F22="","","NO")</f>
        <v>NO</v>
      </c>
      <c r="S22" s="105">
        <f aca="true" t="shared" si="5" ref="S22:S42">$I$17*IF(OR(O22="P",O22="RP"),0.1,1)*IF(R22="SI",1,0.1)</f>
        <v>0.6000000000000001</v>
      </c>
      <c r="T22" s="229">
        <f aca="true" t="shared" si="6" ref="T22:T42">IF(O22="P",J22*S22*ROUND(N22/60,2),"--")</f>
        <v>18.98424</v>
      </c>
      <c r="U22" s="230" t="str">
        <f aca="true" t="shared" si="7" ref="U22:U42">IF(O22="RP",J22*S22*ROUND(N22/60,2)*Q22/100,"--")</f>
        <v>--</v>
      </c>
      <c r="V22" s="231" t="str">
        <f aca="true" t="shared" si="8" ref="V22:V42">IF(AND(O22="F",P22="NO"),J22*S22,"--")</f>
        <v>--</v>
      </c>
      <c r="W22" s="232" t="str">
        <f aca="true" t="shared" si="9" ref="W22:W42">IF(O22="F",J22*S22*ROUND(N22/60,2),"--")</f>
        <v>--</v>
      </c>
      <c r="X22" s="233" t="str">
        <f aca="true" t="shared" si="10" ref="X22:X42">IF(AND(O22="R",P22="NO"),J22*S22*Q22/100,"--")</f>
        <v>--</v>
      </c>
      <c r="Y22" s="234" t="str">
        <f aca="true" t="shared" si="11" ref="Y22:Y42">IF(O22="R",J22*S22*ROUND(N22/60,2)*Q22/100,"--")</f>
        <v>--</v>
      </c>
      <c r="Z22" s="235" t="str">
        <f aca="true" t="shared" si="12" ref="Z22:Z42">IF(O22="RF",J22*S22*ROUND(N22/60,2),"--")</f>
        <v>--</v>
      </c>
      <c r="AA22" s="236" t="str">
        <f aca="true" t="shared" si="13" ref="AA22:AA42">IF(O22="RR",J22*S22*ROUND(N22/60,2)*Q22/100,"--")</f>
        <v>--</v>
      </c>
      <c r="AB22" s="424" t="s">
        <v>74</v>
      </c>
      <c r="AC22" s="237">
        <f aca="true" t="shared" si="14" ref="AC22:AC42">IF(F22="","",SUM(T22:AA22)*IF(AB22="SI",1,2)*IF(AND(Q22&lt;&gt;"",O22="RF"),Q22/100,1))</f>
        <v>18.98424</v>
      </c>
      <c r="AD22" s="238"/>
    </row>
    <row r="23" spans="2:30" s="1" customFormat="1" ht="16.5" customHeight="1">
      <c r="B23" s="158"/>
      <c r="C23" s="209">
        <v>85</v>
      </c>
      <c r="D23" s="209">
        <v>217463</v>
      </c>
      <c r="E23" s="209">
        <v>4573</v>
      </c>
      <c r="F23" s="77" t="s">
        <v>106</v>
      </c>
      <c r="G23" s="79" t="s">
        <v>105</v>
      </c>
      <c r="H23" s="222">
        <v>30</v>
      </c>
      <c r="I23" s="223" t="s">
        <v>102</v>
      </c>
      <c r="J23" s="224">
        <f t="shared" si="0"/>
        <v>12.239999999999998</v>
      </c>
      <c r="K23" s="432">
        <v>40192.3625</v>
      </c>
      <c r="L23" s="432">
        <v>40192.40138888889</v>
      </c>
      <c r="M23" s="225">
        <f t="shared" si="1"/>
        <v>0.93333333323244</v>
      </c>
      <c r="N23" s="226">
        <f t="shared" si="2"/>
        <v>56</v>
      </c>
      <c r="O23" s="227" t="s">
        <v>73</v>
      </c>
      <c r="P23" s="424" t="str">
        <f t="shared" si="3"/>
        <v>--</v>
      </c>
      <c r="Q23" s="425"/>
      <c r="R23" s="424" t="str">
        <f t="shared" si="4"/>
        <v>NO</v>
      </c>
      <c r="S23" s="105">
        <f t="shared" si="5"/>
        <v>0.6000000000000001</v>
      </c>
      <c r="T23" s="229">
        <f t="shared" si="6"/>
        <v>6.82992</v>
      </c>
      <c r="U23" s="230" t="str">
        <f t="shared" si="7"/>
        <v>--</v>
      </c>
      <c r="V23" s="231" t="str">
        <f t="shared" si="8"/>
        <v>--</v>
      </c>
      <c r="W23" s="232" t="str">
        <f t="shared" si="9"/>
        <v>--</v>
      </c>
      <c r="X23" s="233" t="str">
        <f t="shared" si="10"/>
        <v>--</v>
      </c>
      <c r="Y23" s="234" t="str">
        <f t="shared" si="11"/>
        <v>--</v>
      </c>
      <c r="Z23" s="235" t="str">
        <f t="shared" si="12"/>
        <v>--</v>
      </c>
      <c r="AA23" s="236" t="str">
        <f t="shared" si="13"/>
        <v>--</v>
      </c>
      <c r="AB23" s="424" t="s">
        <v>74</v>
      </c>
      <c r="AC23" s="237">
        <f t="shared" si="14"/>
        <v>6.82992</v>
      </c>
      <c r="AD23" s="238"/>
    </row>
    <row r="24" spans="2:30" s="1" customFormat="1" ht="16.5" customHeight="1">
      <c r="B24" s="158"/>
      <c r="C24" s="209">
        <v>86</v>
      </c>
      <c r="D24" s="209">
        <v>217464</v>
      </c>
      <c r="E24" s="209">
        <v>2188</v>
      </c>
      <c r="F24" s="77" t="s">
        <v>109</v>
      </c>
      <c r="G24" s="79" t="s">
        <v>110</v>
      </c>
      <c r="H24" s="222">
        <v>5</v>
      </c>
      <c r="I24" s="223" t="s">
        <v>111</v>
      </c>
      <c r="J24" s="224">
        <f t="shared" si="0"/>
        <v>2.04</v>
      </c>
      <c r="K24" s="432">
        <v>40192.37986111111</v>
      </c>
      <c r="L24" s="432">
        <v>40192.51875</v>
      </c>
      <c r="M24" s="225">
        <f t="shared" si="1"/>
        <v>3.3333333333721384</v>
      </c>
      <c r="N24" s="226">
        <f t="shared" si="2"/>
        <v>200</v>
      </c>
      <c r="O24" s="227" t="s">
        <v>73</v>
      </c>
      <c r="P24" s="424" t="str">
        <f t="shared" si="3"/>
        <v>--</v>
      </c>
      <c r="Q24" s="425"/>
      <c r="R24" s="424" t="str">
        <f t="shared" si="4"/>
        <v>NO</v>
      </c>
      <c r="S24" s="105">
        <f t="shared" si="5"/>
        <v>0.6000000000000001</v>
      </c>
      <c r="T24" s="229">
        <f t="shared" si="6"/>
        <v>4.075920000000001</v>
      </c>
      <c r="U24" s="230" t="str">
        <f t="shared" si="7"/>
        <v>--</v>
      </c>
      <c r="V24" s="231" t="str">
        <f t="shared" si="8"/>
        <v>--</v>
      </c>
      <c r="W24" s="232" t="str">
        <f t="shared" si="9"/>
        <v>--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24" t="s">
        <v>74</v>
      </c>
      <c r="AC24" s="237">
        <f t="shared" si="14"/>
        <v>4.075920000000001</v>
      </c>
      <c r="AD24" s="159"/>
    </row>
    <row r="25" spans="2:30" s="1" customFormat="1" ht="16.5" customHeight="1">
      <c r="B25" s="158"/>
      <c r="C25" s="209">
        <v>87</v>
      </c>
      <c r="D25" s="209">
        <v>217470</v>
      </c>
      <c r="E25" s="209">
        <v>2297</v>
      </c>
      <c r="F25" s="77" t="s">
        <v>114</v>
      </c>
      <c r="G25" s="79" t="s">
        <v>117</v>
      </c>
      <c r="H25" s="222">
        <v>30</v>
      </c>
      <c r="I25" s="223" t="s">
        <v>102</v>
      </c>
      <c r="J25" s="224">
        <f t="shared" si="0"/>
        <v>12.239999999999998</v>
      </c>
      <c r="K25" s="432">
        <v>40193.35833333333</v>
      </c>
      <c r="L25" s="432">
        <v>40193.47152777778</v>
      </c>
      <c r="M25" s="225">
        <f t="shared" si="1"/>
        <v>2.716666666790843</v>
      </c>
      <c r="N25" s="226">
        <f t="shared" si="2"/>
        <v>163</v>
      </c>
      <c r="O25" s="227" t="s">
        <v>73</v>
      </c>
      <c r="P25" s="424" t="str">
        <f t="shared" si="3"/>
        <v>--</v>
      </c>
      <c r="Q25" s="425"/>
      <c r="R25" s="424" t="str">
        <f t="shared" si="4"/>
        <v>NO</v>
      </c>
      <c r="S25" s="105">
        <f t="shared" si="5"/>
        <v>0.6000000000000001</v>
      </c>
      <c r="T25" s="229">
        <f t="shared" si="6"/>
        <v>19.97568</v>
      </c>
      <c r="U25" s="230" t="str">
        <f t="shared" si="7"/>
        <v>--</v>
      </c>
      <c r="V25" s="231" t="str">
        <f t="shared" si="8"/>
        <v>--</v>
      </c>
      <c r="W25" s="232" t="str">
        <f t="shared" si="9"/>
        <v>--</v>
      </c>
      <c r="X25" s="233" t="str">
        <f t="shared" si="10"/>
        <v>--</v>
      </c>
      <c r="Y25" s="234" t="str">
        <f t="shared" si="11"/>
        <v>--</v>
      </c>
      <c r="Z25" s="235" t="str">
        <f t="shared" si="12"/>
        <v>--</v>
      </c>
      <c r="AA25" s="236" t="str">
        <f t="shared" si="13"/>
        <v>--</v>
      </c>
      <c r="AB25" s="424" t="s">
        <v>74</v>
      </c>
      <c r="AC25" s="237">
        <f t="shared" si="14"/>
        <v>19.97568</v>
      </c>
      <c r="AD25" s="159"/>
    </row>
    <row r="26" spans="2:30" s="1" customFormat="1" ht="16.5" customHeight="1">
      <c r="B26" s="158"/>
      <c r="C26" s="209">
        <v>88</v>
      </c>
      <c r="D26" s="209">
        <v>217472</v>
      </c>
      <c r="E26" s="209">
        <v>2465</v>
      </c>
      <c r="F26" s="77" t="s">
        <v>116</v>
      </c>
      <c r="G26" s="79" t="s">
        <v>107</v>
      </c>
      <c r="H26" s="222">
        <v>20</v>
      </c>
      <c r="I26" s="223" t="s">
        <v>102</v>
      </c>
      <c r="J26" s="224">
        <f t="shared" si="0"/>
        <v>8.16</v>
      </c>
      <c r="K26" s="432">
        <v>40193.444444444445</v>
      </c>
      <c r="L26" s="432">
        <v>40193.61319444444</v>
      </c>
      <c r="M26" s="225">
        <f t="shared" si="1"/>
        <v>4.049999999930151</v>
      </c>
      <c r="N26" s="226">
        <f t="shared" si="2"/>
        <v>243</v>
      </c>
      <c r="O26" s="227" t="s">
        <v>73</v>
      </c>
      <c r="P26" s="424" t="str">
        <f t="shared" si="3"/>
        <v>--</v>
      </c>
      <c r="Q26" s="425"/>
      <c r="R26" s="424" t="str">
        <f t="shared" si="4"/>
        <v>NO</v>
      </c>
      <c r="S26" s="105">
        <f t="shared" si="5"/>
        <v>0.6000000000000001</v>
      </c>
      <c r="T26" s="229">
        <f t="shared" si="6"/>
        <v>19.8288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 t="str">
        <f t="shared" si="10"/>
        <v>--</v>
      </c>
      <c r="Y26" s="234" t="str">
        <f t="shared" si="11"/>
        <v>--</v>
      </c>
      <c r="Z26" s="235" t="str">
        <f t="shared" si="12"/>
        <v>--</v>
      </c>
      <c r="AA26" s="236" t="str">
        <f t="shared" si="13"/>
        <v>--</v>
      </c>
      <c r="AB26" s="424" t="s">
        <v>74</v>
      </c>
      <c r="AC26" s="237">
        <f t="shared" si="14"/>
        <v>19.8288</v>
      </c>
      <c r="AD26" s="159"/>
    </row>
    <row r="27" spans="2:30" s="1" customFormat="1" ht="16.5" customHeight="1">
      <c r="B27" s="158"/>
      <c r="C27" s="209">
        <v>89</v>
      </c>
      <c r="D27" s="209">
        <v>217476</v>
      </c>
      <c r="E27" s="209">
        <v>2172</v>
      </c>
      <c r="F27" s="77" t="s">
        <v>113</v>
      </c>
      <c r="G27" s="79" t="s">
        <v>118</v>
      </c>
      <c r="H27" s="222">
        <v>150</v>
      </c>
      <c r="I27" s="223" t="s">
        <v>187</v>
      </c>
      <c r="J27" s="224">
        <f t="shared" si="0"/>
        <v>61.199999999999996</v>
      </c>
      <c r="K27" s="432">
        <v>40195.31180555555</v>
      </c>
      <c r="L27" s="432">
        <v>40195.62291666667</v>
      </c>
      <c r="M27" s="225">
        <f t="shared" si="1"/>
        <v>7.466666666732635</v>
      </c>
      <c r="N27" s="226">
        <f t="shared" si="2"/>
        <v>448</v>
      </c>
      <c r="O27" s="227" t="s">
        <v>73</v>
      </c>
      <c r="P27" s="424" t="str">
        <f t="shared" si="3"/>
        <v>--</v>
      </c>
      <c r="Q27" s="425"/>
      <c r="R27" s="424" t="str">
        <f t="shared" si="4"/>
        <v>NO</v>
      </c>
      <c r="S27" s="105">
        <f t="shared" si="5"/>
        <v>0.6000000000000001</v>
      </c>
      <c r="T27" s="229">
        <f t="shared" si="6"/>
        <v>274.2984</v>
      </c>
      <c r="U27" s="230" t="str">
        <f t="shared" si="7"/>
        <v>--</v>
      </c>
      <c r="V27" s="231" t="str">
        <f t="shared" si="8"/>
        <v>--</v>
      </c>
      <c r="W27" s="232" t="str">
        <f t="shared" si="9"/>
        <v>--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24" t="s">
        <v>74</v>
      </c>
      <c r="AC27" s="237">
        <f t="shared" si="14"/>
        <v>274.2984</v>
      </c>
      <c r="AD27" s="159"/>
    </row>
    <row r="28" spans="2:30" s="1" customFormat="1" ht="16.5" customHeight="1">
      <c r="B28" s="158"/>
      <c r="C28" s="209">
        <v>90</v>
      </c>
      <c r="D28" s="209">
        <v>217731</v>
      </c>
      <c r="E28" s="209">
        <v>3550</v>
      </c>
      <c r="F28" s="77" t="s">
        <v>119</v>
      </c>
      <c r="G28" s="79" t="s">
        <v>105</v>
      </c>
      <c r="H28" s="222">
        <v>40</v>
      </c>
      <c r="I28" s="223" t="s">
        <v>102</v>
      </c>
      <c r="J28" s="224">
        <f t="shared" si="0"/>
        <v>16.32</v>
      </c>
      <c r="K28" s="432">
        <v>40197.43541666667</v>
      </c>
      <c r="L28" s="432">
        <v>40197.604166666664</v>
      </c>
      <c r="M28" s="225">
        <f t="shared" si="1"/>
        <v>4.049999999930151</v>
      </c>
      <c r="N28" s="226">
        <f t="shared" si="2"/>
        <v>243</v>
      </c>
      <c r="O28" s="227" t="s">
        <v>73</v>
      </c>
      <c r="P28" s="424" t="str">
        <f t="shared" si="3"/>
        <v>--</v>
      </c>
      <c r="Q28" s="425"/>
      <c r="R28" s="424" t="str">
        <f t="shared" si="4"/>
        <v>NO</v>
      </c>
      <c r="S28" s="105">
        <f t="shared" si="5"/>
        <v>0.6000000000000001</v>
      </c>
      <c r="T28" s="229">
        <f t="shared" si="6"/>
        <v>39.6576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 t="str">
        <f t="shared" si="10"/>
        <v>--</v>
      </c>
      <c r="Y28" s="234" t="str">
        <f t="shared" si="11"/>
        <v>--</v>
      </c>
      <c r="Z28" s="235" t="str">
        <f t="shared" si="12"/>
        <v>--</v>
      </c>
      <c r="AA28" s="236" t="str">
        <f t="shared" si="13"/>
        <v>--</v>
      </c>
      <c r="AB28" s="424" t="s">
        <v>74</v>
      </c>
      <c r="AC28" s="237">
        <f t="shared" si="14"/>
        <v>39.6576</v>
      </c>
      <c r="AD28" s="159"/>
    </row>
    <row r="29" spans="2:30" s="1" customFormat="1" ht="16.5" customHeight="1">
      <c r="B29" s="158"/>
      <c r="C29" s="209">
        <v>91</v>
      </c>
      <c r="D29" s="209">
        <v>217732</v>
      </c>
      <c r="E29" s="209">
        <v>2468</v>
      </c>
      <c r="F29" s="77" t="s">
        <v>120</v>
      </c>
      <c r="G29" s="79" t="s">
        <v>107</v>
      </c>
      <c r="H29" s="222">
        <v>15</v>
      </c>
      <c r="I29" s="223" t="s">
        <v>102</v>
      </c>
      <c r="J29" s="224">
        <f t="shared" si="0"/>
        <v>6.119999999999999</v>
      </c>
      <c r="K29" s="432">
        <v>40197.49513888889</v>
      </c>
      <c r="L29" s="432">
        <v>40197.57638888889</v>
      </c>
      <c r="M29" s="225">
        <f t="shared" si="1"/>
        <v>1.9500000000698492</v>
      </c>
      <c r="N29" s="226">
        <f t="shared" si="2"/>
        <v>117</v>
      </c>
      <c r="O29" s="227" t="s">
        <v>75</v>
      </c>
      <c r="P29" s="424" t="str">
        <f t="shared" si="3"/>
        <v>NO</v>
      </c>
      <c r="Q29" s="425"/>
      <c r="R29" s="424" t="s">
        <v>74</v>
      </c>
      <c r="S29" s="105">
        <f t="shared" si="5"/>
        <v>60</v>
      </c>
      <c r="T29" s="229" t="str">
        <f t="shared" si="6"/>
        <v>--</v>
      </c>
      <c r="U29" s="230" t="str">
        <f t="shared" si="7"/>
        <v>--</v>
      </c>
      <c r="V29" s="231">
        <f t="shared" si="8"/>
        <v>367.19999999999993</v>
      </c>
      <c r="W29" s="232">
        <f t="shared" si="9"/>
        <v>716.0399999999998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24" t="s">
        <v>74</v>
      </c>
      <c r="AC29" s="237">
        <f t="shared" si="14"/>
        <v>1083.2399999999998</v>
      </c>
      <c r="AD29" s="159"/>
    </row>
    <row r="30" spans="2:30" s="1" customFormat="1" ht="16.5" customHeight="1">
      <c r="B30" s="158"/>
      <c r="C30" s="209">
        <v>92</v>
      </c>
      <c r="D30" s="209">
        <v>217741</v>
      </c>
      <c r="E30" s="209">
        <v>3550</v>
      </c>
      <c r="F30" s="77" t="s">
        <v>119</v>
      </c>
      <c r="G30" s="79" t="s">
        <v>105</v>
      </c>
      <c r="H30" s="222">
        <v>40</v>
      </c>
      <c r="I30" s="223" t="s">
        <v>102</v>
      </c>
      <c r="J30" s="224">
        <f t="shared" si="0"/>
        <v>16.32</v>
      </c>
      <c r="K30" s="432">
        <v>40198.39791666667</v>
      </c>
      <c r="L30" s="432">
        <v>40198.603472222225</v>
      </c>
      <c r="M30" s="225">
        <f t="shared" si="1"/>
        <v>4.933333333348855</v>
      </c>
      <c r="N30" s="226">
        <f t="shared" si="2"/>
        <v>296</v>
      </c>
      <c r="O30" s="227" t="s">
        <v>73</v>
      </c>
      <c r="P30" s="424" t="str">
        <f t="shared" si="3"/>
        <v>--</v>
      </c>
      <c r="Q30" s="425"/>
      <c r="R30" s="424" t="str">
        <f t="shared" si="4"/>
        <v>NO</v>
      </c>
      <c r="S30" s="105">
        <f t="shared" si="5"/>
        <v>0.6000000000000001</v>
      </c>
      <c r="T30" s="229">
        <f t="shared" si="6"/>
        <v>48.27456000000001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24" t="s">
        <v>74</v>
      </c>
      <c r="AC30" s="237">
        <f t="shared" si="14"/>
        <v>48.27456000000001</v>
      </c>
      <c r="AD30" s="159"/>
    </row>
    <row r="31" spans="2:30" s="1" customFormat="1" ht="16.5" customHeight="1">
      <c r="B31" s="158"/>
      <c r="C31" s="209">
        <v>93</v>
      </c>
      <c r="D31" s="209">
        <v>217744</v>
      </c>
      <c r="E31" s="209">
        <v>4284</v>
      </c>
      <c r="F31" s="77" t="s">
        <v>120</v>
      </c>
      <c r="G31" s="79" t="s">
        <v>105</v>
      </c>
      <c r="H31" s="222">
        <v>30</v>
      </c>
      <c r="I31" s="223" t="s">
        <v>102</v>
      </c>
      <c r="J31" s="224">
        <f t="shared" si="0"/>
        <v>12.239999999999998</v>
      </c>
      <c r="K31" s="432">
        <v>40199.23055555556</v>
      </c>
      <c r="L31" s="432">
        <v>40199.26944444444</v>
      </c>
      <c r="M31" s="225">
        <f t="shared" si="1"/>
        <v>0.93333333323244</v>
      </c>
      <c r="N31" s="226">
        <f t="shared" si="2"/>
        <v>56</v>
      </c>
      <c r="O31" s="227" t="s">
        <v>73</v>
      </c>
      <c r="P31" s="424" t="str">
        <f t="shared" si="3"/>
        <v>--</v>
      </c>
      <c r="Q31" s="425"/>
      <c r="R31" s="424" t="str">
        <f t="shared" si="4"/>
        <v>NO</v>
      </c>
      <c r="S31" s="105">
        <f t="shared" si="5"/>
        <v>0.6000000000000001</v>
      </c>
      <c r="T31" s="229">
        <f t="shared" si="6"/>
        <v>6.82992</v>
      </c>
      <c r="U31" s="230" t="str">
        <f t="shared" si="7"/>
        <v>--</v>
      </c>
      <c r="V31" s="231" t="str">
        <f t="shared" si="8"/>
        <v>--</v>
      </c>
      <c r="W31" s="232" t="str">
        <f t="shared" si="9"/>
        <v>--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24" t="s">
        <v>74</v>
      </c>
      <c r="AC31" s="237">
        <f t="shared" si="14"/>
        <v>6.82992</v>
      </c>
      <c r="AD31" s="159"/>
    </row>
    <row r="32" spans="2:30" s="1" customFormat="1" ht="16.5" customHeight="1">
      <c r="B32" s="158"/>
      <c r="C32" s="209">
        <v>94</v>
      </c>
      <c r="D32" s="209">
        <v>217745</v>
      </c>
      <c r="E32" s="209">
        <v>4420</v>
      </c>
      <c r="F32" s="77" t="s">
        <v>121</v>
      </c>
      <c r="G32" s="79" t="s">
        <v>122</v>
      </c>
      <c r="H32" s="222">
        <v>30</v>
      </c>
      <c r="I32" s="223" t="s">
        <v>102</v>
      </c>
      <c r="J32" s="224">
        <f t="shared" si="0"/>
        <v>12.239999999999998</v>
      </c>
      <c r="K32" s="432">
        <v>40199.34027777778</v>
      </c>
      <c r="L32" s="432">
        <v>40199.572916666664</v>
      </c>
      <c r="M32" s="225">
        <f t="shared" si="1"/>
        <v>5.5833333331975155</v>
      </c>
      <c r="N32" s="226">
        <f t="shared" si="2"/>
        <v>335</v>
      </c>
      <c r="O32" s="227" t="s">
        <v>73</v>
      </c>
      <c r="P32" s="424" t="str">
        <f t="shared" si="3"/>
        <v>--</v>
      </c>
      <c r="Q32" s="425"/>
      <c r="R32" s="424" t="str">
        <f t="shared" si="4"/>
        <v>NO</v>
      </c>
      <c r="S32" s="105">
        <f t="shared" si="5"/>
        <v>0.6000000000000001</v>
      </c>
      <c r="T32" s="229">
        <f t="shared" si="6"/>
        <v>40.97952</v>
      </c>
      <c r="U32" s="230" t="str">
        <f t="shared" si="7"/>
        <v>--</v>
      </c>
      <c r="V32" s="231" t="str">
        <f t="shared" si="8"/>
        <v>--</v>
      </c>
      <c r="W32" s="232" t="str">
        <f t="shared" si="9"/>
        <v>--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24" t="s">
        <v>74</v>
      </c>
      <c r="AC32" s="237">
        <f t="shared" si="14"/>
        <v>40.97952</v>
      </c>
      <c r="AD32" s="159"/>
    </row>
    <row r="33" spans="2:30" s="1" customFormat="1" ht="16.5" customHeight="1">
      <c r="B33" s="158"/>
      <c r="C33" s="209">
        <v>95</v>
      </c>
      <c r="D33" s="209">
        <v>217748</v>
      </c>
      <c r="E33" s="209">
        <v>2649</v>
      </c>
      <c r="F33" s="77" t="s">
        <v>100</v>
      </c>
      <c r="G33" s="79" t="s">
        <v>101</v>
      </c>
      <c r="H33" s="222">
        <v>15</v>
      </c>
      <c r="I33" s="223" t="s">
        <v>102</v>
      </c>
      <c r="J33" s="224">
        <f t="shared" si="0"/>
        <v>6.119999999999999</v>
      </c>
      <c r="K33" s="432">
        <v>40199.34583333333</v>
      </c>
      <c r="L33" s="432">
        <v>40199.67847222222</v>
      </c>
      <c r="M33" s="225">
        <f t="shared" si="1"/>
        <v>7.983333333337214</v>
      </c>
      <c r="N33" s="226">
        <f t="shared" si="2"/>
        <v>479</v>
      </c>
      <c r="O33" s="227" t="s">
        <v>73</v>
      </c>
      <c r="P33" s="424" t="str">
        <f t="shared" si="3"/>
        <v>--</v>
      </c>
      <c r="Q33" s="425"/>
      <c r="R33" s="424" t="str">
        <f t="shared" si="4"/>
        <v>NO</v>
      </c>
      <c r="S33" s="105">
        <f t="shared" si="5"/>
        <v>0.6000000000000001</v>
      </c>
      <c r="T33" s="229">
        <f t="shared" si="6"/>
        <v>29.302560000000003</v>
      </c>
      <c r="U33" s="230" t="str">
        <f t="shared" si="7"/>
        <v>--</v>
      </c>
      <c r="V33" s="231" t="str">
        <f t="shared" si="8"/>
        <v>--</v>
      </c>
      <c r="W33" s="232" t="str">
        <f t="shared" si="9"/>
        <v>--</v>
      </c>
      <c r="X33" s="233" t="str">
        <f t="shared" si="10"/>
        <v>--</v>
      </c>
      <c r="Y33" s="234" t="str">
        <f t="shared" si="11"/>
        <v>--</v>
      </c>
      <c r="Z33" s="235" t="str">
        <f t="shared" si="12"/>
        <v>--</v>
      </c>
      <c r="AA33" s="236" t="str">
        <f t="shared" si="13"/>
        <v>--</v>
      </c>
      <c r="AB33" s="424" t="s">
        <v>74</v>
      </c>
      <c r="AC33" s="237">
        <f t="shared" si="14"/>
        <v>29.302560000000003</v>
      </c>
      <c r="AD33" s="159"/>
    </row>
    <row r="34" spans="2:30" s="542" customFormat="1" ht="16.5" customHeight="1">
      <c r="B34" s="534"/>
      <c r="C34" s="543">
        <v>96</v>
      </c>
      <c r="D34" s="543">
        <v>217751</v>
      </c>
      <c r="E34" s="543">
        <v>2496</v>
      </c>
      <c r="F34" s="536" t="s">
        <v>104</v>
      </c>
      <c r="G34" s="535" t="s">
        <v>107</v>
      </c>
      <c r="H34" s="544">
        <v>40</v>
      </c>
      <c r="I34" s="545" t="s">
        <v>102</v>
      </c>
      <c r="J34" s="546">
        <f t="shared" si="0"/>
        <v>16.32</v>
      </c>
      <c r="K34" s="537">
        <v>40199.59652777778</v>
      </c>
      <c r="L34" s="537">
        <v>40199.64375</v>
      </c>
      <c r="M34" s="538">
        <f t="shared" si="1"/>
        <v>1.133333333360497</v>
      </c>
      <c r="N34" s="547">
        <f t="shared" si="2"/>
        <v>68</v>
      </c>
      <c r="O34" s="548" t="s">
        <v>75</v>
      </c>
      <c r="P34" s="549" t="str">
        <f t="shared" si="3"/>
        <v>NO</v>
      </c>
      <c r="Q34" s="539"/>
      <c r="R34" s="549" t="s">
        <v>74</v>
      </c>
      <c r="S34" s="541">
        <f t="shared" si="5"/>
        <v>60</v>
      </c>
      <c r="T34" s="540" t="str">
        <f t="shared" si="6"/>
        <v>--</v>
      </c>
      <c r="U34" s="550" t="str">
        <f t="shared" si="7"/>
        <v>--</v>
      </c>
      <c r="V34" s="551">
        <f t="shared" si="8"/>
        <v>979.2</v>
      </c>
      <c r="W34" s="552">
        <f t="shared" si="9"/>
        <v>1106.4959999999999</v>
      </c>
      <c r="X34" s="553" t="str">
        <f t="shared" si="10"/>
        <v>--</v>
      </c>
      <c r="Y34" s="554" t="str">
        <f t="shared" si="11"/>
        <v>--</v>
      </c>
      <c r="Z34" s="555" t="str">
        <f t="shared" si="12"/>
        <v>--</v>
      </c>
      <c r="AA34" s="556" t="str">
        <f t="shared" si="13"/>
        <v>--</v>
      </c>
      <c r="AB34" s="549" t="s">
        <v>74</v>
      </c>
      <c r="AC34" s="557">
        <f t="shared" si="14"/>
        <v>2085.696</v>
      </c>
      <c r="AD34" s="558"/>
    </row>
    <row r="35" spans="2:30" s="542" customFormat="1" ht="16.5" customHeight="1">
      <c r="B35" s="534"/>
      <c r="C35" s="543" t="s">
        <v>211</v>
      </c>
      <c r="D35" s="543">
        <v>217751</v>
      </c>
      <c r="E35" s="543">
        <v>2496</v>
      </c>
      <c r="F35" s="536" t="s">
        <v>104</v>
      </c>
      <c r="G35" s="535" t="s">
        <v>107</v>
      </c>
      <c r="H35" s="544">
        <v>40</v>
      </c>
      <c r="I35" s="545" t="s">
        <v>102</v>
      </c>
      <c r="J35" s="546">
        <f>H35*$I$16</f>
        <v>16.32</v>
      </c>
      <c r="K35" s="537">
        <v>40199.64375</v>
      </c>
      <c r="L35" s="537">
        <v>40199.888194444444</v>
      </c>
      <c r="M35" s="538">
        <f>IF(F35="","",(L35-K35)*24)</f>
        <v>5.866666666581295</v>
      </c>
      <c r="N35" s="547">
        <f>IF(F35="","",ROUND((L35-K35)*24*60,0))</f>
        <v>352</v>
      </c>
      <c r="O35" s="548" t="s">
        <v>207</v>
      </c>
      <c r="P35" s="549" t="str">
        <f>IF(F35="","",IF(OR(O35="P",O35="RP"),"--","NO"))</f>
        <v>NO</v>
      </c>
      <c r="Q35" s="539"/>
      <c r="R35" s="549" t="s">
        <v>208</v>
      </c>
      <c r="S35" s="541">
        <f>$I$17*IF(OR(O35="P",O35="RP"),0.1,1)*IF(R35="SI",1,0.1)</f>
        <v>6</v>
      </c>
      <c r="T35" s="540" t="str">
        <f>IF(O35="P",J35*S35*ROUND(N35/60,2),"--")</f>
        <v>--</v>
      </c>
      <c r="U35" s="550" t="str">
        <f>IF(O35="RP",J35*S35*ROUND(N35/60,2)*Q35/100,"--")</f>
        <v>--</v>
      </c>
      <c r="V35" s="551" t="str">
        <f>IF(AND(O35="F",P35="NO"),J35*S35,"--")</f>
        <v>--</v>
      </c>
      <c r="W35" s="552" t="str">
        <f>IF(O35="F",J35*S35*ROUND(N35/60,2),"--")</f>
        <v>--</v>
      </c>
      <c r="X35" s="553" t="str">
        <f>IF(AND(O35="R",P35="NO"),J35*S35*Q35/100,"--")</f>
        <v>--</v>
      </c>
      <c r="Y35" s="554" t="str">
        <f>IF(O35="R",J35*S35*ROUND(N35/60,2)*Q35/100,"--")</f>
        <v>--</v>
      </c>
      <c r="Z35" s="555">
        <f>IF(O35="RF",J35*S35*ROUND(N35/60,2),"--")</f>
        <v>574.7904</v>
      </c>
      <c r="AA35" s="556" t="str">
        <f>IF(O35="RR",J35*S35*ROUND(N35/60,2)*Q35/100,"--")</f>
        <v>--</v>
      </c>
      <c r="AB35" s="549" t="s">
        <v>74</v>
      </c>
      <c r="AC35" s="557">
        <f>IF(F35="","",SUM(T35:AA35)*IF(AB35="SI",1,2)*IF(AND(Q35&lt;&gt;"",O35="RF"),Q35/100,1))</f>
        <v>574.7904</v>
      </c>
      <c r="AD35" s="558"/>
    </row>
    <row r="36" spans="2:30" s="1" customFormat="1" ht="16.5" customHeight="1">
      <c r="B36" s="158"/>
      <c r="C36" s="209">
        <v>97</v>
      </c>
      <c r="D36" s="209">
        <v>217754</v>
      </c>
      <c r="E36" s="209">
        <v>2468</v>
      </c>
      <c r="F36" s="77" t="s">
        <v>120</v>
      </c>
      <c r="G36" s="79" t="s">
        <v>107</v>
      </c>
      <c r="H36" s="222">
        <v>15</v>
      </c>
      <c r="I36" s="223" t="s">
        <v>102</v>
      </c>
      <c r="J36" s="224">
        <f t="shared" si="0"/>
        <v>6.119999999999999</v>
      </c>
      <c r="K36" s="432">
        <v>40200.21944444445</v>
      </c>
      <c r="L36" s="432">
        <v>40200.26458333333</v>
      </c>
      <c r="M36" s="225">
        <f t="shared" si="1"/>
        <v>1.0833333331975155</v>
      </c>
      <c r="N36" s="226">
        <f t="shared" si="2"/>
        <v>65</v>
      </c>
      <c r="O36" s="227" t="s">
        <v>73</v>
      </c>
      <c r="P36" s="424" t="str">
        <f t="shared" si="3"/>
        <v>--</v>
      </c>
      <c r="Q36" s="425"/>
      <c r="R36" s="424" t="str">
        <f t="shared" si="4"/>
        <v>NO</v>
      </c>
      <c r="S36" s="105">
        <f t="shared" si="5"/>
        <v>0.6000000000000001</v>
      </c>
      <c r="T36" s="229">
        <f t="shared" si="6"/>
        <v>3.9657600000000004</v>
      </c>
      <c r="U36" s="230" t="str">
        <f t="shared" si="7"/>
        <v>--</v>
      </c>
      <c r="V36" s="231" t="str">
        <f t="shared" si="8"/>
        <v>--</v>
      </c>
      <c r="W36" s="232" t="str">
        <f t="shared" si="9"/>
        <v>--</v>
      </c>
      <c r="X36" s="233" t="str">
        <f t="shared" si="10"/>
        <v>--</v>
      </c>
      <c r="Y36" s="234" t="str">
        <f t="shared" si="11"/>
        <v>--</v>
      </c>
      <c r="Z36" s="235" t="str">
        <f t="shared" si="12"/>
        <v>--</v>
      </c>
      <c r="AA36" s="236" t="str">
        <f t="shared" si="13"/>
        <v>--</v>
      </c>
      <c r="AB36" s="424" t="s">
        <v>74</v>
      </c>
      <c r="AC36" s="237">
        <f t="shared" si="14"/>
        <v>3.9657600000000004</v>
      </c>
      <c r="AD36" s="159"/>
    </row>
    <row r="37" spans="2:30" s="1" customFormat="1" ht="16.5" customHeight="1">
      <c r="B37" s="158"/>
      <c r="C37" s="209">
        <v>98</v>
      </c>
      <c r="D37" s="209">
        <v>217756</v>
      </c>
      <c r="E37" s="209">
        <v>3086</v>
      </c>
      <c r="F37" s="77" t="s">
        <v>113</v>
      </c>
      <c r="G37" s="79" t="s">
        <v>101</v>
      </c>
      <c r="H37" s="222">
        <v>10</v>
      </c>
      <c r="I37" s="223" t="s">
        <v>102</v>
      </c>
      <c r="J37" s="224">
        <f t="shared" si="0"/>
        <v>4.08</v>
      </c>
      <c r="K37" s="432">
        <v>40200.302777777775</v>
      </c>
      <c r="L37" s="432">
        <v>40200.36736111111</v>
      </c>
      <c r="M37" s="225">
        <f t="shared" si="1"/>
        <v>1.5499999999883585</v>
      </c>
      <c r="N37" s="226">
        <f t="shared" si="2"/>
        <v>93</v>
      </c>
      <c r="O37" s="227" t="s">
        <v>73</v>
      </c>
      <c r="P37" s="424" t="str">
        <f t="shared" si="3"/>
        <v>--</v>
      </c>
      <c r="Q37" s="425"/>
      <c r="R37" s="424" t="str">
        <f t="shared" si="4"/>
        <v>NO</v>
      </c>
      <c r="S37" s="105">
        <f t="shared" si="5"/>
        <v>0.6000000000000001</v>
      </c>
      <c r="T37" s="229">
        <f t="shared" si="6"/>
        <v>3.794400000000001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24" t="s">
        <v>74</v>
      </c>
      <c r="AC37" s="237">
        <f t="shared" si="14"/>
        <v>3.794400000000001</v>
      </c>
      <c r="AD37" s="159"/>
    </row>
    <row r="38" spans="2:30" s="1" customFormat="1" ht="16.5" customHeight="1">
      <c r="B38" s="158"/>
      <c r="C38" s="209">
        <v>99</v>
      </c>
      <c r="D38" s="209">
        <v>217758</v>
      </c>
      <c r="E38" s="209">
        <v>2329</v>
      </c>
      <c r="F38" s="77" t="s">
        <v>106</v>
      </c>
      <c r="G38" s="79" t="s">
        <v>107</v>
      </c>
      <c r="H38" s="222">
        <v>10</v>
      </c>
      <c r="I38" s="223" t="s">
        <v>108</v>
      </c>
      <c r="J38" s="224">
        <f t="shared" si="0"/>
        <v>4.08</v>
      </c>
      <c r="K38" s="432">
        <v>40200.38125</v>
      </c>
      <c r="L38" s="432">
        <v>40200.39375</v>
      </c>
      <c r="M38" s="225">
        <f t="shared" si="1"/>
        <v>0.3000000001047738</v>
      </c>
      <c r="N38" s="226">
        <f t="shared" si="2"/>
        <v>18</v>
      </c>
      <c r="O38" s="227" t="s">
        <v>73</v>
      </c>
      <c r="P38" s="424" t="str">
        <f t="shared" si="3"/>
        <v>--</v>
      </c>
      <c r="Q38" s="425"/>
      <c r="R38" s="424" t="str">
        <f t="shared" si="4"/>
        <v>NO</v>
      </c>
      <c r="S38" s="105">
        <f t="shared" si="5"/>
        <v>0.6000000000000001</v>
      </c>
      <c r="T38" s="229">
        <f t="shared" si="6"/>
        <v>0.7344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24" t="s">
        <v>74</v>
      </c>
      <c r="AC38" s="237">
        <f t="shared" si="14"/>
        <v>0.7344</v>
      </c>
      <c r="AD38" s="159"/>
    </row>
    <row r="39" spans="2:30" s="1" customFormat="1" ht="16.5" customHeight="1">
      <c r="B39" s="158"/>
      <c r="C39" s="209">
        <v>100</v>
      </c>
      <c r="D39" s="209">
        <v>217892</v>
      </c>
      <c r="E39" s="209">
        <v>2431</v>
      </c>
      <c r="F39" s="77" t="s">
        <v>123</v>
      </c>
      <c r="G39" s="79" t="s">
        <v>110</v>
      </c>
      <c r="H39" s="222">
        <v>40</v>
      </c>
      <c r="I39" s="223" t="s">
        <v>108</v>
      </c>
      <c r="J39" s="224">
        <f t="shared" si="0"/>
        <v>16.32</v>
      </c>
      <c r="K39" s="432">
        <v>40203.21666666667</v>
      </c>
      <c r="L39" s="432">
        <v>40203.27013888889</v>
      </c>
      <c r="M39" s="225">
        <f t="shared" si="1"/>
        <v>1.2833333333255723</v>
      </c>
      <c r="N39" s="226">
        <f t="shared" si="2"/>
        <v>77</v>
      </c>
      <c r="O39" s="227" t="s">
        <v>73</v>
      </c>
      <c r="P39" s="424" t="str">
        <f t="shared" si="3"/>
        <v>--</v>
      </c>
      <c r="Q39" s="425"/>
      <c r="R39" s="424" t="str">
        <f t="shared" si="4"/>
        <v>NO</v>
      </c>
      <c r="S39" s="105">
        <f t="shared" si="5"/>
        <v>0.6000000000000001</v>
      </c>
      <c r="T39" s="229">
        <f t="shared" si="6"/>
        <v>12.533760000000003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24" t="s">
        <v>74</v>
      </c>
      <c r="AC39" s="237">
        <f t="shared" si="14"/>
        <v>12.533760000000003</v>
      </c>
      <c r="AD39" s="159"/>
    </row>
    <row r="40" spans="2:30" s="1" customFormat="1" ht="16.5" customHeight="1">
      <c r="B40" s="158"/>
      <c r="C40" s="209">
        <v>101</v>
      </c>
      <c r="D40" s="209">
        <v>217895</v>
      </c>
      <c r="E40" s="209">
        <v>2430</v>
      </c>
      <c r="F40" s="77" t="s">
        <v>123</v>
      </c>
      <c r="G40" s="79" t="s">
        <v>105</v>
      </c>
      <c r="H40" s="222">
        <v>15</v>
      </c>
      <c r="I40" s="223" t="s">
        <v>102</v>
      </c>
      <c r="J40" s="224">
        <f t="shared" si="0"/>
        <v>6.119999999999999</v>
      </c>
      <c r="K40" s="432">
        <v>40204.20972222222</v>
      </c>
      <c r="L40" s="432">
        <v>40204.245833333334</v>
      </c>
      <c r="M40" s="225">
        <f t="shared" si="1"/>
        <v>0.8666666666977108</v>
      </c>
      <c r="N40" s="226">
        <f t="shared" si="2"/>
        <v>52</v>
      </c>
      <c r="O40" s="227" t="s">
        <v>73</v>
      </c>
      <c r="P40" s="424" t="str">
        <f t="shared" si="3"/>
        <v>--</v>
      </c>
      <c r="Q40" s="425"/>
      <c r="R40" s="424" t="str">
        <f t="shared" si="4"/>
        <v>NO</v>
      </c>
      <c r="S40" s="105">
        <f t="shared" si="5"/>
        <v>0.6000000000000001</v>
      </c>
      <c r="T40" s="229">
        <f t="shared" si="6"/>
        <v>3.19464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24" t="s">
        <v>74</v>
      </c>
      <c r="AC40" s="237">
        <f t="shared" si="14"/>
        <v>3.19464</v>
      </c>
      <c r="AD40" s="159"/>
    </row>
    <row r="41" spans="2:30" s="1" customFormat="1" ht="16.5" customHeight="1">
      <c r="B41" s="158"/>
      <c r="C41" s="209">
        <v>102</v>
      </c>
      <c r="D41" s="209">
        <v>217897</v>
      </c>
      <c r="E41" s="209">
        <v>2488</v>
      </c>
      <c r="F41" s="77" t="s">
        <v>124</v>
      </c>
      <c r="G41" s="79" t="s">
        <v>107</v>
      </c>
      <c r="H41" s="222">
        <v>15</v>
      </c>
      <c r="I41" s="223" t="s">
        <v>102</v>
      </c>
      <c r="J41" s="224">
        <f t="shared" si="0"/>
        <v>6.119999999999999</v>
      </c>
      <c r="K41" s="432">
        <v>40204.325694444444</v>
      </c>
      <c r="L41" s="432">
        <v>40204.33819444444</v>
      </c>
      <c r="M41" s="225">
        <f t="shared" si="1"/>
        <v>0.2999999999301508</v>
      </c>
      <c r="N41" s="226">
        <f t="shared" si="2"/>
        <v>18</v>
      </c>
      <c r="O41" s="227" t="s">
        <v>75</v>
      </c>
      <c r="P41" s="424" t="str">
        <f t="shared" si="3"/>
        <v>NO</v>
      </c>
      <c r="Q41" s="425"/>
      <c r="R41" s="424" t="s">
        <v>74</v>
      </c>
      <c r="S41" s="105">
        <f t="shared" si="5"/>
        <v>60</v>
      </c>
      <c r="T41" s="229" t="str">
        <f t="shared" si="6"/>
        <v>--</v>
      </c>
      <c r="U41" s="230" t="str">
        <f t="shared" si="7"/>
        <v>--</v>
      </c>
      <c r="V41" s="231">
        <f t="shared" si="8"/>
        <v>367.19999999999993</v>
      </c>
      <c r="W41" s="232">
        <f t="shared" si="9"/>
        <v>110.15999999999998</v>
      </c>
      <c r="X41" s="233" t="str">
        <f t="shared" si="10"/>
        <v>--</v>
      </c>
      <c r="Y41" s="234" t="str">
        <f t="shared" si="11"/>
        <v>--</v>
      </c>
      <c r="Z41" s="235" t="str">
        <f t="shared" si="12"/>
        <v>--</v>
      </c>
      <c r="AA41" s="236" t="str">
        <f t="shared" si="13"/>
        <v>--</v>
      </c>
      <c r="AB41" s="424" t="s">
        <v>74</v>
      </c>
      <c r="AC41" s="237">
        <f t="shared" si="14"/>
        <v>477.3599999999999</v>
      </c>
      <c r="AD41" s="159"/>
    </row>
    <row r="42" spans="2:30" s="1" customFormat="1" ht="16.5" customHeight="1">
      <c r="B42" s="158"/>
      <c r="C42" s="209">
        <v>103</v>
      </c>
      <c r="D42" s="209">
        <v>217905</v>
      </c>
      <c r="E42" s="209">
        <v>2488</v>
      </c>
      <c r="F42" s="77" t="s">
        <v>124</v>
      </c>
      <c r="G42" s="79" t="s">
        <v>107</v>
      </c>
      <c r="H42" s="222">
        <v>15</v>
      </c>
      <c r="I42" s="223" t="s">
        <v>102</v>
      </c>
      <c r="J42" s="224">
        <f t="shared" si="0"/>
        <v>6.119999999999999</v>
      </c>
      <c r="K42" s="432">
        <v>40205.25555555556</v>
      </c>
      <c r="L42" s="432">
        <v>40205.27847222222</v>
      </c>
      <c r="M42" s="225">
        <f t="shared" si="1"/>
        <v>0.5499999998719431</v>
      </c>
      <c r="N42" s="226">
        <f t="shared" si="2"/>
        <v>33</v>
      </c>
      <c r="O42" s="227" t="s">
        <v>73</v>
      </c>
      <c r="P42" s="424" t="str">
        <f t="shared" si="3"/>
        <v>--</v>
      </c>
      <c r="Q42" s="425"/>
      <c r="R42" s="424" t="str">
        <f t="shared" si="4"/>
        <v>NO</v>
      </c>
      <c r="S42" s="105">
        <f t="shared" si="5"/>
        <v>0.6000000000000001</v>
      </c>
      <c r="T42" s="229">
        <f t="shared" si="6"/>
        <v>2.0196</v>
      </c>
      <c r="U42" s="230" t="str">
        <f t="shared" si="7"/>
        <v>--</v>
      </c>
      <c r="V42" s="231" t="str">
        <f t="shared" si="8"/>
        <v>--</v>
      </c>
      <c r="W42" s="232" t="str">
        <f t="shared" si="9"/>
        <v>--</v>
      </c>
      <c r="X42" s="233" t="str">
        <f t="shared" si="10"/>
        <v>--</v>
      </c>
      <c r="Y42" s="234" t="str">
        <f t="shared" si="11"/>
        <v>--</v>
      </c>
      <c r="Z42" s="235" t="str">
        <f t="shared" si="12"/>
        <v>--</v>
      </c>
      <c r="AA42" s="236" t="str">
        <f t="shared" si="13"/>
        <v>--</v>
      </c>
      <c r="AB42" s="424" t="s">
        <v>74</v>
      </c>
      <c r="AC42" s="237">
        <f t="shared" si="14"/>
        <v>2.0196</v>
      </c>
      <c r="AD42" s="159"/>
    </row>
    <row r="43" spans="2:30" s="1" customFormat="1" ht="16.5" customHeight="1" thickBot="1">
      <c r="B43" s="158"/>
      <c r="C43" s="318"/>
      <c r="D43" s="318"/>
      <c r="E43" s="318"/>
      <c r="F43" s="318"/>
      <c r="G43" s="318"/>
      <c r="H43" s="318"/>
      <c r="I43" s="318"/>
      <c r="J43" s="240"/>
      <c r="K43" s="408"/>
      <c r="L43" s="408"/>
      <c r="M43" s="239"/>
      <c r="N43" s="239"/>
      <c r="O43" s="318"/>
      <c r="P43" s="318"/>
      <c r="Q43" s="318"/>
      <c r="R43" s="318"/>
      <c r="S43" s="319"/>
      <c r="T43" s="320"/>
      <c r="U43" s="321"/>
      <c r="V43" s="322"/>
      <c r="W43" s="323"/>
      <c r="X43" s="324"/>
      <c r="Y43" s="325"/>
      <c r="Z43" s="326"/>
      <c r="AA43" s="327"/>
      <c r="AB43" s="318"/>
      <c r="AC43" s="241"/>
      <c r="AD43" s="159"/>
    </row>
    <row r="44" spans="2:30" s="1" customFormat="1" ht="16.5" customHeight="1" thickBot="1" thickTop="1">
      <c r="B44" s="158"/>
      <c r="C44" s="113" t="s">
        <v>55</v>
      </c>
      <c r="D44" s="436" t="s">
        <v>190</v>
      </c>
      <c r="E44" s="129"/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42">
        <f>SUM(T20:T43)</f>
        <v>535.2796800000002</v>
      </c>
      <c r="U44" s="243">
        <f>SUM(U20:U43)</f>
        <v>0</v>
      </c>
      <c r="V44" s="244">
        <f>SUM(V20:V43)</f>
        <v>1713.6</v>
      </c>
      <c r="W44" s="245">
        <f>SUM(W22:W43)</f>
        <v>1932.6959999999997</v>
      </c>
      <c r="X44" s="246">
        <f>SUM(X20:X43)</f>
        <v>0</v>
      </c>
      <c r="Y44" s="246">
        <f>SUM(Y22:Y43)</f>
        <v>0</v>
      </c>
      <c r="Z44" s="247">
        <f>SUM(Z20:Z43)</f>
        <v>574.7904</v>
      </c>
      <c r="AA44" s="248">
        <f>SUM(AA22:AA43)</f>
        <v>0</v>
      </c>
      <c r="AB44" s="249"/>
      <c r="AC44" s="418">
        <f>ROUND(SUM(AC20:AC43),2)</f>
        <v>13650.08</v>
      </c>
      <c r="AD44" s="159"/>
    </row>
    <row r="45" spans="2:30" s="127" customFormat="1" ht="9.75" thickTop="1">
      <c r="B45" s="250"/>
      <c r="C45" s="129"/>
      <c r="D45" s="129"/>
      <c r="E45" s="129"/>
      <c r="F45" s="130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  <c r="U45" s="252"/>
      <c r="V45" s="252"/>
      <c r="W45" s="252"/>
      <c r="X45" s="252"/>
      <c r="Y45" s="252"/>
      <c r="Z45" s="252"/>
      <c r="AA45" s="252"/>
      <c r="AB45" s="251"/>
      <c r="AC45" s="253"/>
      <c r="AD45" s="254"/>
    </row>
    <row r="46" spans="2:30" s="1" customFormat="1" ht="16.5" customHeight="1" thickBot="1"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</row>
    <row r="47" spans="2:30" ht="16.5" customHeight="1" thickTop="1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9"/>
    </row>
    <row r="48" ht="16.5" customHeight="1">
      <c r="F48" s="43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D46"/>
  <sheetViews>
    <sheetView zoomScale="70" zoomScaleNormal="70" workbookViewId="0" topLeftCell="A13">
      <selection activeCell="I17" sqref="I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'TOT-0110'!B2</f>
        <v>ANEXO II al Memorandum D.T.E.E. N°         /             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'TOT-0110'!B14</f>
        <v>Desde el 01 al 31 de enero de 2010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0.408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60*'TOT-0110'!B13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70</v>
      </c>
      <c r="E19" s="421" t="s">
        <v>71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'T-01 (2)'!AC44</f>
        <v>13650.08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104</v>
      </c>
      <c r="D22" s="209">
        <v>217906</v>
      </c>
      <c r="E22" s="209">
        <v>2489</v>
      </c>
      <c r="F22" s="77" t="s">
        <v>124</v>
      </c>
      <c r="G22" s="79" t="s">
        <v>105</v>
      </c>
      <c r="H22" s="222">
        <v>15</v>
      </c>
      <c r="I22" s="223" t="s">
        <v>102</v>
      </c>
      <c r="J22" s="224">
        <f aca="true" t="shared" si="0" ref="J22:J41">H22*$I$16</f>
        <v>6.119999999999999</v>
      </c>
      <c r="K22" s="432">
        <v>40205.302777777775</v>
      </c>
      <c r="L22" s="432">
        <v>40205.32708333333</v>
      </c>
      <c r="M22" s="225">
        <f aca="true" t="shared" si="1" ref="M22:M41">IF(F22="","",(L22-K22)*24)</f>
        <v>0.5833333333139308</v>
      </c>
      <c r="N22" s="226">
        <f aca="true" t="shared" si="2" ref="N22:N41">IF(F22="","",ROUND((L22-K22)*24*60,0))</f>
        <v>35</v>
      </c>
      <c r="O22" s="227" t="s">
        <v>73</v>
      </c>
      <c r="P22" s="424" t="str">
        <f aca="true" t="shared" si="3" ref="P22:P41">IF(F22="","",IF(OR(O22="P",O22="RP"),"--","NO"))</f>
        <v>--</v>
      </c>
      <c r="Q22" s="425"/>
      <c r="R22" s="424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9">
        <f aca="true" t="shared" si="6" ref="T22:T41">IF(O22="P",J22*S22*ROUND(N22/60,2),"--")</f>
        <v>2.12976</v>
      </c>
      <c r="U22" s="230" t="str">
        <f aca="true" t="shared" si="7" ref="U22:U41">IF(O22="RP",J22*S22*ROUND(N22/60,2)*Q22/100,"--")</f>
        <v>--</v>
      </c>
      <c r="V22" s="231" t="str">
        <f aca="true" t="shared" si="8" ref="V22:V41">IF(AND(O22="F",P22="NO"),J22*S22,"--")</f>
        <v>--</v>
      </c>
      <c r="W22" s="232" t="str">
        <f aca="true" t="shared" si="9" ref="W22:W41">IF(O22="F",J22*S22*ROUND(N22/60,2),"--")</f>
        <v>--</v>
      </c>
      <c r="X22" s="233" t="str">
        <f aca="true" t="shared" si="10" ref="X22:X41">IF(AND(O22="R",P22="NO"),J22*S22*Q22/100,"--")</f>
        <v>--</v>
      </c>
      <c r="Y22" s="234" t="str">
        <f aca="true" t="shared" si="11" ref="Y22:Y41">IF(O22="R",J22*S22*ROUND(N22/60,2)*Q22/100,"--")</f>
        <v>--</v>
      </c>
      <c r="Z22" s="235" t="str">
        <f aca="true" t="shared" si="12" ref="Z22:Z41">IF(O22="RF",J22*S22*ROUND(N22/60,2),"--")</f>
        <v>--</v>
      </c>
      <c r="AA22" s="236" t="str">
        <f aca="true" t="shared" si="13" ref="AA22:AA41">IF(O22="RR",J22*S22*ROUND(N22/60,2)*Q22/100,"--")</f>
        <v>--</v>
      </c>
      <c r="AB22" s="424" t="s">
        <v>74</v>
      </c>
      <c r="AC22" s="237">
        <f aca="true" t="shared" si="14" ref="AC22:AC41">IF(F22="","",SUM(T22:AA22)*IF(AB22="SI",1,2)*IF(AND(Q22&lt;&gt;"",O22="RF"),Q22/100,1))</f>
        <v>2.12976</v>
      </c>
      <c r="AD22" s="238"/>
    </row>
    <row r="23" spans="2:30" s="1" customFormat="1" ht="16.5" customHeight="1">
      <c r="B23" s="158"/>
      <c r="C23" s="209">
        <v>105</v>
      </c>
      <c r="D23" s="209">
        <v>217910</v>
      </c>
      <c r="E23" s="209">
        <v>2246</v>
      </c>
      <c r="F23" s="77" t="s">
        <v>125</v>
      </c>
      <c r="G23" s="79" t="s">
        <v>107</v>
      </c>
      <c r="H23" s="222">
        <v>15</v>
      </c>
      <c r="I23" s="223" t="s">
        <v>102</v>
      </c>
      <c r="J23" s="224">
        <f t="shared" si="0"/>
        <v>6.119999999999999</v>
      </c>
      <c r="K23" s="432">
        <v>40205.69861111111</v>
      </c>
      <c r="L23" s="432">
        <v>40205.74930555555</v>
      </c>
      <c r="M23" s="225">
        <f t="shared" si="1"/>
        <v>1.21666666661622</v>
      </c>
      <c r="N23" s="226">
        <f t="shared" si="2"/>
        <v>73</v>
      </c>
      <c r="O23" s="227" t="s">
        <v>126</v>
      </c>
      <c r="P23" s="424" t="str">
        <f t="shared" si="3"/>
        <v>NO</v>
      </c>
      <c r="Q23" s="425">
        <v>40</v>
      </c>
      <c r="R23" s="424" t="str">
        <f t="shared" si="4"/>
        <v>NO</v>
      </c>
      <c r="S23" s="105">
        <f t="shared" si="5"/>
        <v>6</v>
      </c>
      <c r="T23" s="229" t="str">
        <f t="shared" si="6"/>
        <v>--</v>
      </c>
      <c r="U23" s="230" t="str">
        <f t="shared" si="7"/>
        <v>--</v>
      </c>
      <c r="V23" s="231" t="str">
        <f t="shared" si="8"/>
        <v>--</v>
      </c>
      <c r="W23" s="232" t="str">
        <f t="shared" si="9"/>
        <v>--</v>
      </c>
      <c r="X23" s="233">
        <f t="shared" si="10"/>
        <v>14.687999999999999</v>
      </c>
      <c r="Y23" s="234">
        <f t="shared" si="11"/>
        <v>17.91936</v>
      </c>
      <c r="Z23" s="235" t="str">
        <f t="shared" si="12"/>
        <v>--</v>
      </c>
      <c r="AA23" s="236" t="str">
        <f t="shared" si="13"/>
        <v>--</v>
      </c>
      <c r="AB23" s="424" t="s">
        <v>74</v>
      </c>
      <c r="AC23" s="237">
        <f t="shared" si="14"/>
        <v>32.60736</v>
      </c>
      <c r="AD23" s="238"/>
    </row>
    <row r="24" spans="2:30" s="1" customFormat="1" ht="16.5" customHeight="1">
      <c r="B24" s="158"/>
      <c r="C24" s="209">
        <v>106</v>
      </c>
      <c r="D24" s="209">
        <v>217913</v>
      </c>
      <c r="E24" s="209">
        <v>3727</v>
      </c>
      <c r="F24" s="77" t="s">
        <v>127</v>
      </c>
      <c r="G24" s="79" t="s">
        <v>110</v>
      </c>
      <c r="H24" s="222">
        <v>30</v>
      </c>
      <c r="I24" s="223" t="s">
        <v>102</v>
      </c>
      <c r="J24" s="224">
        <f t="shared" si="0"/>
        <v>12.239999999999998</v>
      </c>
      <c r="K24" s="432">
        <v>40207.260416666664</v>
      </c>
      <c r="L24" s="432">
        <v>40207.36666666667</v>
      </c>
      <c r="M24" s="225">
        <f t="shared" si="1"/>
        <v>2.550000000104774</v>
      </c>
      <c r="N24" s="226">
        <f t="shared" si="2"/>
        <v>153</v>
      </c>
      <c r="O24" s="227" t="s">
        <v>73</v>
      </c>
      <c r="P24" s="424" t="str">
        <f t="shared" si="3"/>
        <v>--</v>
      </c>
      <c r="Q24" s="425"/>
      <c r="R24" s="424" t="str">
        <f t="shared" si="4"/>
        <v>NO</v>
      </c>
      <c r="S24" s="105">
        <f t="shared" si="5"/>
        <v>0.6000000000000001</v>
      </c>
      <c r="T24" s="229">
        <f t="shared" si="6"/>
        <v>18.7272</v>
      </c>
      <c r="U24" s="230" t="str">
        <f t="shared" si="7"/>
        <v>--</v>
      </c>
      <c r="V24" s="231" t="str">
        <f t="shared" si="8"/>
        <v>--</v>
      </c>
      <c r="W24" s="232" t="str">
        <f t="shared" si="9"/>
        <v>--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24" t="s">
        <v>74</v>
      </c>
      <c r="AC24" s="237">
        <f t="shared" si="14"/>
        <v>18.7272</v>
      </c>
      <c r="AD24" s="159"/>
    </row>
    <row r="25" spans="2:30" s="1" customFormat="1" ht="16.5" customHeight="1">
      <c r="B25" s="158"/>
      <c r="C25" s="209">
        <v>107</v>
      </c>
      <c r="D25" s="209">
        <v>217916</v>
      </c>
      <c r="E25" s="209">
        <v>3086</v>
      </c>
      <c r="F25" s="77" t="s">
        <v>113</v>
      </c>
      <c r="G25" s="79" t="s">
        <v>101</v>
      </c>
      <c r="H25" s="222">
        <v>10</v>
      </c>
      <c r="I25" s="223" t="s">
        <v>102</v>
      </c>
      <c r="J25" s="224">
        <f t="shared" si="0"/>
        <v>4.08</v>
      </c>
      <c r="K25" s="432">
        <v>40207.268055555556</v>
      </c>
      <c r="L25" s="432">
        <v>40207.5875</v>
      </c>
      <c r="M25" s="225">
        <f t="shared" si="1"/>
        <v>7.666666666686069</v>
      </c>
      <c r="N25" s="226">
        <f t="shared" si="2"/>
        <v>460</v>
      </c>
      <c r="O25" s="227" t="s">
        <v>73</v>
      </c>
      <c r="P25" s="424" t="str">
        <f t="shared" si="3"/>
        <v>--</v>
      </c>
      <c r="Q25" s="425"/>
      <c r="R25" s="424" t="str">
        <f t="shared" si="4"/>
        <v>NO</v>
      </c>
      <c r="S25" s="105">
        <f t="shared" si="5"/>
        <v>0.6000000000000001</v>
      </c>
      <c r="T25" s="229">
        <f t="shared" si="6"/>
        <v>18.776160000000004</v>
      </c>
      <c r="U25" s="230" t="str">
        <f t="shared" si="7"/>
        <v>--</v>
      </c>
      <c r="V25" s="231" t="str">
        <f t="shared" si="8"/>
        <v>--</v>
      </c>
      <c r="W25" s="232" t="str">
        <f t="shared" si="9"/>
        <v>--</v>
      </c>
      <c r="X25" s="233" t="str">
        <f t="shared" si="10"/>
        <v>--</v>
      </c>
      <c r="Y25" s="234" t="str">
        <f t="shared" si="11"/>
        <v>--</v>
      </c>
      <c r="Z25" s="235" t="str">
        <f t="shared" si="12"/>
        <v>--</v>
      </c>
      <c r="AA25" s="236" t="str">
        <f t="shared" si="13"/>
        <v>--</v>
      </c>
      <c r="AB25" s="424" t="s">
        <v>74</v>
      </c>
      <c r="AC25" s="237">
        <f t="shared" si="14"/>
        <v>18.776160000000004</v>
      </c>
      <c r="AD25" s="159"/>
    </row>
    <row r="26" spans="2:30" s="1" customFormat="1" ht="16.5" customHeight="1">
      <c r="B26" s="158"/>
      <c r="C26" s="209">
        <v>108</v>
      </c>
      <c r="D26" s="209">
        <v>217918</v>
      </c>
      <c r="E26" s="209">
        <v>2363</v>
      </c>
      <c r="F26" s="77" t="s">
        <v>128</v>
      </c>
      <c r="G26" s="79" t="s">
        <v>107</v>
      </c>
      <c r="H26" s="222">
        <v>15</v>
      </c>
      <c r="I26" s="223" t="s">
        <v>102</v>
      </c>
      <c r="J26" s="224">
        <f t="shared" si="0"/>
        <v>6.119999999999999</v>
      </c>
      <c r="K26" s="432">
        <v>40207.754166666666</v>
      </c>
      <c r="L26" s="432">
        <v>40207.763194444444</v>
      </c>
      <c r="M26" s="225">
        <f t="shared" si="1"/>
        <v>0.2166666666744277</v>
      </c>
      <c r="N26" s="226">
        <f t="shared" si="2"/>
        <v>13</v>
      </c>
      <c r="O26" s="227" t="s">
        <v>126</v>
      </c>
      <c r="P26" s="424" t="str">
        <f t="shared" si="3"/>
        <v>NO</v>
      </c>
      <c r="Q26" s="425">
        <v>60</v>
      </c>
      <c r="R26" s="424" t="s">
        <v>74</v>
      </c>
      <c r="S26" s="105">
        <f t="shared" si="5"/>
        <v>60</v>
      </c>
      <c r="T26" s="229" t="str">
        <f t="shared" si="6"/>
        <v>--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>
        <f t="shared" si="10"/>
        <v>220.31999999999996</v>
      </c>
      <c r="Y26" s="234">
        <f t="shared" si="11"/>
        <v>48.47039999999999</v>
      </c>
      <c r="Z26" s="235" t="str">
        <f t="shared" si="12"/>
        <v>--</v>
      </c>
      <c r="AA26" s="236" t="str">
        <f t="shared" si="13"/>
        <v>--</v>
      </c>
      <c r="AB26" s="424" t="s">
        <v>74</v>
      </c>
      <c r="AC26" s="237">
        <f t="shared" si="14"/>
        <v>268.7904</v>
      </c>
      <c r="AD26" s="159"/>
    </row>
    <row r="27" spans="2:30" s="1" customFormat="1" ht="16.5" customHeight="1">
      <c r="B27" s="158"/>
      <c r="C27" s="209">
        <v>109</v>
      </c>
      <c r="D27" s="209">
        <v>217923</v>
      </c>
      <c r="E27" s="209">
        <v>2325</v>
      </c>
      <c r="F27" s="77" t="s">
        <v>129</v>
      </c>
      <c r="G27" s="79" t="s">
        <v>101</v>
      </c>
      <c r="H27" s="222">
        <v>5</v>
      </c>
      <c r="I27" s="223" t="s">
        <v>130</v>
      </c>
      <c r="J27" s="224">
        <f t="shared" si="0"/>
        <v>2.04</v>
      </c>
      <c r="K27" s="432">
        <v>40207.7625</v>
      </c>
      <c r="L27" s="432">
        <v>40207.79861111111</v>
      </c>
      <c r="M27" s="225">
        <f t="shared" si="1"/>
        <v>0.8666666666977108</v>
      </c>
      <c r="N27" s="226">
        <f t="shared" si="2"/>
        <v>52</v>
      </c>
      <c r="O27" s="227" t="s">
        <v>75</v>
      </c>
      <c r="P27" s="424" t="str">
        <f t="shared" si="3"/>
        <v>NO</v>
      </c>
      <c r="Q27" s="425"/>
      <c r="R27" s="424" t="s">
        <v>74</v>
      </c>
      <c r="S27" s="105">
        <f t="shared" si="5"/>
        <v>60</v>
      </c>
      <c r="T27" s="229" t="str">
        <f t="shared" si="6"/>
        <v>--</v>
      </c>
      <c r="U27" s="230" t="str">
        <f t="shared" si="7"/>
        <v>--</v>
      </c>
      <c r="V27" s="231">
        <f t="shared" si="8"/>
        <v>122.4</v>
      </c>
      <c r="W27" s="232">
        <f t="shared" si="9"/>
        <v>106.488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24" t="s">
        <v>74</v>
      </c>
      <c r="AC27" s="237">
        <f t="shared" si="14"/>
        <v>228.888</v>
      </c>
      <c r="AD27" s="159"/>
    </row>
    <row r="28" spans="2:30" s="1" customFormat="1" ht="16.5" customHeight="1">
      <c r="B28" s="158"/>
      <c r="C28" s="209">
        <v>110</v>
      </c>
      <c r="D28" s="209">
        <v>217927</v>
      </c>
      <c r="E28" s="209">
        <v>4679</v>
      </c>
      <c r="F28" s="77" t="s">
        <v>131</v>
      </c>
      <c r="G28" s="79" t="s">
        <v>107</v>
      </c>
      <c r="H28" s="222">
        <v>30</v>
      </c>
      <c r="I28" s="223" t="s">
        <v>102</v>
      </c>
      <c r="J28" s="224">
        <f t="shared" si="0"/>
        <v>12.239999999999998</v>
      </c>
      <c r="K28" s="432">
        <v>40208.14375</v>
      </c>
      <c r="L28" s="432">
        <v>40208.18958333333</v>
      </c>
      <c r="M28" s="225">
        <f t="shared" si="1"/>
        <v>1.0999999999185093</v>
      </c>
      <c r="N28" s="226">
        <f t="shared" si="2"/>
        <v>66</v>
      </c>
      <c r="O28" s="227" t="s">
        <v>126</v>
      </c>
      <c r="P28" s="424" t="str">
        <f t="shared" si="3"/>
        <v>NO</v>
      </c>
      <c r="Q28" s="425">
        <v>40</v>
      </c>
      <c r="R28" s="424" t="s">
        <v>74</v>
      </c>
      <c r="S28" s="105">
        <f t="shared" si="5"/>
        <v>60</v>
      </c>
      <c r="T28" s="229" t="str">
        <f t="shared" si="6"/>
        <v>--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>
        <f t="shared" si="10"/>
        <v>293.75999999999993</v>
      </c>
      <c r="Y28" s="234">
        <f t="shared" si="11"/>
        <v>323.13599999999997</v>
      </c>
      <c r="Z28" s="235" t="str">
        <f t="shared" si="12"/>
        <v>--</v>
      </c>
      <c r="AA28" s="236" t="str">
        <f t="shared" si="13"/>
        <v>--</v>
      </c>
      <c r="AB28" s="424" t="s">
        <v>74</v>
      </c>
      <c r="AC28" s="237">
        <f t="shared" si="14"/>
        <v>616.896</v>
      </c>
      <c r="AD28" s="159"/>
    </row>
    <row r="29" spans="2:30" s="1" customFormat="1" ht="16.5" customHeight="1">
      <c r="B29" s="158"/>
      <c r="C29" s="209"/>
      <c r="D29" s="209"/>
      <c r="E29" s="209"/>
      <c r="F29" s="77"/>
      <c r="G29" s="79"/>
      <c r="H29" s="222"/>
      <c r="I29" s="223"/>
      <c r="J29" s="224">
        <f t="shared" si="0"/>
        <v>0</v>
      </c>
      <c r="K29" s="432"/>
      <c r="L29" s="432"/>
      <c r="M29" s="225">
        <f t="shared" si="1"/>
      </c>
      <c r="N29" s="226">
        <f t="shared" si="2"/>
      </c>
      <c r="O29" s="227"/>
      <c r="P29" s="424">
        <f t="shared" si="3"/>
      </c>
      <c r="Q29" s="425">
        <f aca="true" t="shared" si="15" ref="Q29:Q41">IF(F29="","","--")</f>
      </c>
      <c r="R29" s="424">
        <f t="shared" si="4"/>
      </c>
      <c r="S29" s="105">
        <f t="shared" si="5"/>
        <v>6</v>
      </c>
      <c r="T29" s="229" t="str">
        <f t="shared" si="6"/>
        <v>--</v>
      </c>
      <c r="U29" s="230" t="str">
        <f t="shared" si="7"/>
        <v>--</v>
      </c>
      <c r="V29" s="231" t="str">
        <f t="shared" si="8"/>
        <v>--</v>
      </c>
      <c r="W29" s="232" t="str">
        <f t="shared" si="9"/>
        <v>--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24">
        <f aca="true" t="shared" si="16" ref="AB29:AB41">IF(F29="","","SI")</f>
      </c>
      <c r="AC29" s="237">
        <f t="shared" si="14"/>
      </c>
      <c r="AD29" s="159"/>
    </row>
    <row r="30" spans="2:30" s="1" customFormat="1" ht="16.5" customHeight="1">
      <c r="B30" s="158"/>
      <c r="C30" s="209"/>
      <c r="D30" s="209"/>
      <c r="E30" s="209"/>
      <c r="F30" s="77"/>
      <c r="G30" s="79"/>
      <c r="H30" s="222"/>
      <c r="I30" s="223"/>
      <c r="J30" s="224">
        <f t="shared" si="0"/>
        <v>0</v>
      </c>
      <c r="K30" s="432"/>
      <c r="L30" s="432"/>
      <c r="M30" s="225">
        <f t="shared" si="1"/>
      </c>
      <c r="N30" s="226">
        <f t="shared" si="2"/>
      </c>
      <c r="O30" s="227"/>
      <c r="P30" s="424">
        <f t="shared" si="3"/>
      </c>
      <c r="Q30" s="425">
        <f t="shared" si="15"/>
      </c>
      <c r="R30" s="424">
        <f t="shared" si="4"/>
      </c>
      <c r="S30" s="105">
        <f t="shared" si="5"/>
        <v>6</v>
      </c>
      <c r="T30" s="229" t="str">
        <f t="shared" si="6"/>
        <v>--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24">
        <f t="shared" si="16"/>
      </c>
      <c r="AC30" s="237">
        <f t="shared" si="14"/>
      </c>
      <c r="AD30" s="159"/>
    </row>
    <row r="31" spans="2:30" s="1" customFormat="1" ht="16.5" customHeight="1">
      <c r="B31" s="158"/>
      <c r="C31" s="209"/>
      <c r="D31" s="209"/>
      <c r="E31" s="209"/>
      <c r="F31" s="77"/>
      <c r="G31" s="79"/>
      <c r="H31" s="222"/>
      <c r="I31" s="223"/>
      <c r="J31" s="224">
        <f t="shared" si="0"/>
        <v>0</v>
      </c>
      <c r="K31" s="432"/>
      <c r="L31" s="432"/>
      <c r="M31" s="225">
        <f t="shared" si="1"/>
      </c>
      <c r="N31" s="226">
        <f t="shared" si="2"/>
      </c>
      <c r="O31" s="227"/>
      <c r="P31" s="424">
        <f t="shared" si="3"/>
      </c>
      <c r="Q31" s="425">
        <f t="shared" si="15"/>
      </c>
      <c r="R31" s="424">
        <f t="shared" si="4"/>
      </c>
      <c r="S31" s="105">
        <f t="shared" si="5"/>
        <v>6</v>
      </c>
      <c r="T31" s="229" t="str">
        <f t="shared" si="6"/>
        <v>--</v>
      </c>
      <c r="U31" s="230" t="str">
        <f t="shared" si="7"/>
        <v>--</v>
      </c>
      <c r="V31" s="231" t="str">
        <f t="shared" si="8"/>
        <v>--</v>
      </c>
      <c r="W31" s="232" t="str">
        <f t="shared" si="9"/>
        <v>--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24">
        <f t="shared" si="16"/>
      </c>
      <c r="AC31" s="237">
        <f t="shared" si="14"/>
      </c>
      <c r="AD31" s="159"/>
    </row>
    <row r="32" spans="2:30" s="1" customFormat="1" ht="16.5" customHeight="1">
      <c r="B32" s="158"/>
      <c r="C32" s="209"/>
      <c r="D32" s="209"/>
      <c r="E32" s="209"/>
      <c r="F32" s="77"/>
      <c r="G32" s="79"/>
      <c r="H32" s="222"/>
      <c r="I32" s="223"/>
      <c r="J32" s="224">
        <f t="shared" si="0"/>
        <v>0</v>
      </c>
      <c r="K32" s="432"/>
      <c r="L32" s="432"/>
      <c r="M32" s="225">
        <f t="shared" si="1"/>
      </c>
      <c r="N32" s="226">
        <f t="shared" si="2"/>
      </c>
      <c r="O32" s="227"/>
      <c r="P32" s="424">
        <f t="shared" si="3"/>
      </c>
      <c r="Q32" s="425">
        <f t="shared" si="15"/>
      </c>
      <c r="R32" s="424">
        <f t="shared" si="4"/>
      </c>
      <c r="S32" s="105">
        <f t="shared" si="5"/>
        <v>6</v>
      </c>
      <c r="T32" s="229" t="str">
        <f t="shared" si="6"/>
        <v>--</v>
      </c>
      <c r="U32" s="230" t="str">
        <f t="shared" si="7"/>
        <v>--</v>
      </c>
      <c r="V32" s="231" t="str">
        <f t="shared" si="8"/>
        <v>--</v>
      </c>
      <c r="W32" s="232" t="str">
        <f t="shared" si="9"/>
        <v>--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24">
        <f t="shared" si="16"/>
      </c>
      <c r="AC32" s="237">
        <f t="shared" si="14"/>
      </c>
      <c r="AD32" s="159"/>
    </row>
    <row r="33" spans="2:30" s="1" customFormat="1" ht="16.5" customHeight="1">
      <c r="B33" s="158"/>
      <c r="C33" s="209"/>
      <c r="D33" s="209"/>
      <c r="E33" s="209"/>
      <c r="F33" s="77"/>
      <c r="G33" s="79"/>
      <c r="H33" s="222"/>
      <c r="I33" s="223"/>
      <c r="J33" s="224">
        <f t="shared" si="0"/>
        <v>0</v>
      </c>
      <c r="K33" s="432"/>
      <c r="L33" s="432"/>
      <c r="M33" s="225">
        <f t="shared" si="1"/>
      </c>
      <c r="N33" s="226">
        <f t="shared" si="2"/>
      </c>
      <c r="O33" s="227"/>
      <c r="P33" s="424">
        <f t="shared" si="3"/>
      </c>
      <c r="Q33" s="425">
        <f t="shared" si="15"/>
      </c>
      <c r="R33" s="424">
        <f t="shared" si="4"/>
      </c>
      <c r="S33" s="105">
        <f t="shared" si="5"/>
        <v>6</v>
      </c>
      <c r="T33" s="229" t="str">
        <f t="shared" si="6"/>
        <v>--</v>
      </c>
      <c r="U33" s="230" t="str">
        <f t="shared" si="7"/>
        <v>--</v>
      </c>
      <c r="V33" s="231" t="str">
        <f t="shared" si="8"/>
        <v>--</v>
      </c>
      <c r="W33" s="232" t="str">
        <f t="shared" si="9"/>
        <v>--</v>
      </c>
      <c r="X33" s="233" t="str">
        <f t="shared" si="10"/>
        <v>--</v>
      </c>
      <c r="Y33" s="234" t="str">
        <f t="shared" si="11"/>
        <v>--</v>
      </c>
      <c r="Z33" s="235" t="str">
        <f t="shared" si="12"/>
        <v>--</v>
      </c>
      <c r="AA33" s="236" t="str">
        <f t="shared" si="13"/>
        <v>--</v>
      </c>
      <c r="AB33" s="424">
        <f t="shared" si="16"/>
      </c>
      <c r="AC33" s="237">
        <f t="shared" si="14"/>
      </c>
      <c r="AD33" s="159"/>
    </row>
    <row r="34" spans="2:30" s="1" customFormat="1" ht="16.5" customHeight="1">
      <c r="B34" s="158"/>
      <c r="C34" s="209"/>
      <c r="D34" s="209"/>
      <c r="E34" s="209"/>
      <c r="F34" s="77"/>
      <c r="G34" s="79"/>
      <c r="H34" s="222"/>
      <c r="I34" s="223"/>
      <c r="J34" s="224">
        <f t="shared" si="0"/>
        <v>0</v>
      </c>
      <c r="K34" s="432"/>
      <c r="L34" s="432"/>
      <c r="M34" s="225">
        <f t="shared" si="1"/>
      </c>
      <c r="N34" s="226">
        <f t="shared" si="2"/>
      </c>
      <c r="O34" s="227"/>
      <c r="P34" s="424">
        <f t="shared" si="3"/>
      </c>
      <c r="Q34" s="425">
        <f t="shared" si="15"/>
      </c>
      <c r="R34" s="424">
        <f t="shared" si="4"/>
      </c>
      <c r="S34" s="105">
        <f t="shared" si="5"/>
        <v>6</v>
      </c>
      <c r="T34" s="229" t="str">
        <f t="shared" si="6"/>
        <v>--</v>
      </c>
      <c r="U34" s="230" t="str">
        <f t="shared" si="7"/>
        <v>--</v>
      </c>
      <c r="V34" s="231" t="str">
        <f t="shared" si="8"/>
        <v>--</v>
      </c>
      <c r="W34" s="232" t="str">
        <f t="shared" si="9"/>
        <v>--</v>
      </c>
      <c r="X34" s="233" t="str">
        <f t="shared" si="10"/>
        <v>--</v>
      </c>
      <c r="Y34" s="234" t="str">
        <f t="shared" si="11"/>
        <v>--</v>
      </c>
      <c r="Z34" s="235" t="str">
        <f t="shared" si="12"/>
        <v>--</v>
      </c>
      <c r="AA34" s="236" t="str">
        <f t="shared" si="13"/>
        <v>--</v>
      </c>
      <c r="AB34" s="424">
        <f t="shared" si="16"/>
      </c>
      <c r="AC34" s="237">
        <f t="shared" si="14"/>
      </c>
      <c r="AD34" s="159"/>
    </row>
    <row r="35" spans="2:30" s="1" customFormat="1" ht="16.5" customHeight="1">
      <c r="B35" s="158"/>
      <c r="C35" s="209"/>
      <c r="D35" s="209"/>
      <c r="E35" s="209"/>
      <c r="F35" s="77"/>
      <c r="G35" s="79"/>
      <c r="H35" s="222"/>
      <c r="I35" s="223"/>
      <c r="J35" s="224">
        <f t="shared" si="0"/>
        <v>0</v>
      </c>
      <c r="K35" s="432"/>
      <c r="L35" s="432"/>
      <c r="M35" s="225">
        <f t="shared" si="1"/>
      </c>
      <c r="N35" s="226">
        <f t="shared" si="2"/>
      </c>
      <c r="O35" s="227"/>
      <c r="P35" s="424">
        <f t="shared" si="3"/>
      </c>
      <c r="Q35" s="425">
        <f t="shared" si="15"/>
      </c>
      <c r="R35" s="424">
        <f t="shared" si="4"/>
      </c>
      <c r="S35" s="105">
        <f t="shared" si="5"/>
        <v>6</v>
      </c>
      <c r="T35" s="229" t="str">
        <f t="shared" si="6"/>
        <v>--</v>
      </c>
      <c r="U35" s="230" t="str">
        <f t="shared" si="7"/>
        <v>--</v>
      </c>
      <c r="V35" s="231" t="str">
        <f t="shared" si="8"/>
        <v>--</v>
      </c>
      <c r="W35" s="232" t="str">
        <f t="shared" si="9"/>
        <v>--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24">
        <f t="shared" si="16"/>
      </c>
      <c r="AC35" s="237">
        <f t="shared" si="14"/>
      </c>
      <c r="AD35" s="159"/>
    </row>
    <row r="36" spans="2:30" s="1" customFormat="1" ht="16.5" customHeight="1">
      <c r="B36" s="158"/>
      <c r="C36" s="209"/>
      <c r="D36" s="209"/>
      <c r="E36" s="209"/>
      <c r="F36" s="77"/>
      <c r="G36" s="79"/>
      <c r="H36" s="222"/>
      <c r="I36" s="223"/>
      <c r="J36" s="224">
        <f t="shared" si="0"/>
        <v>0</v>
      </c>
      <c r="K36" s="432"/>
      <c r="L36" s="432"/>
      <c r="M36" s="225">
        <f t="shared" si="1"/>
      </c>
      <c r="N36" s="226">
        <f t="shared" si="2"/>
      </c>
      <c r="O36" s="227"/>
      <c r="P36" s="424">
        <f t="shared" si="3"/>
      </c>
      <c r="Q36" s="425">
        <f t="shared" si="15"/>
      </c>
      <c r="R36" s="424">
        <f t="shared" si="4"/>
      </c>
      <c r="S36" s="105">
        <f t="shared" si="5"/>
        <v>6</v>
      </c>
      <c r="T36" s="229" t="str">
        <f t="shared" si="6"/>
        <v>--</v>
      </c>
      <c r="U36" s="230" t="str">
        <f t="shared" si="7"/>
        <v>--</v>
      </c>
      <c r="V36" s="231" t="str">
        <f t="shared" si="8"/>
        <v>--</v>
      </c>
      <c r="W36" s="232" t="str">
        <f t="shared" si="9"/>
        <v>--</v>
      </c>
      <c r="X36" s="233" t="str">
        <f t="shared" si="10"/>
        <v>--</v>
      </c>
      <c r="Y36" s="234" t="str">
        <f t="shared" si="11"/>
        <v>--</v>
      </c>
      <c r="Z36" s="235" t="str">
        <f t="shared" si="12"/>
        <v>--</v>
      </c>
      <c r="AA36" s="236" t="str">
        <f t="shared" si="13"/>
        <v>--</v>
      </c>
      <c r="AB36" s="424">
        <f t="shared" si="16"/>
      </c>
      <c r="AC36" s="237">
        <f t="shared" si="14"/>
      </c>
      <c r="AD36" s="159"/>
    </row>
    <row r="37" spans="2:30" s="1" customFormat="1" ht="16.5" customHeight="1">
      <c r="B37" s="158"/>
      <c r="C37" s="209"/>
      <c r="D37" s="209"/>
      <c r="E37" s="209"/>
      <c r="F37" s="77"/>
      <c r="G37" s="79"/>
      <c r="H37" s="222"/>
      <c r="I37" s="223"/>
      <c r="J37" s="224">
        <f t="shared" si="0"/>
        <v>0</v>
      </c>
      <c r="K37" s="432"/>
      <c r="L37" s="432"/>
      <c r="M37" s="225">
        <f t="shared" si="1"/>
      </c>
      <c r="N37" s="226">
        <f t="shared" si="2"/>
      </c>
      <c r="O37" s="227"/>
      <c r="P37" s="424">
        <f t="shared" si="3"/>
      </c>
      <c r="Q37" s="425">
        <f t="shared" si="15"/>
      </c>
      <c r="R37" s="424">
        <f t="shared" si="4"/>
      </c>
      <c r="S37" s="105">
        <f t="shared" si="5"/>
        <v>6</v>
      </c>
      <c r="T37" s="229" t="str">
        <f t="shared" si="6"/>
        <v>--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24">
        <f t="shared" si="16"/>
      </c>
      <c r="AC37" s="237">
        <f t="shared" si="14"/>
      </c>
      <c r="AD37" s="159"/>
    </row>
    <row r="38" spans="2:30" s="1" customFormat="1" ht="16.5" customHeight="1">
      <c r="B38" s="158"/>
      <c r="C38" s="209"/>
      <c r="D38" s="209"/>
      <c r="E38" s="209"/>
      <c r="F38" s="77"/>
      <c r="G38" s="79"/>
      <c r="H38" s="222"/>
      <c r="I38" s="223"/>
      <c r="J38" s="224">
        <f t="shared" si="0"/>
        <v>0</v>
      </c>
      <c r="K38" s="432"/>
      <c r="L38" s="432"/>
      <c r="M38" s="225">
        <f t="shared" si="1"/>
      </c>
      <c r="N38" s="226">
        <f t="shared" si="2"/>
      </c>
      <c r="O38" s="227"/>
      <c r="P38" s="424">
        <f t="shared" si="3"/>
      </c>
      <c r="Q38" s="425">
        <f t="shared" si="15"/>
      </c>
      <c r="R38" s="424">
        <f t="shared" si="4"/>
      </c>
      <c r="S38" s="105">
        <f t="shared" si="5"/>
        <v>6</v>
      </c>
      <c r="T38" s="229" t="str">
        <f t="shared" si="6"/>
        <v>--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24">
        <f t="shared" si="16"/>
      </c>
      <c r="AC38" s="237">
        <f t="shared" si="14"/>
      </c>
      <c r="AD38" s="159"/>
    </row>
    <row r="39" spans="2:30" s="1" customFormat="1" ht="16.5" customHeight="1">
      <c r="B39" s="158"/>
      <c r="C39" s="209"/>
      <c r="D39" s="209"/>
      <c r="E39" s="209"/>
      <c r="F39" s="77"/>
      <c r="G39" s="79"/>
      <c r="H39" s="222"/>
      <c r="I39" s="223"/>
      <c r="J39" s="224">
        <f t="shared" si="0"/>
        <v>0</v>
      </c>
      <c r="K39" s="432"/>
      <c r="L39" s="432"/>
      <c r="M39" s="225">
        <f t="shared" si="1"/>
      </c>
      <c r="N39" s="226">
        <f t="shared" si="2"/>
      </c>
      <c r="O39" s="227"/>
      <c r="P39" s="424">
        <f t="shared" si="3"/>
      </c>
      <c r="Q39" s="425">
        <f t="shared" si="15"/>
      </c>
      <c r="R39" s="424">
        <f t="shared" si="4"/>
      </c>
      <c r="S39" s="105">
        <f t="shared" si="5"/>
        <v>6</v>
      </c>
      <c r="T39" s="229" t="str">
        <f t="shared" si="6"/>
        <v>--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24">
        <f t="shared" si="16"/>
      </c>
      <c r="AC39" s="237">
        <f t="shared" si="14"/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32"/>
      <c r="L40" s="432"/>
      <c r="M40" s="225">
        <f t="shared" si="1"/>
      </c>
      <c r="N40" s="226">
        <f t="shared" si="2"/>
      </c>
      <c r="O40" s="227"/>
      <c r="P40" s="424">
        <f t="shared" si="3"/>
      </c>
      <c r="Q40" s="425">
        <f t="shared" si="15"/>
      </c>
      <c r="R40" s="424">
        <f t="shared" si="4"/>
      </c>
      <c r="S40" s="105">
        <f t="shared" si="5"/>
        <v>6</v>
      </c>
      <c r="T40" s="229" t="str">
        <f t="shared" si="6"/>
        <v>--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24">
        <f t="shared" si="16"/>
      </c>
      <c r="AC40" s="237">
        <f t="shared" si="14"/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32"/>
      <c r="L41" s="432"/>
      <c r="M41" s="225">
        <f t="shared" si="1"/>
      </c>
      <c r="N41" s="226">
        <f t="shared" si="2"/>
      </c>
      <c r="O41" s="227"/>
      <c r="P41" s="424">
        <f t="shared" si="3"/>
      </c>
      <c r="Q41" s="425">
        <f t="shared" si="15"/>
      </c>
      <c r="R41" s="424">
        <f t="shared" si="4"/>
      </c>
      <c r="S41" s="105">
        <f t="shared" si="5"/>
        <v>6</v>
      </c>
      <c r="T41" s="229" t="str">
        <f t="shared" si="6"/>
        <v>--</v>
      </c>
      <c r="U41" s="230" t="str">
        <f t="shared" si="7"/>
        <v>--</v>
      </c>
      <c r="V41" s="231" t="str">
        <f t="shared" si="8"/>
        <v>--</v>
      </c>
      <c r="W41" s="232" t="str">
        <f t="shared" si="9"/>
        <v>--</v>
      </c>
      <c r="X41" s="233" t="str">
        <f t="shared" si="10"/>
        <v>--</v>
      </c>
      <c r="Y41" s="234" t="str">
        <f t="shared" si="11"/>
        <v>--</v>
      </c>
      <c r="Z41" s="235" t="str">
        <f t="shared" si="12"/>
        <v>--</v>
      </c>
      <c r="AA41" s="236" t="str">
        <f t="shared" si="13"/>
        <v>--</v>
      </c>
      <c r="AB41" s="424">
        <f t="shared" si="16"/>
      </c>
      <c r="AC41" s="237">
        <f t="shared" si="14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36" t="s">
        <v>192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39.633120000000005</v>
      </c>
      <c r="U43" s="243">
        <f>SUM(U20:U42)</f>
        <v>0</v>
      </c>
      <c r="V43" s="244">
        <f>SUM(V20:V42)</f>
        <v>122.4</v>
      </c>
      <c r="W43" s="245">
        <f>SUM(W22:W42)</f>
        <v>106.488</v>
      </c>
      <c r="X43" s="246">
        <f>SUM(X20:X42)</f>
        <v>528.7679999999999</v>
      </c>
      <c r="Y43" s="246">
        <f>SUM(Y22:Y42)</f>
        <v>389.52576</v>
      </c>
      <c r="Z43" s="247">
        <f>SUM(Z20:Z42)</f>
        <v>0</v>
      </c>
      <c r="AA43" s="248">
        <f>SUM(AA22:AA42)</f>
        <v>0</v>
      </c>
      <c r="AB43" s="249"/>
      <c r="AC43" s="418">
        <f>ROUND(SUM(AC20:AC42),2)</f>
        <v>14836.89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gjaworski</cp:lastModifiedBy>
  <cp:lastPrinted>2011-08-10T14:54:33Z</cp:lastPrinted>
  <dcterms:created xsi:type="dcterms:W3CDTF">1998-09-02T21:36:20Z</dcterms:created>
  <dcterms:modified xsi:type="dcterms:W3CDTF">2011-08-10T14:59:18Z</dcterms:modified>
  <cp:category/>
  <cp:version/>
  <cp:contentType/>
  <cp:contentStatus/>
</cp:coreProperties>
</file>