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110" sheetId="1" r:id="rId1"/>
    <sheet name="LI-01 (1)" sheetId="2" r:id="rId2"/>
    <sheet name="LI-01 (2)" sheetId="3" r:id="rId3"/>
    <sheet name="LI-01 (3)" sheetId="4" r:id="rId4"/>
    <sheet name="LI-01 (4)" sheetId="5" r:id="rId5"/>
    <sheet name="T-01 (1)" sheetId="6" r:id="rId6"/>
    <sheet name="T-01 (2)" sheetId="7" r:id="rId7"/>
    <sheet name="T-01 (3)" sheetId="8" r:id="rId8"/>
  </sheets>
  <definedNames>
    <definedName name="aa">[0]!aa</definedName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QITBA">#REF!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<sst xmlns="http://schemas.openxmlformats.org/spreadsheetml/2006/main" count="775" uniqueCount="160">
  <si>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</si>
  <si>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</si>
  <si>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</si>
  <si>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</si>
  <si>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</si>
  <si>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</si>
  <si>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</si>
  <si>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</si>
  <si>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</si>
  <si>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</si>
  <si>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</si>
  <si>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</si>
  <si>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</si>
  <si>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</si>
  <si>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</si>
  <si>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</si>
  <si>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</si>
  <si>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</si>
  <si>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</si>
  <si>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</si>
  <si>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</si>
  <si>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</si>
  <si>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</si>
  <si>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</si>
  <si>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</si>
  <si>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</si>
  <si>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</si>
  <si>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</si>
  <si>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</si>
  <si>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</si>
  <si>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</si>
  <si>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</si>
  <si>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</si>
  <si>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</si>
  <si>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</si>
  <si>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</si>
  <si>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</si>
  <si>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</si>
  <si>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</si>
  <si>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</si>
  <si>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</si>
  <si>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</si>
  <si>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</si>
  <si>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</si>
  <si>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</si>
  <si>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</si>
  <si>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</si>
  <si>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</si>
  <si>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</si>
  <si>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</si>
  <si>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</si>
  <si>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</si>
  <si>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</si>
  <si>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</si>
  <si>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</si>
  <si>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</si>
  <si>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</si>
  <si>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</t>
  </si>
  <si>
    <t>Equipamiento propio Res. 01_03</t>
  </si>
  <si>
    <t>INDISP</t>
  </si>
  <si>
    <t>ID EQUIPO</t>
  </si>
  <si>
    <t>Desde el 01 al 31 de enero de 2010</t>
  </si>
  <si>
    <t>P</t>
  </si>
  <si>
    <t>SI</t>
  </si>
  <si>
    <t>F</t>
  </si>
  <si>
    <t>CARLOS CASARES - 9 DE JULIO</t>
  </si>
  <si>
    <t>C</t>
  </si>
  <si>
    <t>NUEVA CAMPANA - SIDERCA 2</t>
  </si>
  <si>
    <t>PUNTA ALTA - BAHIA BLANCA</t>
  </si>
  <si>
    <t>BAHIA BLANCA - P. LURO</t>
  </si>
  <si>
    <t>B</t>
  </si>
  <si>
    <t>LOMA NEGRA - C. AVELLANEDA</t>
  </si>
  <si>
    <t>LOMA NEGRA - OLAVARRIA</t>
  </si>
  <si>
    <t>TRENQUE LAUQUEN - PEHUAJO</t>
  </si>
  <si>
    <t>217099/217100</t>
  </si>
  <si>
    <t>PIGÜE - TORNQUIST - BAHIA BLANCA</t>
  </si>
  <si>
    <t>BAHIA BLANCA - NORTE II</t>
  </si>
  <si>
    <t>SAN NICOLÁS - VILLA CONSTITUCIÓN IND.</t>
  </si>
  <si>
    <t>NUEVA CAMPANA - SIDERCA 1</t>
  </si>
  <si>
    <t>PIGUE - GUATRACHE</t>
  </si>
  <si>
    <t>LAS ARMAS - DOLORES</t>
  </si>
  <si>
    <t>BAHIA BLANCA - PRINGLES</t>
  </si>
  <si>
    <t>VILLA LIA "T" - NUEVA CAMPANA</t>
  </si>
  <si>
    <t>VILLA LIA "T" - VILLA LÍA</t>
  </si>
  <si>
    <t>OLAVARRIA - BARKER</t>
  </si>
  <si>
    <t>PIGÜE - TORNQUIST</t>
  </si>
  <si>
    <t>BRAGADO - SALADILLO</t>
  </si>
  <si>
    <t>LINCOLN - BRAGADO</t>
  </si>
  <si>
    <t>PUNTA ALTA - C. PIEDRABUENA</t>
  </si>
  <si>
    <t>TORNQUIST</t>
  </si>
  <si>
    <t>Trafo</t>
  </si>
  <si>
    <t>132/33/13,2</t>
  </si>
  <si>
    <t>LAS ARMAS</t>
  </si>
  <si>
    <t>NORTE 2</t>
  </si>
  <si>
    <t>Trafo 2</t>
  </si>
  <si>
    <t>NECOCHEA</t>
  </si>
  <si>
    <t>Trafo 1</t>
  </si>
  <si>
    <t>132/13,2</t>
  </si>
  <si>
    <t>CARLOS CASARES</t>
  </si>
  <si>
    <t>Trafo 3</t>
  </si>
  <si>
    <t>66/13,2</t>
  </si>
  <si>
    <t>ZARATE</t>
  </si>
  <si>
    <t>BRAGADO</t>
  </si>
  <si>
    <t>OLAVARRIA VIEJA</t>
  </si>
  <si>
    <t>T1OA</t>
  </si>
  <si>
    <t>MAR DEL TUYU</t>
  </si>
  <si>
    <t>T2OA</t>
  </si>
  <si>
    <t>AutoTrafo 2</t>
  </si>
  <si>
    <t>PETROQUIMICA</t>
  </si>
  <si>
    <t>PINAMAR</t>
  </si>
  <si>
    <t>MERCEDES BS.AS</t>
  </si>
  <si>
    <t>T1MD</t>
  </si>
  <si>
    <t>VILLA GESELL</t>
  </si>
  <si>
    <t>MONTE</t>
  </si>
  <si>
    <t>LINCOLN</t>
  </si>
  <si>
    <t>R</t>
  </si>
  <si>
    <t>T. LAUQUEN</t>
  </si>
  <si>
    <t>MIRAMAR</t>
  </si>
  <si>
    <t>G. CHAVES</t>
  </si>
  <si>
    <t>33/13,2</t>
  </si>
  <si>
    <t>LUJAN II</t>
  </si>
  <si>
    <t>ZARATE - CAMPANA III</t>
  </si>
  <si>
    <t>CAMPANA III - MATHEU</t>
  </si>
  <si>
    <t>9 DE JULIO - BRAGADO</t>
  </si>
  <si>
    <t>NORTE II - LOS CHAÑARES</t>
  </si>
  <si>
    <t>CAMPANA  III - MATHEU</t>
  </si>
  <si>
    <t>RAMALLO - SAN NICOLAS 2</t>
  </si>
  <si>
    <t>VALERIA DEL MAR - V. GESSEL</t>
  </si>
  <si>
    <t>TRES ARROYOS</t>
  </si>
  <si>
    <t>Trafo  2</t>
  </si>
  <si>
    <t>LOS CHAÑARES</t>
  </si>
  <si>
    <t>COLON</t>
  </si>
  <si>
    <t>CAMPANA III</t>
  </si>
  <si>
    <t>220/132/13,2</t>
  </si>
  <si>
    <t>P - PROGRAMADA ;   F - FORZADA</t>
  </si>
  <si>
    <t xml:space="preserve">P - PROGRAMADA ;   F - FORZADA </t>
  </si>
  <si>
    <t>P - PROGRAMADA ;   F - FORZADA ;  R - RESTANTE</t>
  </si>
  <si>
    <t>SISTEMA DE TRANSPORTE DE ENERGÍA ELÉCTRICA POR DISTRIBUCIÓN TRONCAL</t>
  </si>
  <si>
    <t>TOTAL DE PENALIZACIONES</t>
  </si>
  <si>
    <t>68a</t>
  </si>
  <si>
    <t>RF</t>
  </si>
  <si>
    <t>NO</t>
  </si>
  <si>
    <t>70a</t>
  </si>
  <si>
    <t>74a</t>
  </si>
  <si>
    <t>96a</t>
  </si>
  <si>
    <t>FM</t>
  </si>
  <si>
    <t>FM  fuerza mayor</t>
  </si>
  <si>
    <t>1.2.-</t>
  </si>
  <si>
    <t>Cond. Climáticas Res. ENRE N° 313/01</t>
  </si>
  <si>
    <t>Valores remuneratorios según  Acta Instrumental</t>
  </si>
  <si>
    <t>Recurso</t>
  </si>
  <si>
    <t>Diferencia</t>
  </si>
  <si>
    <t>Res. ENRE 359/11</t>
  </si>
  <si>
    <t>CHASCOMUS - VERONICA</t>
  </si>
  <si>
    <t>55*</t>
  </si>
  <si>
    <t>5*</t>
  </si>
  <si>
    <t>17*</t>
  </si>
  <si>
    <t>(*)</t>
  </si>
  <si>
    <t>Terceros</t>
  </si>
  <si>
    <t xml:space="preserve">ANEXO I al Memorandum D.T.E.E. N°  672  / 2016           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</si>
</sst>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#,##0.0000"/>
    <numFmt numFmtId="171" formatCode="0.00_)"/>
    <numFmt numFmtId="172" formatCode="&quot;$&quot;\ #,##0.000;&quot;$&quot;\ \-#,##0.000"/>
    <numFmt numFmtId="173" formatCode="#,##0.0"/>
    <numFmt numFmtId="174" formatCode="0.000"/>
    <numFmt numFmtId="175" formatCode="&quot;$&quot;#,##0.00\ ;&quot;$&quot;\-#,##0.00\ "/>
    <numFmt numFmtId="176" formatCode="0.000_)"/>
    <numFmt numFmtId="177" formatCode="0.0000"/>
    <numFmt numFmtId="178" formatCode="0.0"/>
    <numFmt numFmtId="179" formatCode="#,##0;[Red]#,##0"/>
    <numFmt numFmtId="180" formatCode="#,##0.000000"/>
    <numFmt numFmtId="181" formatCode="#&quot;.&quot;#&quot;.-&quot;"/>
    <numFmt numFmtId="182" formatCode="#&quot;.&quot;#&quot;.&quot;#&quot;.-&quot;"/>
  </numFmts>
  <fonts count="9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5" fillId="21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81" fillId="0" borderId="8" applyNumberFormat="0" applyFill="0" applyAlignment="0" applyProtection="0"/>
    <xf numFmtId="0" fontId="90" fillId="0" borderId="9" applyNumberFormat="0" applyFill="0" applyAlignment="0" applyProtection="0"/>
  </cellStyleXfs>
  <cellXfs count="406">
    <xf numFmtId="0" fontId="0" fillId="0" borderId="0" xfId="0" applyAlignment="1">
      <alignment/>
    </xf>
    <xf numFmtId="0" fontId="6" fillId="0" borderId="0" xfId="56" applyFont="1">
      <alignment/>
      <protection/>
    </xf>
    <xf numFmtId="0" fontId="6" fillId="0" borderId="0" xfId="56" applyFont="1" applyFill="1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Continuous"/>
      <protection/>
    </xf>
    <xf numFmtId="0" fontId="1" fillId="0" borderId="0" xfId="56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Border="1">
      <alignment/>
      <protection/>
    </xf>
    <xf numFmtId="0" fontId="4" fillId="0" borderId="0" xfId="56" applyFont="1" applyFill="1" applyBorder="1" applyAlignment="1" applyProtection="1">
      <alignment horizontal="centerContinuous"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13" fillId="0" borderId="10" xfId="56" applyFont="1" applyBorder="1" applyAlignment="1">
      <alignment horizontal="centerContinuous"/>
      <protection/>
    </xf>
    <xf numFmtId="0" fontId="13" fillId="0" borderId="0" xfId="56" applyFont="1" applyBorder="1" applyAlignment="1">
      <alignment horizontal="centerContinuous"/>
      <protection/>
    </xf>
    <xf numFmtId="0" fontId="6" fillId="0" borderId="10" xfId="56" applyFont="1" applyBorder="1">
      <alignment/>
      <protection/>
    </xf>
    <xf numFmtId="0" fontId="6" fillId="0" borderId="11" xfId="56" applyFont="1" applyBorder="1">
      <alignment/>
      <protection/>
    </xf>
    <xf numFmtId="0" fontId="9" fillId="0" borderId="0" xfId="56" applyFont="1" applyAlignment="1" applyProtection="1">
      <alignment horizontal="centerContinuous"/>
      <protection locked="0"/>
    </xf>
    <xf numFmtId="0" fontId="12" fillId="0" borderId="0" xfId="56" applyFont="1" applyAlignment="1" applyProtection="1">
      <alignment horizontal="centerContinuous"/>
      <protection locked="0"/>
    </xf>
    <xf numFmtId="0" fontId="4" fillId="0" borderId="0" xfId="56" applyFont="1" applyBorder="1" applyAlignment="1" applyProtection="1">
      <alignment horizontal="centerContinuous"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14" xfId="56" applyFont="1" applyBorder="1">
      <alignment/>
      <protection/>
    </xf>
    <xf numFmtId="0" fontId="15" fillId="0" borderId="0" xfId="56" applyFont="1">
      <alignment/>
      <protection/>
    </xf>
    <xf numFmtId="0" fontId="15" fillId="0" borderId="10" xfId="56" applyFont="1" applyBorder="1">
      <alignment/>
      <protection/>
    </xf>
    <xf numFmtId="0" fontId="16" fillId="0" borderId="0" xfId="56" applyFont="1" applyBorder="1">
      <alignment/>
      <protection/>
    </xf>
    <xf numFmtId="0" fontId="15" fillId="0" borderId="0" xfId="56" applyFont="1" applyBorder="1">
      <alignment/>
      <protection/>
    </xf>
    <xf numFmtId="0" fontId="15" fillId="0" borderId="11" xfId="56" applyFont="1" applyBorder="1">
      <alignment/>
      <protection/>
    </xf>
    <xf numFmtId="0" fontId="3" fillId="0" borderId="0" xfId="56" applyFont="1" applyBorder="1">
      <alignment/>
      <protection/>
    </xf>
    <xf numFmtId="0" fontId="13" fillId="0" borderId="0" xfId="56" applyFont="1" applyFill="1" applyBorder="1" applyAlignment="1" applyProtection="1">
      <alignment horizontal="centerContinuous"/>
      <protection locked="0"/>
    </xf>
    <xf numFmtId="0" fontId="13" fillId="0" borderId="0" xfId="56" applyFont="1" applyAlignment="1">
      <alignment horizontal="centerContinuous"/>
      <protection/>
    </xf>
    <xf numFmtId="0" fontId="13" fillId="0" borderId="0" xfId="56" applyFont="1" applyBorder="1" applyAlignment="1" applyProtection="1">
      <alignment horizontal="centerContinuous"/>
      <protection/>
    </xf>
    <xf numFmtId="0" fontId="13" fillId="0" borderId="11" xfId="56" applyFont="1" applyBorder="1" applyAlignment="1">
      <alignment horizontal="centerContinuous"/>
      <protection/>
    </xf>
    <xf numFmtId="0" fontId="12" fillId="0" borderId="0" xfId="56" applyFont="1" applyBorder="1">
      <alignment/>
      <protection/>
    </xf>
    <xf numFmtId="0" fontId="3" fillId="0" borderId="0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1" fillId="0" borderId="15" xfId="56" applyFont="1" applyBorder="1" applyAlignment="1" applyProtection="1">
      <alignment horizontal="center"/>
      <protection/>
    </xf>
    <xf numFmtId="174" fontId="1" fillId="0" borderId="15" xfId="56" applyNumberFormat="1" applyFont="1" applyBorder="1" applyAlignment="1">
      <alignment horizontal="centerContinuous"/>
      <protection/>
    </xf>
    <xf numFmtId="0" fontId="3" fillId="0" borderId="16" xfId="56" applyFont="1" applyBorder="1" applyAlignment="1" applyProtection="1">
      <alignment horizontal="centerContinuous"/>
      <protection/>
    </xf>
    <xf numFmtId="0" fontId="3" fillId="0" borderId="0" xfId="56" applyFont="1" applyBorder="1" applyAlignment="1" applyProtection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 applyAlignment="1" applyProtection="1">
      <alignment horizontal="center"/>
      <protection locked="0"/>
    </xf>
    <xf numFmtId="0" fontId="1" fillId="0" borderId="0" xfId="56" applyFont="1" applyAlignment="1" applyProtection="1">
      <alignment/>
      <protection/>
    </xf>
    <xf numFmtId="170" fontId="6" fillId="0" borderId="16" xfId="56" applyNumberFormat="1" applyFont="1" applyBorder="1" applyAlignment="1">
      <alignment horizontal="centerContinuous"/>
      <protection/>
    </xf>
    <xf numFmtId="170" fontId="6" fillId="0" borderId="0" xfId="56" applyNumberFormat="1" applyFont="1" applyBorder="1" applyAlignment="1">
      <alignment/>
      <protection/>
    </xf>
    <xf numFmtId="0" fontId="1" fillId="0" borderId="0" xfId="56" applyFont="1" applyAlignment="1">
      <alignment horizontal="right"/>
      <protection/>
    </xf>
    <xf numFmtId="0" fontId="6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17" fillId="0" borderId="17" xfId="56" applyFont="1" applyBorder="1" applyAlignment="1" applyProtection="1">
      <alignment horizontal="center" vertical="center"/>
      <protection/>
    </xf>
    <xf numFmtId="0" fontId="17" fillId="0" borderId="17" xfId="56" applyFont="1" applyBorder="1" applyAlignment="1" applyProtection="1">
      <alignment horizontal="center" vertical="center" wrapText="1"/>
      <protection/>
    </xf>
    <xf numFmtId="0" fontId="18" fillId="33" borderId="17" xfId="56" applyFont="1" applyFill="1" applyBorder="1" applyAlignment="1" applyProtection="1">
      <alignment horizontal="center" vertical="center"/>
      <protection/>
    </xf>
    <xf numFmtId="0" fontId="20" fillId="34" borderId="17" xfId="56" applyFont="1" applyFill="1" applyBorder="1" applyAlignment="1" applyProtection="1">
      <alignment horizontal="center" vertical="center" wrapText="1"/>
      <protection/>
    </xf>
    <xf numFmtId="0" fontId="21" fillId="35" borderId="17" xfId="56" applyFont="1" applyFill="1" applyBorder="1" applyAlignment="1">
      <alignment horizontal="center" vertical="center" wrapText="1"/>
      <protection/>
    </xf>
    <xf numFmtId="0" fontId="22" fillId="36" borderId="17" xfId="56" applyFont="1" applyFill="1" applyBorder="1" applyAlignment="1">
      <alignment horizontal="center" vertical="center" wrapText="1"/>
      <protection/>
    </xf>
    <xf numFmtId="0" fontId="23" fillId="33" borderId="15" xfId="56" applyFont="1" applyFill="1" applyBorder="1" applyAlignment="1" applyProtection="1">
      <alignment horizontal="centerContinuous" vertical="center" wrapText="1"/>
      <protection/>
    </xf>
    <xf numFmtId="0" fontId="24" fillId="33" borderId="18" xfId="56" applyFont="1" applyFill="1" applyBorder="1" applyAlignment="1">
      <alignment horizontal="centerContinuous"/>
      <protection/>
    </xf>
    <xf numFmtId="0" fontId="23" fillId="33" borderId="16" xfId="56" applyFont="1" applyFill="1" applyBorder="1" applyAlignment="1">
      <alignment horizontal="centerContinuous" vertical="center"/>
      <protection/>
    </xf>
    <xf numFmtId="0" fontId="21" fillId="37" borderId="15" xfId="56" applyFont="1" applyFill="1" applyBorder="1" applyAlignment="1" applyProtection="1">
      <alignment horizontal="centerContinuous" vertical="center" wrapText="1"/>
      <protection/>
    </xf>
    <xf numFmtId="0" fontId="21" fillId="37" borderId="18" xfId="56" applyFont="1" applyFill="1" applyBorder="1" applyAlignment="1">
      <alignment horizontal="centerContinuous" vertical="center"/>
      <protection/>
    </xf>
    <xf numFmtId="0" fontId="21" fillId="37" borderId="16" xfId="56" applyFont="1" applyFill="1" applyBorder="1" applyAlignment="1">
      <alignment horizontal="centerContinuous" vertical="center"/>
      <protection/>
    </xf>
    <xf numFmtId="0" fontId="25" fillId="38" borderId="17" xfId="56" applyFont="1" applyFill="1" applyBorder="1" applyAlignment="1">
      <alignment horizontal="center" vertical="center" wrapText="1"/>
      <protection/>
    </xf>
    <xf numFmtId="0" fontId="26" fillId="39" borderId="17" xfId="56" applyFont="1" applyFill="1" applyBorder="1" applyAlignment="1">
      <alignment horizontal="center" vertical="center" wrapText="1"/>
      <protection/>
    </xf>
    <xf numFmtId="0" fontId="17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9" xfId="56" applyFont="1" applyBorder="1" applyProtection="1">
      <alignment/>
      <protection locked="0"/>
    </xf>
    <xf numFmtId="0" fontId="6" fillId="0" borderId="19" xfId="56" applyFont="1" applyBorder="1" applyAlignment="1" applyProtection="1">
      <alignment horizontal="center"/>
      <protection locked="0"/>
    </xf>
    <xf numFmtId="0" fontId="27" fillId="33" borderId="19" xfId="56" applyFont="1" applyFill="1" applyBorder="1" applyProtection="1">
      <alignment/>
      <protection locked="0"/>
    </xf>
    <xf numFmtId="0" fontId="6" fillId="0" borderId="19" xfId="56" applyFont="1" applyBorder="1" applyAlignment="1">
      <alignment horizontal="center"/>
      <protection/>
    </xf>
    <xf numFmtId="0" fontId="28" fillId="34" borderId="19" xfId="56" applyFont="1" applyFill="1" applyBorder="1" applyProtection="1">
      <alignment/>
      <protection locked="0"/>
    </xf>
    <xf numFmtId="0" fontId="29" fillId="35" borderId="19" xfId="56" applyFont="1" applyFill="1" applyBorder="1" applyProtection="1">
      <alignment/>
      <protection locked="0"/>
    </xf>
    <xf numFmtId="0" fontId="30" fillId="36" borderId="19" xfId="56" applyFont="1" applyFill="1" applyBorder="1" applyProtection="1">
      <alignment/>
      <protection locked="0"/>
    </xf>
    <xf numFmtId="0" fontId="31" fillId="33" borderId="19" xfId="56" applyFont="1" applyFill="1" applyBorder="1" applyAlignment="1" applyProtection="1">
      <alignment horizontal="center"/>
      <protection locked="0"/>
    </xf>
    <xf numFmtId="0" fontId="31" fillId="33" borderId="19" xfId="56" applyFont="1" applyFill="1" applyBorder="1" applyProtection="1">
      <alignment/>
      <protection locked="0"/>
    </xf>
    <xf numFmtId="0" fontId="29" fillId="37" borderId="19" xfId="56" applyFont="1" applyFill="1" applyBorder="1" applyProtection="1">
      <alignment/>
      <protection locked="0"/>
    </xf>
    <xf numFmtId="0" fontId="32" fillId="38" borderId="19" xfId="56" applyFont="1" applyFill="1" applyBorder="1" applyProtection="1">
      <alignment/>
      <protection locked="0"/>
    </xf>
    <xf numFmtId="0" fontId="33" fillId="39" borderId="19" xfId="56" applyFont="1" applyFill="1" applyBorder="1" applyProtection="1">
      <alignment/>
      <protection locked="0"/>
    </xf>
    <xf numFmtId="175" fontId="34" fillId="0" borderId="19" xfId="56" applyNumberFormat="1" applyFont="1" applyBorder="1" applyAlignment="1">
      <alignment horizontal="right"/>
      <protection/>
    </xf>
    <xf numFmtId="0" fontId="6" fillId="0" borderId="20" xfId="56" applyFont="1" applyBorder="1" applyProtection="1">
      <alignment/>
      <protection locked="0"/>
    </xf>
    <xf numFmtId="0" fontId="6" fillId="0" borderId="21" xfId="56" applyFont="1" applyBorder="1" applyAlignment="1" applyProtection="1">
      <alignment horizontal="center"/>
      <protection locked="0"/>
    </xf>
    <xf numFmtId="0" fontId="27" fillId="33" borderId="20" xfId="56" applyFont="1" applyFill="1" applyBorder="1" applyProtection="1">
      <alignment/>
      <protection locked="0"/>
    </xf>
    <xf numFmtId="0" fontId="6" fillId="0" borderId="20" xfId="56" applyFont="1" applyBorder="1" applyAlignment="1" applyProtection="1">
      <alignment horizontal="center"/>
      <protection locked="0"/>
    </xf>
    <xf numFmtId="0" fontId="6" fillId="0" borderId="20" xfId="56" applyFont="1" applyBorder="1" applyAlignment="1">
      <alignment horizontal="center"/>
      <protection/>
    </xf>
    <xf numFmtId="0" fontId="28" fillId="34" borderId="20" xfId="56" applyFont="1" applyFill="1" applyBorder="1" applyProtection="1">
      <alignment/>
      <protection locked="0"/>
    </xf>
    <xf numFmtId="0" fontId="29" fillId="35" borderId="20" xfId="56" applyFont="1" applyFill="1" applyBorder="1" applyProtection="1">
      <alignment/>
      <protection locked="0"/>
    </xf>
    <xf numFmtId="0" fontId="30" fillId="36" borderId="20" xfId="56" applyFont="1" applyFill="1" applyBorder="1" applyProtection="1">
      <alignment/>
      <protection locked="0"/>
    </xf>
    <xf numFmtId="0" fontId="31" fillId="33" borderId="20" xfId="56" applyFont="1" applyFill="1" applyBorder="1" applyAlignment="1" applyProtection="1">
      <alignment horizontal="center"/>
      <protection locked="0"/>
    </xf>
    <xf numFmtId="0" fontId="31" fillId="33" borderId="20" xfId="56" applyFont="1" applyFill="1" applyBorder="1" applyProtection="1">
      <alignment/>
      <protection locked="0"/>
    </xf>
    <xf numFmtId="0" fontId="29" fillId="37" borderId="20" xfId="56" applyFont="1" applyFill="1" applyBorder="1" applyProtection="1">
      <alignment/>
      <protection locked="0"/>
    </xf>
    <xf numFmtId="0" fontId="32" fillId="38" borderId="20" xfId="56" applyFont="1" applyFill="1" applyBorder="1" applyProtection="1">
      <alignment/>
      <protection locked="0"/>
    </xf>
    <xf numFmtId="0" fontId="33" fillId="39" borderId="20" xfId="56" applyFont="1" applyFill="1" applyBorder="1" applyProtection="1">
      <alignment/>
      <protection locked="0"/>
    </xf>
    <xf numFmtId="0" fontId="34" fillId="0" borderId="20" xfId="56" applyFont="1" applyBorder="1" applyAlignment="1">
      <alignment horizontal="center"/>
      <protection/>
    </xf>
    <xf numFmtId="2" fontId="6" fillId="0" borderId="21" xfId="56" applyNumberFormat="1" applyFont="1" applyBorder="1" applyAlignment="1" applyProtection="1">
      <alignment horizontal="center"/>
      <protection locked="0"/>
    </xf>
    <xf numFmtId="2" fontId="6" fillId="0" borderId="20" xfId="56" applyNumberFormat="1" applyFont="1" applyBorder="1" applyAlignment="1" applyProtection="1">
      <alignment horizontal="center"/>
      <protection locked="0"/>
    </xf>
    <xf numFmtId="171" fontId="27" fillId="33" borderId="20" xfId="56" applyNumberFormat="1" applyFont="1" applyFill="1" applyBorder="1" applyAlignment="1" applyProtection="1">
      <alignment horizontal="center"/>
      <protection locked="0"/>
    </xf>
    <xf numFmtId="22" fontId="6" fillId="0" borderId="20" xfId="56" applyNumberFormat="1" applyFont="1" applyBorder="1" applyAlignment="1" applyProtection="1">
      <alignment horizontal="center"/>
      <protection locked="0"/>
    </xf>
    <xf numFmtId="2" fontId="6" fillId="0" borderId="20" xfId="56" applyNumberFormat="1" applyFont="1" applyBorder="1" applyAlignment="1" applyProtection="1">
      <alignment horizontal="center"/>
      <protection/>
    </xf>
    <xf numFmtId="1" fontId="6" fillId="0" borderId="20" xfId="56" applyNumberFormat="1" applyFont="1" applyBorder="1" applyAlignment="1" applyProtection="1">
      <alignment horizontal="center"/>
      <protection/>
    </xf>
    <xf numFmtId="171" fontId="6" fillId="0" borderId="20" xfId="56" applyNumberFormat="1" applyFont="1" applyBorder="1" applyAlignment="1" applyProtection="1">
      <alignment horizontal="center"/>
      <protection locked="0"/>
    </xf>
    <xf numFmtId="171" fontId="28" fillId="34" borderId="20" xfId="56" applyNumberFormat="1" applyFont="1" applyFill="1" applyBorder="1" applyAlignment="1" applyProtection="1" quotePrefix="1">
      <alignment horizontal="center"/>
      <protection locked="0"/>
    </xf>
    <xf numFmtId="2" fontId="29" fillId="35" borderId="20" xfId="56" applyNumberFormat="1" applyFont="1" applyFill="1" applyBorder="1" applyAlignment="1" applyProtection="1">
      <alignment horizontal="center"/>
      <protection locked="0"/>
    </xf>
    <xf numFmtId="2" fontId="30" fillId="36" borderId="20" xfId="56" applyNumberFormat="1" applyFont="1" applyFill="1" applyBorder="1" applyAlignment="1" applyProtection="1">
      <alignment horizontal="center"/>
      <protection locked="0"/>
    </xf>
    <xf numFmtId="171" fontId="31" fillId="33" borderId="20" xfId="56" applyNumberFormat="1" applyFont="1" applyFill="1" applyBorder="1" applyAlignment="1" applyProtection="1" quotePrefix="1">
      <alignment horizontal="center"/>
      <protection locked="0"/>
    </xf>
    <xf numFmtId="4" fontId="31" fillId="33" borderId="20" xfId="56" applyNumberFormat="1" applyFont="1" applyFill="1" applyBorder="1" applyAlignment="1" applyProtection="1">
      <alignment horizontal="center"/>
      <protection locked="0"/>
    </xf>
    <xf numFmtId="171" fontId="29" fillId="37" borderId="20" xfId="56" applyNumberFormat="1" applyFont="1" applyFill="1" applyBorder="1" applyAlignment="1" applyProtection="1" quotePrefix="1">
      <alignment horizontal="center"/>
      <protection locked="0"/>
    </xf>
    <xf numFmtId="4" fontId="29" fillId="37" borderId="20" xfId="56" applyNumberFormat="1" applyFont="1" applyFill="1" applyBorder="1" applyAlignment="1" applyProtection="1">
      <alignment horizontal="center"/>
      <protection locked="0"/>
    </xf>
    <xf numFmtId="4" fontId="32" fillId="38" borderId="20" xfId="56" applyNumberFormat="1" applyFont="1" applyFill="1" applyBorder="1" applyAlignment="1" applyProtection="1">
      <alignment horizontal="center"/>
      <protection locked="0"/>
    </xf>
    <xf numFmtId="4" fontId="33" fillId="39" borderId="20" xfId="56" applyNumberFormat="1" applyFont="1" applyFill="1" applyBorder="1" applyAlignment="1" applyProtection="1">
      <alignment horizontal="center"/>
      <protection locked="0"/>
    </xf>
    <xf numFmtId="4" fontId="34" fillId="0" borderId="20" xfId="56" applyNumberFormat="1" applyFont="1" applyBorder="1" applyAlignment="1">
      <alignment horizontal="right"/>
      <protection/>
    </xf>
    <xf numFmtId="2" fontId="6" fillId="0" borderId="11" xfId="56" applyNumberFormat="1" applyFont="1" applyBorder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22" xfId="56" applyFont="1" applyBorder="1" applyAlignment="1" applyProtection="1">
      <alignment horizontal="center"/>
      <protection locked="0"/>
    </xf>
    <xf numFmtId="171" fontId="6" fillId="0" borderId="22" xfId="56" applyNumberFormat="1" applyFont="1" applyBorder="1" applyAlignment="1" applyProtection="1">
      <alignment horizontal="center"/>
      <protection/>
    </xf>
    <xf numFmtId="171" fontId="27" fillId="33" borderId="22" xfId="56" applyNumberFormat="1" applyFont="1" applyFill="1" applyBorder="1" applyAlignment="1" applyProtection="1">
      <alignment horizontal="center"/>
      <protection/>
    </xf>
    <xf numFmtId="7" fontId="34" fillId="0" borderId="23" xfId="56" applyNumberFormat="1" applyFont="1" applyBorder="1" applyAlignment="1">
      <alignment horizontal="center"/>
      <protection/>
    </xf>
    <xf numFmtId="0" fontId="36" fillId="0" borderId="24" xfId="56" applyFont="1" applyBorder="1" applyAlignment="1">
      <alignment horizontal="center"/>
      <protection/>
    </xf>
    <xf numFmtId="0" fontId="37" fillId="0" borderId="0" xfId="56" applyFont="1" applyBorder="1" applyAlignment="1" applyProtection="1">
      <alignment horizontal="left"/>
      <protection/>
    </xf>
    <xf numFmtId="0" fontId="6" fillId="0" borderId="0" xfId="56" applyFont="1" applyBorder="1" applyAlignment="1" applyProtection="1">
      <alignment horizontal="center"/>
      <protection/>
    </xf>
    <xf numFmtId="2" fontId="6" fillId="0" borderId="0" xfId="56" applyNumberFormat="1" applyFont="1" applyBorder="1" applyAlignment="1" applyProtection="1">
      <alignment horizontal="center"/>
      <protection/>
    </xf>
    <xf numFmtId="171" fontId="6" fillId="0" borderId="0" xfId="56" applyNumberFormat="1" applyFont="1" applyBorder="1" applyAlignment="1" applyProtection="1">
      <alignment horizontal="center"/>
      <protection/>
    </xf>
    <xf numFmtId="171" fontId="6" fillId="0" borderId="0" xfId="56" applyNumberFormat="1" applyFont="1" applyBorder="1" applyAlignment="1" applyProtection="1" quotePrefix="1">
      <alignment horizontal="center"/>
      <protection/>
    </xf>
    <xf numFmtId="2" fontId="29" fillId="35" borderId="17" xfId="56" applyNumberFormat="1" applyFont="1" applyFill="1" applyBorder="1" applyAlignment="1">
      <alignment horizontal="center"/>
      <protection/>
    </xf>
    <xf numFmtId="2" fontId="30" fillId="36" borderId="17" xfId="56" applyNumberFormat="1" applyFont="1" applyFill="1" applyBorder="1" applyAlignment="1">
      <alignment horizontal="center"/>
      <protection/>
    </xf>
    <xf numFmtId="171" fontId="31" fillId="33" borderId="17" xfId="56" applyNumberFormat="1" applyFont="1" applyFill="1" applyBorder="1" applyAlignment="1" applyProtection="1" quotePrefix="1">
      <alignment horizontal="center"/>
      <protection/>
    </xf>
    <xf numFmtId="171" fontId="29" fillId="37" borderId="17" xfId="56" applyNumberFormat="1" applyFont="1" applyFill="1" applyBorder="1" applyAlignment="1" applyProtection="1" quotePrefix="1">
      <alignment horizontal="center"/>
      <protection/>
    </xf>
    <xf numFmtId="171" fontId="32" fillId="38" borderId="17" xfId="56" applyNumberFormat="1" applyFont="1" applyFill="1" applyBorder="1" applyAlignment="1" applyProtection="1" quotePrefix="1">
      <alignment horizontal="center"/>
      <protection/>
    </xf>
    <xf numFmtId="171" fontId="33" fillId="39" borderId="17" xfId="56" applyNumberFormat="1" applyFont="1" applyFill="1" applyBorder="1" applyAlignment="1" applyProtection="1" quotePrefix="1">
      <alignment horizontal="center"/>
      <protection/>
    </xf>
    <xf numFmtId="4" fontId="7" fillId="0" borderId="0" xfId="56" applyNumberFormat="1" applyFont="1" applyBorder="1" applyAlignment="1">
      <alignment horizontal="center"/>
      <protection/>
    </xf>
    <xf numFmtId="2" fontId="6" fillId="0" borderId="11" xfId="56" applyNumberFormat="1" applyFont="1" applyBorder="1" applyAlignment="1">
      <alignment horizontal="center"/>
      <protection/>
    </xf>
    <xf numFmtId="0" fontId="36" fillId="0" borderId="0" xfId="56" applyFont="1">
      <alignment/>
      <protection/>
    </xf>
    <xf numFmtId="0" fontId="36" fillId="0" borderId="10" xfId="56" applyFont="1" applyBorder="1">
      <alignment/>
      <protection/>
    </xf>
    <xf numFmtId="0" fontId="36" fillId="0" borderId="0" xfId="56" applyFont="1" applyBorder="1" applyAlignment="1">
      <alignment horizontal="center"/>
      <protection/>
    </xf>
    <xf numFmtId="0" fontId="37" fillId="0" borderId="0" xfId="56" applyFont="1" applyBorder="1" applyAlignment="1" applyProtection="1">
      <alignment horizontal="left" vertical="top"/>
      <protection/>
    </xf>
    <xf numFmtId="0" fontId="36" fillId="0" borderId="0" xfId="56" applyFont="1" applyBorder="1" applyAlignment="1" applyProtection="1">
      <alignment horizontal="center"/>
      <protection/>
    </xf>
    <xf numFmtId="2" fontId="36" fillId="0" borderId="0" xfId="56" applyNumberFormat="1" applyFont="1" applyBorder="1" applyAlignment="1" applyProtection="1">
      <alignment horizontal="center"/>
      <protection/>
    </xf>
    <xf numFmtId="171" fontId="36" fillId="0" borderId="0" xfId="56" applyNumberFormat="1" applyFont="1" applyBorder="1" applyAlignment="1" applyProtection="1">
      <alignment horizontal="center"/>
      <protection/>
    </xf>
    <xf numFmtId="171" fontId="36" fillId="0" borderId="0" xfId="56" applyNumberFormat="1" applyFont="1" applyBorder="1" applyAlignment="1" applyProtection="1" quotePrefix="1">
      <alignment horizontal="center"/>
      <protection/>
    </xf>
    <xf numFmtId="2" fontId="38" fillId="0" borderId="0" xfId="56" applyNumberFormat="1" applyFont="1" applyBorder="1" applyAlignment="1">
      <alignment horizontal="center"/>
      <protection/>
    </xf>
    <xf numFmtId="171" fontId="39" fillId="0" borderId="0" xfId="56" applyNumberFormat="1" applyFont="1" applyBorder="1" applyAlignment="1" applyProtection="1" quotePrefix="1">
      <alignment horizontal="center"/>
      <protection/>
    </xf>
    <xf numFmtId="4" fontId="39" fillId="0" borderId="0" xfId="56" applyNumberFormat="1" applyFont="1" applyBorder="1" applyAlignment="1">
      <alignment horizontal="center"/>
      <protection/>
    </xf>
    <xf numFmtId="8" fontId="40" fillId="0" borderId="0" xfId="56" applyNumberFormat="1" applyFont="1" applyBorder="1" applyAlignment="1" applyProtection="1">
      <alignment horizontal="right"/>
      <protection locked="0"/>
    </xf>
    <xf numFmtId="2" fontId="36" fillId="0" borderId="11" xfId="56" applyNumberFormat="1" applyFont="1" applyBorder="1" applyAlignment="1">
      <alignment horizontal="center"/>
      <protection/>
    </xf>
    <xf numFmtId="0" fontId="6" fillId="0" borderId="25" xfId="56" applyFont="1" applyBorder="1">
      <alignment/>
      <protection/>
    </xf>
    <xf numFmtId="0" fontId="6" fillId="0" borderId="26" xfId="56" applyFont="1" applyBorder="1">
      <alignment/>
      <protection/>
    </xf>
    <xf numFmtId="0" fontId="6" fillId="0" borderId="27" xfId="56" applyFont="1" applyBorder="1">
      <alignment/>
      <protection/>
    </xf>
    <xf numFmtId="0" fontId="1" fillId="0" borderId="0" xfId="56" applyBorder="1">
      <alignment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10" fillId="0" borderId="0" xfId="56" applyFont="1" applyFill="1" applyAlignment="1">
      <alignment horizontal="centerContinuous"/>
      <protection/>
    </xf>
    <xf numFmtId="0" fontId="10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15" fillId="0" borderId="10" xfId="56" applyFont="1" applyFill="1" applyBorder="1">
      <alignment/>
      <protection/>
    </xf>
    <xf numFmtId="0" fontId="15" fillId="0" borderId="0" xfId="56" applyFont="1" applyFill="1" applyBorder="1">
      <alignment/>
      <protection/>
    </xf>
    <xf numFmtId="0" fontId="16" fillId="0" borderId="0" xfId="56" applyFont="1" applyFill="1" applyBorder="1">
      <alignment/>
      <protection/>
    </xf>
    <xf numFmtId="0" fontId="15" fillId="0" borderId="0" xfId="56" applyFont="1" applyFill="1">
      <alignment/>
      <protection/>
    </xf>
    <xf numFmtId="0" fontId="15" fillId="0" borderId="11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left"/>
      <protection/>
    </xf>
    <xf numFmtId="168" fontId="6" fillId="0" borderId="0" xfId="56" applyNumberFormat="1" applyFont="1" applyFill="1" applyBorder="1" applyProtection="1">
      <alignment/>
      <protection/>
    </xf>
    <xf numFmtId="0" fontId="6" fillId="0" borderId="0" xfId="56" applyFont="1" applyFill="1" applyBorder="1" applyProtection="1">
      <alignment/>
      <protection/>
    </xf>
    <xf numFmtId="0" fontId="13" fillId="0" borderId="10" xfId="56" applyFont="1" applyFill="1" applyBorder="1" applyAlignment="1">
      <alignment horizontal="centerContinuous"/>
      <protection/>
    </xf>
    <xf numFmtId="0" fontId="13" fillId="0" borderId="0" xfId="56" applyFont="1" applyFill="1" applyBorder="1" applyAlignment="1">
      <alignment horizontal="centerContinuous"/>
      <protection/>
    </xf>
    <xf numFmtId="0" fontId="13" fillId="0" borderId="11" xfId="56" applyFont="1" applyFill="1" applyBorder="1" applyAlignment="1">
      <alignment horizontal="centerContinuous"/>
      <protection/>
    </xf>
    <xf numFmtId="0" fontId="6" fillId="0" borderId="0" xfId="5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horizontal="left"/>
      <protection/>
    </xf>
    <xf numFmtId="0" fontId="1" fillId="0" borderId="15" xfId="56" applyFont="1" applyFill="1" applyBorder="1" applyAlignment="1" applyProtection="1">
      <alignment horizontal="left"/>
      <protection/>
    </xf>
    <xf numFmtId="0" fontId="1" fillId="0" borderId="24" xfId="56" applyFont="1" applyFill="1" applyBorder="1" applyAlignment="1" applyProtection="1">
      <alignment horizontal="center"/>
      <protection/>
    </xf>
    <xf numFmtId="0" fontId="1" fillId="0" borderId="24" xfId="56" applyFont="1" applyFill="1" applyBorder="1">
      <alignment/>
      <protection/>
    </xf>
    <xf numFmtId="0" fontId="1" fillId="0" borderId="15" xfId="56" applyFont="1" applyFill="1" applyBorder="1" applyAlignment="1" applyProtection="1" quotePrefix="1">
      <alignment horizontal="left"/>
      <protection/>
    </xf>
    <xf numFmtId="0" fontId="1" fillId="0" borderId="18" xfId="56" applyFont="1" applyFill="1" applyBorder="1" applyAlignment="1" applyProtection="1">
      <alignment horizontal="center"/>
      <protection/>
    </xf>
    <xf numFmtId="168" fontId="1" fillId="0" borderId="17" xfId="56" applyNumberFormat="1" applyFont="1" applyFill="1" applyBorder="1" applyAlignment="1" applyProtection="1">
      <alignment horizontal="center"/>
      <protection/>
    </xf>
    <xf numFmtId="0" fontId="6" fillId="0" borderId="0" xfId="56" applyFont="1" applyAlignment="1" applyProtection="1">
      <alignment/>
      <protection/>
    </xf>
    <xf numFmtId="22" fontId="6" fillId="0" borderId="0" xfId="56" applyNumberFormat="1" applyFont="1" applyFill="1" applyBorder="1">
      <alignment/>
      <protection/>
    </xf>
    <xf numFmtId="0" fontId="6" fillId="0" borderId="0" xfId="56" applyFont="1" applyAlignment="1">
      <alignment vertical="center"/>
      <protection/>
    </xf>
    <xf numFmtId="0" fontId="6" fillId="0" borderId="10" xfId="56" applyFont="1" applyFill="1" applyBorder="1" applyAlignment="1">
      <alignment vertical="center"/>
      <protection/>
    </xf>
    <xf numFmtId="0" fontId="17" fillId="0" borderId="17" xfId="56" applyFont="1" applyFill="1" applyBorder="1" applyAlignment="1" applyProtection="1">
      <alignment horizontal="center" vertical="center" wrapText="1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 quotePrefix="1">
      <alignment horizontal="center" vertical="center" wrapText="1"/>
      <protection/>
    </xf>
    <xf numFmtId="0" fontId="17" fillId="0" borderId="17" xfId="56" applyFont="1" applyFill="1" applyBorder="1" applyAlignment="1">
      <alignment horizontal="center" vertical="center" wrapText="1"/>
      <protection/>
    </xf>
    <xf numFmtId="0" fontId="18" fillId="33" borderId="17" xfId="56" applyFont="1" applyFill="1" applyBorder="1" applyAlignment="1" applyProtection="1">
      <alignment horizontal="center" vertical="center"/>
      <protection/>
    </xf>
    <xf numFmtId="0" fontId="26" fillId="39" borderId="17" xfId="56" applyFont="1" applyFill="1" applyBorder="1" applyAlignment="1" applyProtection="1">
      <alignment horizontal="center" vertical="center"/>
      <protection/>
    </xf>
    <xf numFmtId="0" fontId="21" fillId="37" borderId="17" xfId="56" applyFont="1" applyFill="1" applyBorder="1" applyAlignment="1">
      <alignment horizontal="center" vertical="center" wrapText="1"/>
      <protection/>
    </xf>
    <xf numFmtId="0" fontId="20" fillId="40" borderId="17" xfId="56" applyFont="1" applyFill="1" applyBorder="1" applyAlignment="1">
      <alignment horizontal="center" vertical="center" wrapText="1"/>
      <protection/>
    </xf>
    <xf numFmtId="0" fontId="20" fillId="34" borderId="15" xfId="56" applyFont="1" applyFill="1" applyBorder="1" applyAlignment="1" applyProtection="1">
      <alignment horizontal="centerContinuous" vertical="center" wrapText="1"/>
      <protection/>
    </xf>
    <xf numFmtId="0" fontId="20" fillId="34" borderId="16" xfId="56" applyFont="1" applyFill="1" applyBorder="1" applyAlignment="1">
      <alignment horizontal="centerContinuous" vertical="center"/>
      <protection/>
    </xf>
    <xf numFmtId="0" fontId="41" fillId="41" borderId="15" xfId="56" applyFont="1" applyFill="1" applyBorder="1" applyAlignment="1" applyProtection="1">
      <alignment horizontal="centerContinuous" vertical="center" wrapText="1"/>
      <protection/>
    </xf>
    <xf numFmtId="0" fontId="41" fillId="41" borderId="16" xfId="56" applyFont="1" applyFill="1" applyBorder="1" applyAlignment="1">
      <alignment horizontal="centerContinuous" vertical="center"/>
      <protection/>
    </xf>
    <xf numFmtId="0" fontId="25" fillId="42" borderId="17" xfId="56" applyFont="1" applyFill="1" applyBorder="1" applyAlignment="1">
      <alignment horizontal="center" vertical="center" wrapText="1"/>
      <protection/>
    </xf>
    <xf numFmtId="0" fontId="20" fillId="43" borderId="17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vertical="center"/>
      <protection/>
    </xf>
    <xf numFmtId="0" fontId="6" fillId="0" borderId="28" xfId="56" applyFont="1" applyFill="1" applyBorder="1" applyAlignment="1" applyProtection="1">
      <alignment horizontal="center"/>
      <protection locked="0"/>
    </xf>
    <xf numFmtId="0" fontId="6" fillId="0" borderId="19" xfId="56" applyFont="1" applyFill="1" applyBorder="1" applyAlignment="1" applyProtection="1">
      <alignment horizontal="center"/>
      <protection locked="0"/>
    </xf>
    <xf numFmtId="0" fontId="6" fillId="0" borderId="19" xfId="56" applyFont="1" applyFill="1" applyBorder="1" applyProtection="1">
      <alignment/>
      <protection locked="0"/>
    </xf>
    <xf numFmtId="0" fontId="42" fillId="33" borderId="19" xfId="56" applyFont="1" applyFill="1" applyBorder="1" applyProtection="1">
      <alignment/>
      <protection locked="0"/>
    </xf>
    <xf numFmtId="0" fontId="6" fillId="0" borderId="19" xfId="56" applyFont="1" applyFill="1" applyBorder="1" applyAlignment="1">
      <alignment horizontal="center"/>
      <protection/>
    </xf>
    <xf numFmtId="0" fontId="5" fillId="40" borderId="19" xfId="56" applyFont="1" applyFill="1" applyBorder="1" applyProtection="1">
      <alignment/>
      <protection locked="0"/>
    </xf>
    <xf numFmtId="0" fontId="5" fillId="34" borderId="29" xfId="56" applyFont="1" applyFill="1" applyBorder="1" applyAlignment="1" applyProtection="1">
      <alignment horizontal="center"/>
      <protection locked="0"/>
    </xf>
    <xf numFmtId="0" fontId="5" fillId="34" borderId="30" xfId="56" applyFont="1" applyFill="1" applyBorder="1" applyProtection="1">
      <alignment/>
      <protection locked="0"/>
    </xf>
    <xf numFmtId="0" fontId="43" fillId="41" borderId="29" xfId="56" applyFont="1" applyFill="1" applyBorder="1" applyAlignment="1" applyProtection="1">
      <alignment horizontal="center"/>
      <protection locked="0"/>
    </xf>
    <xf numFmtId="0" fontId="43" fillId="41" borderId="30" xfId="56" applyFont="1" applyFill="1" applyBorder="1" applyProtection="1">
      <alignment/>
      <protection locked="0"/>
    </xf>
    <xf numFmtId="0" fontId="32" fillId="42" borderId="19" xfId="56" applyFont="1" applyFill="1" applyBorder="1" applyProtection="1">
      <alignment/>
      <protection locked="0"/>
    </xf>
    <xf numFmtId="0" fontId="5" fillId="43" borderId="19" xfId="56" applyFont="1" applyFill="1" applyBorder="1" applyProtection="1">
      <alignment/>
      <protection locked="0"/>
    </xf>
    <xf numFmtId="175" fontId="34" fillId="0" borderId="19" xfId="56" applyNumberFormat="1" applyFont="1" applyFill="1" applyBorder="1" applyAlignment="1">
      <alignment horizontal="right"/>
      <protection/>
    </xf>
    <xf numFmtId="0" fontId="6" fillId="0" borderId="31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Protection="1">
      <alignment/>
      <protection locked="0"/>
    </xf>
    <xf numFmtId="0" fontId="42" fillId="33" borderId="20" xfId="56" applyFont="1" applyFill="1" applyBorder="1" applyProtection="1">
      <alignment/>
      <protection locked="0"/>
    </xf>
    <xf numFmtId="0" fontId="6" fillId="0" borderId="20" xfId="56" applyFont="1" applyFill="1" applyBorder="1" applyAlignment="1">
      <alignment horizontal="center"/>
      <protection/>
    </xf>
    <xf numFmtId="0" fontId="5" fillId="40" borderId="20" xfId="56" applyFont="1" applyFill="1" applyBorder="1" applyProtection="1">
      <alignment/>
      <protection locked="0"/>
    </xf>
    <xf numFmtId="0" fontId="5" fillId="34" borderId="32" xfId="56" applyFont="1" applyFill="1" applyBorder="1" applyAlignment="1" applyProtection="1">
      <alignment horizontal="center"/>
      <protection locked="0"/>
    </xf>
    <xf numFmtId="0" fontId="5" fillId="34" borderId="33" xfId="56" applyFont="1" applyFill="1" applyBorder="1" applyProtection="1">
      <alignment/>
      <protection locked="0"/>
    </xf>
    <xf numFmtId="0" fontId="43" fillId="41" borderId="32" xfId="56" applyFont="1" applyFill="1" applyBorder="1" applyAlignment="1" applyProtection="1">
      <alignment horizontal="center"/>
      <protection locked="0"/>
    </xf>
    <xf numFmtId="0" fontId="43" fillId="41" borderId="33" xfId="56" applyFont="1" applyFill="1" applyBorder="1" applyProtection="1">
      <alignment/>
      <protection locked="0"/>
    </xf>
    <xf numFmtId="0" fontId="32" fillId="42" borderId="20" xfId="56" applyFont="1" applyFill="1" applyBorder="1" applyProtection="1">
      <alignment/>
      <protection locked="0"/>
    </xf>
    <xf numFmtId="0" fontId="5" fillId="43" borderId="20" xfId="56" applyFont="1" applyFill="1" applyBorder="1" applyProtection="1">
      <alignment/>
      <protection locked="0"/>
    </xf>
    <xf numFmtId="0" fontId="34" fillId="0" borderId="33" xfId="56" applyFont="1" applyFill="1" applyBorder="1" applyAlignment="1">
      <alignment horizontal="right"/>
      <protection/>
    </xf>
    <xf numFmtId="169" fontId="6" fillId="0" borderId="21" xfId="56" applyNumberFormat="1" applyFont="1" applyBorder="1" applyAlignment="1" applyProtection="1" quotePrefix="1">
      <alignment horizontal="center"/>
      <protection locked="0"/>
    </xf>
    <xf numFmtId="2" fontId="6" fillId="0" borderId="21" xfId="56" applyNumberFormat="1" applyFont="1" applyBorder="1" applyAlignment="1" applyProtection="1" quotePrefix="1">
      <alignment horizontal="center"/>
      <protection locked="0"/>
    </xf>
    <xf numFmtId="171" fontId="42" fillId="33" borderId="20" xfId="56" applyNumberFormat="1" applyFont="1" applyFill="1" applyBorder="1" applyAlignment="1" applyProtection="1">
      <alignment horizontal="center"/>
      <protection locked="0"/>
    </xf>
    <xf numFmtId="2" fontId="6" fillId="0" borderId="20" xfId="56" applyNumberFormat="1" applyFont="1" applyFill="1" applyBorder="1" applyAlignment="1" applyProtection="1">
      <alignment horizontal="center"/>
      <protection/>
    </xf>
    <xf numFmtId="3" fontId="6" fillId="0" borderId="20" xfId="56" applyNumberFormat="1" applyFont="1" applyFill="1" applyBorder="1" applyAlignment="1" applyProtection="1">
      <alignment horizontal="center"/>
      <protection/>
    </xf>
    <xf numFmtId="171" fontId="6" fillId="0" borderId="20" xfId="56" applyNumberFormat="1" applyFont="1" applyFill="1" applyBorder="1" applyAlignment="1" applyProtection="1">
      <alignment horizontal="center"/>
      <protection locked="0"/>
    </xf>
    <xf numFmtId="2" fontId="29" fillId="37" borderId="20" xfId="56" applyNumberFormat="1" applyFont="1" applyFill="1" applyBorder="1" applyAlignment="1" applyProtection="1">
      <alignment horizontal="center"/>
      <protection locked="0"/>
    </xf>
    <xf numFmtId="2" fontId="5" fillId="40" borderId="20" xfId="56" applyNumberFormat="1" applyFont="1" applyFill="1" applyBorder="1" applyAlignment="1" applyProtection="1">
      <alignment horizontal="center"/>
      <protection locked="0"/>
    </xf>
    <xf numFmtId="171" fontId="5" fillId="34" borderId="32" xfId="56" applyNumberFormat="1" applyFont="1" applyFill="1" applyBorder="1" applyAlignment="1" applyProtection="1" quotePrefix="1">
      <alignment horizontal="center"/>
      <protection locked="0"/>
    </xf>
    <xf numFmtId="171" fontId="5" fillId="34" borderId="34" xfId="56" applyNumberFormat="1" applyFont="1" applyFill="1" applyBorder="1" applyAlignment="1" applyProtection="1" quotePrefix="1">
      <alignment horizontal="center"/>
      <protection locked="0"/>
    </xf>
    <xf numFmtId="171" fontId="43" fillId="41" borderId="32" xfId="56" applyNumberFormat="1" applyFont="1" applyFill="1" applyBorder="1" applyAlignment="1" applyProtection="1" quotePrefix="1">
      <alignment horizontal="center"/>
      <protection locked="0"/>
    </xf>
    <xf numFmtId="171" fontId="43" fillId="41" borderId="34" xfId="56" applyNumberFormat="1" applyFont="1" applyFill="1" applyBorder="1" applyAlignment="1" applyProtection="1" quotePrefix="1">
      <alignment horizontal="center"/>
      <protection locked="0"/>
    </xf>
    <xf numFmtId="171" fontId="32" fillId="42" borderId="20" xfId="56" applyNumberFormat="1" applyFont="1" applyFill="1" applyBorder="1" applyAlignment="1" applyProtection="1" quotePrefix="1">
      <alignment horizontal="center"/>
      <protection locked="0"/>
    </xf>
    <xf numFmtId="171" fontId="5" fillId="43" borderId="21" xfId="56" applyNumberFormat="1" applyFont="1" applyFill="1" applyBorder="1" applyAlignment="1" applyProtection="1" quotePrefix="1">
      <alignment horizontal="center"/>
      <protection locked="0"/>
    </xf>
    <xf numFmtId="171" fontId="34" fillId="0" borderId="33" xfId="56" applyNumberFormat="1" applyFont="1" applyFill="1" applyBorder="1" applyAlignment="1">
      <alignment horizontal="right"/>
      <protection/>
    </xf>
    <xf numFmtId="2" fontId="6" fillId="0" borderId="11" xfId="56" applyNumberFormat="1" applyFont="1" applyFill="1" applyBorder="1">
      <alignment/>
      <protection/>
    </xf>
    <xf numFmtId="0" fontId="6" fillId="0" borderId="22" xfId="56" applyFont="1" applyFill="1" applyBorder="1">
      <alignment/>
      <protection/>
    </xf>
    <xf numFmtId="0" fontId="42" fillId="33" borderId="22" xfId="56" applyFont="1" applyFill="1" applyBorder="1">
      <alignment/>
      <protection/>
    </xf>
    <xf numFmtId="0" fontId="34" fillId="0" borderId="35" xfId="56" applyFont="1" applyFill="1" applyBorder="1" applyAlignment="1">
      <alignment horizontal="right"/>
      <protection/>
    </xf>
    <xf numFmtId="7" fontId="29" fillId="37" borderId="17" xfId="56" applyNumberFormat="1" applyFont="1" applyFill="1" applyBorder="1" applyAlignment="1">
      <alignment horizontal="center"/>
      <protection/>
    </xf>
    <xf numFmtId="7" fontId="5" fillId="40" borderId="17" xfId="56" applyNumberFormat="1" applyFont="1" applyFill="1" applyBorder="1" applyAlignment="1">
      <alignment horizontal="center"/>
      <protection/>
    </xf>
    <xf numFmtId="7" fontId="5" fillId="34" borderId="17" xfId="56" applyNumberFormat="1" applyFont="1" applyFill="1" applyBorder="1" applyAlignment="1">
      <alignment horizontal="center"/>
      <protection/>
    </xf>
    <xf numFmtId="7" fontId="5" fillId="34" borderId="36" xfId="56" applyNumberFormat="1" applyFont="1" applyFill="1" applyBorder="1" applyAlignment="1">
      <alignment horizontal="center"/>
      <protection/>
    </xf>
    <xf numFmtId="7" fontId="43" fillId="41" borderId="17" xfId="56" applyNumberFormat="1" applyFont="1" applyFill="1" applyBorder="1" applyAlignment="1">
      <alignment horizontal="center"/>
      <protection/>
    </xf>
    <xf numFmtId="7" fontId="32" fillId="42" borderId="17" xfId="56" applyNumberFormat="1" applyFont="1" applyFill="1" applyBorder="1" applyAlignment="1">
      <alignment horizontal="center"/>
      <protection/>
    </xf>
    <xf numFmtId="7" fontId="5" fillId="43" borderId="17" xfId="56" applyNumberFormat="1" applyFont="1" applyFill="1" applyBorder="1" applyAlignment="1">
      <alignment horizontal="center"/>
      <protection/>
    </xf>
    <xf numFmtId="0" fontId="6" fillId="0" borderId="37" xfId="56" applyFont="1" applyFill="1" applyBorder="1">
      <alignment/>
      <protection/>
    </xf>
    <xf numFmtId="0" fontId="36" fillId="0" borderId="10" xfId="56" applyFont="1" applyFill="1" applyBorder="1">
      <alignment/>
      <protection/>
    </xf>
    <xf numFmtId="0" fontId="36" fillId="0" borderId="0" xfId="56" applyFont="1" applyFill="1" applyBorder="1">
      <alignment/>
      <protection/>
    </xf>
    <xf numFmtId="7" fontId="36" fillId="0" borderId="0" xfId="56" applyNumberFormat="1" applyFont="1" applyFill="1" applyBorder="1" applyAlignment="1">
      <alignment horizontal="center"/>
      <protection/>
    </xf>
    <xf numFmtId="7" fontId="36" fillId="0" borderId="0" xfId="56" applyNumberFormat="1" applyFont="1" applyFill="1" applyBorder="1" applyAlignment="1" applyProtection="1">
      <alignment horizontal="right"/>
      <protection locked="0"/>
    </xf>
    <xf numFmtId="0" fontId="36" fillId="0" borderId="11" xfId="56" applyFont="1" applyFill="1" applyBorder="1">
      <alignment/>
      <protection/>
    </xf>
    <xf numFmtId="0" fontId="6" fillId="0" borderId="25" xfId="56" applyFont="1" applyFill="1" applyBorder="1">
      <alignment/>
      <protection/>
    </xf>
    <xf numFmtId="0" fontId="6" fillId="0" borderId="26" xfId="56" applyFont="1" applyFill="1" applyBorder="1">
      <alignment/>
      <protection/>
    </xf>
    <xf numFmtId="0" fontId="6" fillId="0" borderId="27" xfId="56" applyFont="1" applyFill="1" applyBorder="1">
      <alignment/>
      <protection/>
    </xf>
    <xf numFmtId="0" fontId="1" fillId="0" borderId="0" xfId="56" applyFill="1" applyBorder="1">
      <alignment/>
      <protection/>
    </xf>
    <xf numFmtId="0" fontId="0" fillId="0" borderId="0" xfId="56" applyFont="1" applyFill="1" applyBorder="1">
      <alignment/>
      <protection/>
    </xf>
    <xf numFmtId="0" fontId="44" fillId="0" borderId="0" xfId="56" applyFont="1" applyAlignment="1">
      <alignment horizontal="right" vertical="top"/>
      <protection/>
    </xf>
    <xf numFmtId="0" fontId="44" fillId="0" borderId="0" xfId="56" applyFont="1" applyFill="1" applyAlignment="1">
      <alignment horizontal="right" vertical="top"/>
      <protection/>
    </xf>
    <xf numFmtId="174" fontId="1" fillId="0" borderId="17" xfId="56" applyNumberFormat="1" applyFont="1" applyFill="1" applyBorder="1" applyAlignment="1">
      <alignment horizontal="center"/>
      <protection/>
    </xf>
    <xf numFmtId="0" fontId="6" fillId="0" borderId="22" xfId="56" applyFont="1" applyFill="1" applyBorder="1" applyProtection="1">
      <alignment/>
      <protection locked="0"/>
    </xf>
    <xf numFmtId="0" fontId="33" fillId="39" borderId="22" xfId="56" applyFont="1" applyFill="1" applyBorder="1" applyProtection="1">
      <alignment/>
      <protection locked="0"/>
    </xf>
    <xf numFmtId="0" fontId="29" fillId="37" borderId="22" xfId="56" applyFont="1" applyFill="1" applyBorder="1" applyProtection="1">
      <alignment/>
      <protection locked="0"/>
    </xf>
    <xf numFmtId="0" fontId="5" fillId="40" borderId="22" xfId="56" applyFont="1" applyFill="1" applyBorder="1" applyProtection="1">
      <alignment/>
      <protection locked="0"/>
    </xf>
    <xf numFmtId="0" fontId="5" fillId="34" borderId="38" xfId="56" applyFont="1" applyFill="1" applyBorder="1" applyProtection="1">
      <alignment/>
      <protection locked="0"/>
    </xf>
    <xf numFmtId="0" fontId="5" fillId="34" borderId="39" xfId="56" applyFont="1" applyFill="1" applyBorder="1" applyProtection="1">
      <alignment/>
      <protection locked="0"/>
    </xf>
    <xf numFmtId="0" fontId="43" fillId="41" borderId="38" xfId="56" applyFont="1" applyFill="1" applyBorder="1" applyProtection="1">
      <alignment/>
      <protection locked="0"/>
    </xf>
    <xf numFmtId="0" fontId="43" fillId="41" borderId="39" xfId="56" applyFont="1" applyFill="1" applyBorder="1" applyProtection="1">
      <alignment/>
      <protection locked="0"/>
    </xf>
    <xf numFmtId="0" fontId="32" fillId="42" borderId="22" xfId="56" applyFont="1" applyFill="1" applyBorder="1" applyProtection="1">
      <alignment/>
      <protection locked="0"/>
    </xf>
    <xf numFmtId="0" fontId="5" fillId="43" borderId="22" xfId="56" applyFont="1" applyFill="1" applyBorder="1" applyProtection="1">
      <alignment/>
      <protection locked="0"/>
    </xf>
    <xf numFmtId="0" fontId="6" fillId="0" borderId="40" xfId="56" applyFont="1" applyBorder="1" applyAlignment="1" applyProtection="1">
      <alignment horizontal="center"/>
      <protection locked="0"/>
    </xf>
    <xf numFmtId="2" fontId="6" fillId="0" borderId="40" xfId="56" applyNumberFormat="1" applyFont="1" applyBorder="1" applyAlignment="1" applyProtection="1">
      <alignment horizontal="center"/>
      <protection locked="0"/>
    </xf>
    <xf numFmtId="171" fontId="6" fillId="0" borderId="22" xfId="56" applyNumberFormat="1" applyFont="1" applyBorder="1" applyAlignment="1" applyProtection="1">
      <alignment horizontal="center"/>
      <protection locked="0"/>
    </xf>
    <xf numFmtId="22" fontId="6" fillId="0" borderId="22" xfId="56" applyNumberFormat="1" applyFont="1" applyBorder="1" applyAlignment="1" applyProtection="1">
      <alignment horizontal="center"/>
      <protection locked="0"/>
    </xf>
    <xf numFmtId="22" fontId="28" fillId="34" borderId="22" xfId="56" applyNumberFormat="1" applyFont="1" applyFill="1" applyBorder="1" applyAlignment="1" applyProtection="1">
      <alignment horizontal="center"/>
      <protection locked="0"/>
    </xf>
    <xf numFmtId="171" fontId="29" fillId="35" borderId="22" xfId="56" applyNumberFormat="1" applyFont="1" applyFill="1" applyBorder="1" applyAlignment="1" applyProtection="1" quotePrefix="1">
      <alignment horizontal="center"/>
      <protection locked="0"/>
    </xf>
    <xf numFmtId="171" fontId="30" fillId="36" borderId="22" xfId="56" applyNumberFormat="1" applyFont="1" applyFill="1" applyBorder="1" applyAlignment="1" applyProtection="1" quotePrefix="1">
      <alignment horizontal="center"/>
      <protection locked="0"/>
    </xf>
    <xf numFmtId="171" fontId="31" fillId="33" borderId="22" xfId="56" applyNumberFormat="1" applyFont="1" applyFill="1" applyBorder="1" applyAlignment="1" applyProtection="1" quotePrefix="1">
      <alignment horizontal="center"/>
      <protection locked="0"/>
    </xf>
    <xf numFmtId="4" fontId="31" fillId="33" borderId="22" xfId="56" applyNumberFormat="1" applyFont="1" applyFill="1" applyBorder="1" applyAlignment="1" applyProtection="1">
      <alignment horizontal="center"/>
      <protection locked="0"/>
    </xf>
    <xf numFmtId="4" fontId="29" fillId="37" borderId="22" xfId="56" applyNumberFormat="1" applyFont="1" applyFill="1" applyBorder="1" applyAlignment="1" applyProtection="1">
      <alignment horizontal="center"/>
      <protection locked="0"/>
    </xf>
    <xf numFmtId="4" fontId="32" fillId="38" borderId="22" xfId="56" applyNumberFormat="1" applyFont="1" applyFill="1" applyBorder="1" applyAlignment="1" applyProtection="1">
      <alignment horizontal="center"/>
      <protection locked="0"/>
    </xf>
    <xf numFmtId="4" fontId="33" fillId="39" borderId="22" xfId="56" applyNumberFormat="1" applyFont="1" applyFill="1" applyBorder="1" applyAlignment="1" applyProtection="1">
      <alignment horizontal="center"/>
      <protection locked="0"/>
    </xf>
    <xf numFmtId="4" fontId="6" fillId="0" borderId="22" xfId="56" applyNumberFormat="1" applyFont="1" applyBorder="1" applyAlignment="1" applyProtection="1">
      <alignment horizontal="center"/>
      <protection locked="0"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44" fillId="0" borderId="0" xfId="55" applyFont="1" applyAlignment="1">
      <alignment horizontal="right" vertical="top"/>
      <protection/>
    </xf>
    <xf numFmtId="0" fontId="45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1" fillId="0" borderId="0" xfId="55">
      <alignment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0" fillId="0" borderId="0" xfId="55" applyNumberFormat="1" applyFont="1" applyAlignment="1">
      <alignment horizontal="left"/>
      <protection/>
    </xf>
    <xf numFmtId="0" fontId="10" fillId="0" borderId="0" xfId="55" applyFont="1">
      <alignment/>
      <protection/>
    </xf>
    <xf numFmtId="0" fontId="10" fillId="0" borderId="0" xfId="55" applyFont="1" applyBorder="1">
      <alignment/>
      <protection/>
    </xf>
    <xf numFmtId="0" fontId="46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5" fillId="0" borderId="0" xfId="55" applyFont="1">
      <alignment/>
      <protection/>
    </xf>
    <xf numFmtId="0" fontId="47" fillId="0" borderId="0" xfId="55" applyFont="1" applyBorder="1" applyAlignment="1">
      <alignment horizontal="centerContinuous"/>
      <protection/>
    </xf>
    <xf numFmtId="0" fontId="48" fillId="0" borderId="0" xfId="55" applyFont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5" fillId="0" borderId="0" xfId="55" applyFont="1" applyBorder="1" applyAlignment="1">
      <alignment horizontal="centerContinuous"/>
      <protection/>
    </xf>
    <xf numFmtId="0" fontId="1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Alignment="1">
      <alignment horizontal="centerContinuous"/>
      <protection/>
    </xf>
    <xf numFmtId="0" fontId="49" fillId="0" borderId="0" xfId="55" applyFont="1">
      <alignment/>
      <protection/>
    </xf>
    <xf numFmtId="0" fontId="50" fillId="0" borderId="0" xfId="55" applyFont="1" applyBorder="1">
      <alignment/>
      <protection/>
    </xf>
    <xf numFmtId="0" fontId="49" fillId="0" borderId="0" xfId="55" applyFont="1" applyBorder="1">
      <alignment/>
      <protection/>
    </xf>
    <xf numFmtId="0" fontId="51" fillId="0" borderId="12" xfId="55" applyFont="1" applyBorder="1">
      <alignment/>
      <protection/>
    </xf>
    <xf numFmtId="0" fontId="51" fillId="0" borderId="13" xfId="54" applyFont="1" applyBorder="1">
      <alignment/>
      <protection/>
    </xf>
    <xf numFmtId="0" fontId="49" fillId="0" borderId="13" xfId="55" applyFont="1" applyBorder="1">
      <alignment/>
      <protection/>
    </xf>
    <xf numFmtId="0" fontId="49" fillId="0" borderId="14" xfId="55" applyFont="1" applyBorder="1">
      <alignment/>
      <protection/>
    </xf>
    <xf numFmtId="0" fontId="11" fillId="0" borderId="0" xfId="55" applyFont="1">
      <alignment/>
      <protection/>
    </xf>
    <xf numFmtId="0" fontId="13" fillId="0" borderId="10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1" fillId="0" borderId="0" xfId="55" applyFont="1" applyBorder="1" applyAlignment="1">
      <alignment horizontal="centerContinuous"/>
      <protection/>
    </xf>
    <xf numFmtId="0" fontId="11" fillId="0" borderId="11" xfId="55" applyFont="1" applyBorder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11" fillId="0" borderId="10" xfId="55" applyFont="1" applyBorder="1">
      <alignment/>
      <protection/>
    </xf>
    <xf numFmtId="0" fontId="52" fillId="0" borderId="0" xfId="55" applyNumberFormat="1" applyFont="1" applyBorder="1" applyAlignment="1">
      <alignment horizontal="right"/>
      <protection/>
    </xf>
    <xf numFmtId="0" fontId="13" fillId="0" borderId="0" xfId="55" applyFont="1" applyBorder="1">
      <alignment/>
      <protection/>
    </xf>
    <xf numFmtId="0" fontId="11" fillId="0" borderId="11" xfId="55" applyFont="1" applyBorder="1">
      <alignment/>
      <protection/>
    </xf>
    <xf numFmtId="0" fontId="52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52" fillId="0" borderId="0" xfId="55" applyNumberFormat="1" applyFont="1" applyBorder="1" applyAlignment="1">
      <alignment horizontal="right"/>
      <protection/>
    </xf>
    <xf numFmtId="0" fontId="52" fillId="0" borderId="0" xfId="55" applyNumberFormat="1" applyFont="1" applyBorder="1" applyAlignment="1">
      <alignment/>
      <protection/>
    </xf>
    <xf numFmtId="0" fontId="6" fillId="0" borderId="10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14" fillId="0" borderId="0" xfId="55" applyFont="1" applyBorder="1">
      <alignment/>
      <protection/>
    </xf>
    <xf numFmtId="0" fontId="6" fillId="0" borderId="11" xfId="55" applyFont="1" applyBorder="1">
      <alignment/>
      <protection/>
    </xf>
    <xf numFmtId="0" fontId="52" fillId="0" borderId="0" xfId="55" applyFont="1" applyBorder="1">
      <alignment/>
      <protection/>
    </xf>
    <xf numFmtId="0" fontId="52" fillId="0" borderId="0" xfId="55" applyFont="1" applyBorder="1" applyAlignment="1">
      <alignment horizontal="center"/>
      <protection/>
    </xf>
    <xf numFmtId="7" fontId="52" fillId="0" borderId="0" xfId="55" applyNumberFormat="1" applyFont="1" applyBorder="1" applyAlignment="1">
      <alignment horizontal="center"/>
      <protection/>
    </xf>
    <xf numFmtId="0" fontId="53" fillId="0" borderId="0" xfId="55" applyNumberFormat="1" applyFont="1" applyBorder="1" applyAlignment="1">
      <alignment horizontal="left"/>
      <protection/>
    </xf>
    <xf numFmtId="0" fontId="49" fillId="0" borderId="25" xfId="55" applyFont="1" applyBorder="1">
      <alignment/>
      <protection/>
    </xf>
    <xf numFmtId="0" fontId="49" fillId="0" borderId="26" xfId="55" applyFont="1" applyBorder="1">
      <alignment/>
      <protection/>
    </xf>
    <xf numFmtId="0" fontId="49" fillId="0" borderId="27" xfId="55" applyFont="1" applyBorder="1">
      <alignment/>
      <protection/>
    </xf>
    <xf numFmtId="49" fontId="6" fillId="0" borderId="19" xfId="56" applyNumberFormat="1" applyFont="1" applyFill="1" applyBorder="1" applyAlignment="1" applyProtection="1">
      <alignment horizontal="center"/>
      <protection locked="0"/>
    </xf>
    <xf numFmtId="49" fontId="6" fillId="0" borderId="19" xfId="56" applyNumberFormat="1" applyFont="1" applyFill="1" applyBorder="1" applyProtection="1">
      <alignment/>
      <protection locked="0"/>
    </xf>
    <xf numFmtId="49" fontId="6" fillId="0" borderId="22" xfId="56" applyNumberFormat="1" applyFont="1" applyFill="1" applyBorder="1" applyProtection="1">
      <alignment/>
      <protection locked="0"/>
    </xf>
    <xf numFmtId="7" fontId="52" fillId="0" borderId="0" xfId="55" applyNumberFormat="1" applyFont="1" applyBorder="1">
      <alignment/>
      <protection/>
    </xf>
    <xf numFmtId="8" fontId="2" fillId="0" borderId="17" xfId="56" applyNumberFormat="1" applyFont="1" applyBorder="1" applyAlignment="1" applyProtection="1">
      <alignment horizontal="right"/>
      <protection/>
    </xf>
    <xf numFmtId="7" fontId="2" fillId="0" borderId="17" xfId="56" applyNumberFormat="1" applyFont="1" applyFill="1" applyBorder="1" applyAlignment="1" applyProtection="1">
      <alignment horizontal="right"/>
      <protection/>
    </xf>
    <xf numFmtId="0" fontId="17" fillId="0" borderId="17" xfId="0" applyFont="1" applyBorder="1" applyAlignment="1">
      <alignment horizontal="center" vertical="center"/>
    </xf>
    <xf numFmtId="0" fontId="28" fillId="0" borderId="0" xfId="56" applyFont="1" applyBorder="1">
      <alignment/>
      <protection/>
    </xf>
    <xf numFmtId="0" fontId="28" fillId="0" borderId="0" xfId="56" applyFont="1" applyFill="1" applyBorder="1">
      <alignment/>
      <protection/>
    </xf>
    <xf numFmtId="171" fontId="6" fillId="0" borderId="20" xfId="0" applyNumberFormat="1" applyFont="1" applyFill="1" applyBorder="1" applyAlignment="1" applyProtection="1">
      <alignment horizontal="center"/>
      <protection/>
    </xf>
    <xf numFmtId="171" fontId="6" fillId="0" borderId="20" xfId="0" applyNumberFormat="1" applyFont="1" applyFill="1" applyBorder="1" applyAlignment="1" applyProtection="1" quotePrefix="1">
      <alignment horizontal="center"/>
      <protection/>
    </xf>
    <xf numFmtId="171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22" fontId="6" fillId="0" borderId="20" xfId="56" applyNumberFormat="1" applyFont="1" applyFill="1" applyBorder="1" applyAlignment="1" applyProtection="1">
      <alignment horizontal="center"/>
      <protection locked="0"/>
    </xf>
    <xf numFmtId="22" fontId="6" fillId="0" borderId="20" xfId="56" applyNumberFormat="1" applyFont="1" applyFill="1" applyBorder="1" applyProtection="1">
      <alignment/>
      <protection locked="0"/>
    </xf>
    <xf numFmtId="0" fontId="56" fillId="0" borderId="0" xfId="56" applyFont="1" applyBorder="1" applyAlignment="1">
      <alignment horizontal="left"/>
      <protection/>
    </xf>
    <xf numFmtId="0" fontId="56" fillId="0" borderId="24" xfId="56" applyFont="1" applyBorder="1" applyAlignment="1" applyProtection="1">
      <alignment horizontal="left"/>
      <protection locked="0"/>
    </xf>
    <xf numFmtId="0" fontId="1" fillId="0" borderId="0" xfId="56" applyAlignment="1">
      <alignment horizontal="left"/>
      <protection/>
    </xf>
    <xf numFmtId="0" fontId="6" fillId="38" borderId="10" xfId="56" applyFont="1" applyFill="1" applyBorder="1">
      <alignment/>
      <protection/>
    </xf>
    <xf numFmtId="0" fontId="6" fillId="38" borderId="20" xfId="56" applyFont="1" applyFill="1" applyBorder="1" applyAlignment="1" applyProtection="1">
      <alignment horizontal="center"/>
      <protection locked="0"/>
    </xf>
    <xf numFmtId="0" fontId="6" fillId="38" borderId="21" xfId="56" applyFont="1" applyFill="1" applyBorder="1" applyAlignment="1" applyProtection="1">
      <alignment horizontal="center"/>
      <protection locked="0"/>
    </xf>
    <xf numFmtId="22" fontId="6" fillId="38" borderId="20" xfId="56" applyNumberFormat="1" applyFont="1" applyFill="1" applyBorder="1" applyAlignment="1" applyProtection="1">
      <alignment horizontal="center"/>
      <protection locked="0"/>
    </xf>
    <xf numFmtId="2" fontId="6" fillId="38" borderId="20" xfId="56" applyNumberFormat="1" applyFont="1" applyFill="1" applyBorder="1" applyAlignment="1" applyProtection="1">
      <alignment horizontal="center"/>
      <protection/>
    </xf>
    <xf numFmtId="171" fontId="6" fillId="38" borderId="20" xfId="0" applyNumberFormat="1" applyFont="1" applyFill="1" applyBorder="1" applyAlignment="1" applyProtection="1" quotePrefix="1">
      <alignment horizontal="center"/>
      <protection/>
    </xf>
    <xf numFmtId="2" fontId="29" fillId="38" borderId="20" xfId="56" applyNumberFormat="1" applyFont="1" applyFill="1" applyBorder="1" applyAlignment="1" applyProtection="1">
      <alignment horizontal="center"/>
      <protection locked="0"/>
    </xf>
    <xf numFmtId="4" fontId="33" fillId="38" borderId="20" xfId="56" applyNumberFormat="1" applyFont="1" applyFill="1" applyBorder="1" applyAlignment="1" applyProtection="1">
      <alignment horizontal="center"/>
      <protection locked="0"/>
    </xf>
    <xf numFmtId="0" fontId="6" fillId="38" borderId="0" xfId="56" applyFont="1" applyFill="1">
      <alignment/>
      <protection/>
    </xf>
    <xf numFmtId="0" fontId="6" fillId="38" borderId="31" xfId="56" applyFont="1" applyFill="1" applyBorder="1" applyAlignment="1" applyProtection="1">
      <alignment horizontal="center"/>
      <protection locked="0"/>
    </xf>
    <xf numFmtId="169" fontId="6" fillId="38" borderId="21" xfId="56" applyNumberFormat="1" applyFont="1" applyFill="1" applyBorder="1" applyAlignment="1" applyProtection="1" quotePrefix="1">
      <alignment horizontal="center"/>
      <protection locked="0"/>
    </xf>
    <xf numFmtId="2" fontId="6" fillId="38" borderId="21" xfId="56" applyNumberFormat="1" applyFont="1" applyFill="1" applyBorder="1" applyAlignment="1" applyProtection="1" quotePrefix="1">
      <alignment horizontal="center"/>
      <protection locked="0"/>
    </xf>
    <xf numFmtId="171" fontId="42" fillId="38" borderId="20" xfId="56" applyNumberFormat="1" applyFont="1" applyFill="1" applyBorder="1" applyAlignment="1" applyProtection="1">
      <alignment horizontal="center"/>
      <protection locked="0"/>
    </xf>
    <xf numFmtId="3" fontId="6" fillId="38" borderId="20" xfId="56" applyNumberFormat="1" applyFont="1" applyFill="1" applyBorder="1" applyAlignment="1" applyProtection="1">
      <alignment horizontal="center"/>
      <protection/>
    </xf>
    <xf numFmtId="171" fontId="6" fillId="38" borderId="20" xfId="56" applyNumberFormat="1" applyFont="1" applyFill="1" applyBorder="1" applyAlignment="1" applyProtection="1">
      <alignment horizontal="center"/>
      <protection locked="0"/>
    </xf>
    <xf numFmtId="171" fontId="6" fillId="38" borderId="20" xfId="0" applyNumberFormat="1" applyFont="1" applyFill="1" applyBorder="1" applyAlignment="1" applyProtection="1">
      <alignment horizontal="center"/>
      <protection/>
    </xf>
    <xf numFmtId="2" fontId="5" fillId="38" borderId="20" xfId="56" applyNumberFormat="1" applyFont="1" applyFill="1" applyBorder="1" applyAlignment="1" applyProtection="1">
      <alignment horizontal="center"/>
      <protection locked="0"/>
    </xf>
    <xf numFmtId="171" fontId="5" fillId="38" borderId="32" xfId="56" applyNumberFormat="1" applyFont="1" applyFill="1" applyBorder="1" applyAlignment="1" applyProtection="1" quotePrefix="1">
      <alignment horizontal="center"/>
      <protection locked="0"/>
    </xf>
    <xf numFmtId="171" fontId="5" fillId="38" borderId="34" xfId="56" applyNumberFormat="1" applyFont="1" applyFill="1" applyBorder="1" applyAlignment="1" applyProtection="1" quotePrefix="1">
      <alignment horizontal="center"/>
      <protection locked="0"/>
    </xf>
    <xf numFmtId="171" fontId="43" fillId="38" borderId="32" xfId="56" applyNumberFormat="1" applyFont="1" applyFill="1" applyBorder="1" applyAlignment="1" applyProtection="1" quotePrefix="1">
      <alignment horizontal="center"/>
      <protection locked="0"/>
    </xf>
    <xf numFmtId="171" fontId="43" fillId="38" borderId="34" xfId="56" applyNumberFormat="1" applyFont="1" applyFill="1" applyBorder="1" applyAlignment="1" applyProtection="1" quotePrefix="1">
      <alignment horizontal="center"/>
      <protection locked="0"/>
    </xf>
    <xf numFmtId="171" fontId="32" fillId="38" borderId="20" xfId="56" applyNumberFormat="1" applyFont="1" applyFill="1" applyBorder="1" applyAlignment="1" applyProtection="1" quotePrefix="1">
      <alignment horizontal="center"/>
      <protection locked="0"/>
    </xf>
    <xf numFmtId="171" fontId="5" fillId="38" borderId="21" xfId="56" applyNumberFormat="1" applyFont="1" applyFill="1" applyBorder="1" applyAlignment="1" applyProtection="1" quotePrefix="1">
      <alignment horizontal="center"/>
      <protection locked="0"/>
    </xf>
    <xf numFmtId="171" fontId="34" fillId="38" borderId="33" xfId="56" applyNumberFormat="1" applyFont="1" applyFill="1" applyBorder="1" applyAlignment="1">
      <alignment horizontal="right"/>
      <protection/>
    </xf>
    <xf numFmtId="0" fontId="6" fillId="38" borderId="11" xfId="56" applyFont="1" applyFill="1" applyBorder="1">
      <alignment/>
      <protection/>
    </xf>
    <xf numFmtId="0" fontId="6" fillId="0" borderId="21" xfId="56" applyFont="1" applyFill="1" applyBorder="1" applyAlignment="1" applyProtection="1">
      <alignment horizontal="center"/>
      <protection locked="0"/>
    </xf>
    <xf numFmtId="2" fontId="6" fillId="0" borderId="21" xfId="56" applyNumberFormat="1" applyFont="1" applyFill="1" applyBorder="1" applyAlignment="1" applyProtection="1">
      <alignment horizontal="center"/>
      <protection locked="0"/>
    </xf>
    <xf numFmtId="2" fontId="6" fillId="0" borderId="20" xfId="56" applyNumberFormat="1" applyFont="1" applyFill="1" applyBorder="1" applyAlignment="1" applyProtection="1">
      <alignment horizontal="center"/>
      <protection locked="0"/>
    </xf>
    <xf numFmtId="1" fontId="6" fillId="0" borderId="20" xfId="56" applyNumberFormat="1" applyFont="1" applyFill="1" applyBorder="1" applyAlignment="1" applyProtection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0" fontId="47" fillId="0" borderId="0" xfId="55" applyFont="1" applyBorder="1" applyAlignment="1">
      <alignment horizontal="centerContinuous" wrapText="1"/>
      <protection/>
    </xf>
    <xf numFmtId="0" fontId="11" fillId="0" borderId="0" xfId="57" applyFont="1">
      <alignment/>
      <protection/>
    </xf>
    <xf numFmtId="0" fontId="11" fillId="0" borderId="10" xfId="57" applyFont="1" applyBorder="1">
      <alignment/>
      <protection/>
    </xf>
    <xf numFmtId="0" fontId="52" fillId="0" borderId="0" xfId="57" applyNumberFormat="1" applyFont="1" applyBorder="1" applyAlignment="1">
      <alignment horizontal="right"/>
      <protection/>
    </xf>
    <xf numFmtId="181" fontId="52" fillId="0" borderId="0" xfId="57" applyNumberFormat="1" applyFont="1" applyBorder="1" applyAlignment="1">
      <alignment horizontal="right"/>
      <protection/>
    </xf>
    <xf numFmtId="182" fontId="11" fillId="0" borderId="0" xfId="57" applyNumberFormat="1" applyFont="1" applyBorder="1">
      <alignment/>
      <protection/>
    </xf>
    <xf numFmtId="0" fontId="13" fillId="0" borderId="0" xfId="57" applyFont="1" applyBorder="1">
      <alignment/>
      <protection/>
    </xf>
    <xf numFmtId="181" fontId="52" fillId="0" borderId="0" xfId="0" applyNumberFormat="1" applyFont="1" applyBorder="1" applyAlignment="1">
      <alignment horizontal="center"/>
    </xf>
    <xf numFmtId="0" fontId="11" fillId="0" borderId="11" xfId="57" applyFont="1" applyBorder="1">
      <alignment/>
      <protection/>
    </xf>
    <xf numFmtId="0" fontId="11" fillId="0" borderId="0" xfId="57" applyFont="1" applyBorder="1">
      <alignment/>
      <protection/>
    </xf>
    <xf numFmtId="0" fontId="52" fillId="0" borderId="0" xfId="57" applyNumberFormat="1" applyFont="1" applyBorder="1" applyAlignment="1">
      <alignment horizontal="right"/>
      <protection/>
    </xf>
    <xf numFmtId="7" fontId="52" fillId="0" borderId="41" xfId="0" applyNumberFormat="1" applyFont="1" applyBorder="1" applyAlignment="1">
      <alignment horizontal="center"/>
    </xf>
    <xf numFmtId="7" fontId="52" fillId="0" borderId="36" xfId="0" applyNumberFormat="1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4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rmal_TRANSBA" xfId="56"/>
    <cellStyle name="Normal_Transener_V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25.7109375" style="289" customWidth="1"/>
    <col min="2" max="2" width="7.7109375" style="289" customWidth="1"/>
    <col min="3" max="3" width="10.8515625" style="289" customWidth="1"/>
    <col min="4" max="4" width="6.7109375" style="289" customWidth="1"/>
    <col min="5" max="5" width="17.8515625" style="289" customWidth="1"/>
    <col min="6" max="7" width="16.7109375" style="289" customWidth="1"/>
    <col min="8" max="8" width="6.28125" style="289" customWidth="1"/>
    <col min="9" max="9" width="24.00390625" style="289" bestFit="1" customWidth="1"/>
    <col min="10" max="11" width="19.8515625" style="289" customWidth="1"/>
    <col min="12" max="12" width="14.28125" style="289" customWidth="1"/>
    <col min="13" max="13" width="15.7109375" style="289" customWidth="1"/>
    <col min="14" max="16384" width="11.421875" style="289" customWidth="1"/>
  </cols>
  <sheetData>
    <row r="1" spans="2:13" s="284" customFormat="1" ht="26.25">
      <c r="B1" s="285"/>
      <c r="M1" s="286"/>
    </row>
    <row r="2" spans="2:12" s="284" customFormat="1" ht="26.25">
      <c r="B2" s="285" t="s">
        <v>159</v>
      </c>
      <c r="C2" s="287"/>
      <c r="D2" s="288"/>
      <c r="E2" s="288"/>
      <c r="F2" s="288"/>
      <c r="G2" s="288"/>
      <c r="H2" s="288"/>
      <c r="I2" s="288"/>
      <c r="J2" s="288"/>
      <c r="K2" s="288"/>
      <c r="L2" s="288"/>
    </row>
    <row r="3" spans="3:12" ht="12.75">
      <c r="C3" s="290"/>
      <c r="D3" s="291"/>
      <c r="E3" s="291"/>
      <c r="F3" s="291"/>
      <c r="G3" s="291"/>
      <c r="H3" s="291"/>
      <c r="I3" s="291"/>
      <c r="J3" s="291"/>
      <c r="K3" s="291"/>
      <c r="L3" s="291"/>
    </row>
    <row r="4" spans="1:13" s="294" customFormat="1" ht="11.25">
      <c r="A4" s="292" t="s">
        <v>3</v>
      </c>
      <c r="B4" s="293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s="294" customFormat="1" ht="11.25">
      <c r="A5" s="292" t="s">
        <v>4</v>
      </c>
      <c r="B5" s="293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2:13" s="284" customFormat="1" ht="11.25" customHeight="1">
      <c r="B6" s="296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2:13" s="298" customFormat="1" ht="26.25" customHeight="1">
      <c r="B7" s="390" t="s">
        <v>137</v>
      </c>
      <c r="C7" s="300"/>
      <c r="D7" s="301"/>
      <c r="E7" s="301"/>
      <c r="F7" s="301"/>
      <c r="G7" s="302"/>
      <c r="H7" s="302"/>
      <c r="I7" s="302"/>
      <c r="J7" s="302"/>
      <c r="K7" s="302"/>
      <c r="L7" s="302"/>
      <c r="M7" s="303"/>
    </row>
    <row r="8" spans="9:13" ht="12.75">
      <c r="I8" s="304"/>
      <c r="J8" s="304"/>
      <c r="K8" s="304"/>
      <c r="L8" s="304"/>
      <c r="M8" s="304"/>
    </row>
    <row r="9" spans="2:13" s="298" customFormat="1" ht="20.25">
      <c r="B9" s="299" t="s">
        <v>0</v>
      </c>
      <c r="C9" s="300"/>
      <c r="D9" s="301"/>
      <c r="E9" s="301"/>
      <c r="F9" s="301"/>
      <c r="G9" s="301"/>
      <c r="H9" s="301"/>
      <c r="I9" s="302"/>
      <c r="J9" s="302"/>
      <c r="K9" s="302"/>
      <c r="L9" s="302"/>
      <c r="M9" s="303"/>
    </row>
    <row r="10" spans="4:13" ht="12.75">
      <c r="D10" s="305"/>
      <c r="E10" s="305"/>
      <c r="F10" s="305"/>
      <c r="I10" s="304"/>
      <c r="J10" s="304"/>
      <c r="K10" s="304"/>
      <c r="L10" s="304"/>
      <c r="M10" s="304"/>
    </row>
    <row r="11" spans="2:13" s="298" customFormat="1" ht="20.25">
      <c r="B11" s="299" t="s">
        <v>138</v>
      </c>
      <c r="C11" s="306"/>
      <c r="D11" s="306"/>
      <c r="E11" s="306"/>
      <c r="F11" s="306"/>
      <c r="G11" s="301"/>
      <c r="H11" s="301"/>
      <c r="I11" s="302"/>
      <c r="J11" s="302"/>
      <c r="K11" s="302"/>
      <c r="L11" s="302"/>
      <c r="M11" s="303"/>
    </row>
    <row r="12" spans="4:13" s="307" customFormat="1" ht="16.5" thickBot="1">
      <c r="D12" s="308"/>
      <c r="E12" s="308"/>
      <c r="F12" s="308"/>
      <c r="I12" s="309"/>
      <c r="J12" s="309"/>
      <c r="K12" s="309"/>
      <c r="L12" s="309"/>
      <c r="M12" s="309"/>
    </row>
    <row r="13" spans="2:13" s="307" customFormat="1" ht="16.5" thickTop="1">
      <c r="B13" s="310">
        <v>1</v>
      </c>
      <c r="C13" s="311" t="b">
        <v>0</v>
      </c>
      <c r="D13" s="312"/>
      <c r="E13" s="312"/>
      <c r="F13" s="312"/>
      <c r="G13" s="312"/>
      <c r="H13" s="312"/>
      <c r="I13" s="312"/>
      <c r="J13" s="312"/>
      <c r="K13" s="312"/>
      <c r="L13" s="313"/>
      <c r="M13" s="309"/>
    </row>
    <row r="14" spans="2:13" s="314" customFormat="1" ht="19.5">
      <c r="B14" s="315" t="s">
        <v>61</v>
      </c>
      <c r="C14" s="316"/>
      <c r="D14" s="317"/>
      <c r="E14" s="318"/>
      <c r="F14" s="318"/>
      <c r="G14" s="318"/>
      <c r="H14" s="318"/>
      <c r="I14" s="319"/>
      <c r="J14" s="319"/>
      <c r="K14" s="319"/>
      <c r="L14" s="320"/>
      <c r="M14" s="321"/>
    </row>
    <row r="15" spans="2:13" s="314" customFormat="1" ht="19.5" hidden="1">
      <c r="B15" s="322"/>
      <c r="C15" s="323"/>
      <c r="D15" s="323"/>
      <c r="E15" s="321"/>
      <c r="F15" s="321"/>
      <c r="G15" s="324"/>
      <c r="H15" s="324"/>
      <c r="I15" s="321"/>
      <c r="J15" s="321"/>
      <c r="K15" s="321"/>
      <c r="L15" s="325"/>
      <c r="M15" s="321"/>
    </row>
    <row r="16" spans="2:13" s="314" customFormat="1" ht="19.5" hidden="1">
      <c r="B16" s="315" t="s">
        <v>48</v>
      </c>
      <c r="C16" s="326"/>
      <c r="D16" s="326"/>
      <c r="E16" s="319"/>
      <c r="F16" s="318"/>
      <c r="G16" s="318"/>
      <c r="H16" s="319"/>
      <c r="I16" s="327"/>
      <c r="J16" s="327"/>
      <c r="K16" s="327"/>
      <c r="L16" s="320"/>
      <c r="M16" s="321"/>
    </row>
    <row r="17" spans="2:13" s="314" customFormat="1" ht="19.5">
      <c r="B17" s="322"/>
      <c r="C17" s="323"/>
      <c r="D17" s="323"/>
      <c r="E17" s="321"/>
      <c r="F17" s="324"/>
      <c r="G17" s="324"/>
      <c r="H17" s="321"/>
      <c r="I17" s="290"/>
      <c r="J17" s="290"/>
      <c r="K17" s="290"/>
      <c r="L17" s="325"/>
      <c r="M17" s="321"/>
    </row>
    <row r="18" spans="2:21" s="391" customFormat="1" ht="23.25" customHeight="1">
      <c r="B18" s="392"/>
      <c r="C18" s="393"/>
      <c r="D18" s="394"/>
      <c r="E18" s="395"/>
      <c r="F18" s="396"/>
      <c r="G18" s="396"/>
      <c r="H18" s="396"/>
      <c r="I18" s="397" t="s">
        <v>152</v>
      </c>
      <c r="J18" s="397" t="s">
        <v>150</v>
      </c>
      <c r="K18" s="397" t="s">
        <v>151</v>
      </c>
      <c r="L18" s="398"/>
      <c r="M18" s="399"/>
      <c r="N18" s="399"/>
      <c r="O18" s="399"/>
      <c r="P18" s="399"/>
      <c r="Q18" s="399"/>
      <c r="R18" s="399"/>
      <c r="S18" s="399"/>
      <c r="T18" s="399"/>
      <c r="U18" s="399"/>
    </row>
    <row r="19" spans="2:13" s="314" customFormat="1" ht="19.5">
      <c r="B19" s="322"/>
      <c r="C19" s="328" t="s">
        <v>49</v>
      </c>
      <c r="D19" s="329" t="s">
        <v>1</v>
      </c>
      <c r="E19" s="321"/>
      <c r="F19" s="321"/>
      <c r="G19" s="324"/>
      <c r="I19" s="345">
        <v>109314.48</v>
      </c>
      <c r="J19" s="345">
        <f>'LI-01 (4)'!AC42</f>
        <v>93894.46</v>
      </c>
      <c r="K19" s="345">
        <f>+J19-I19</f>
        <v>-15420.01999999999</v>
      </c>
      <c r="L19" s="325"/>
      <c r="M19" s="321"/>
    </row>
    <row r="20" spans="2:13" s="314" customFormat="1" ht="19.5">
      <c r="B20" s="322"/>
      <c r="C20" s="328"/>
      <c r="D20" s="328" t="s">
        <v>147</v>
      </c>
      <c r="E20" s="335" t="s">
        <v>148</v>
      </c>
      <c r="F20" s="321"/>
      <c r="G20" s="324"/>
      <c r="I20" s="345">
        <v>0</v>
      </c>
      <c r="J20" s="345">
        <v>0</v>
      </c>
      <c r="K20" s="345"/>
      <c r="L20" s="325"/>
      <c r="M20" s="321"/>
    </row>
    <row r="21" spans="2:13" ht="18.75">
      <c r="B21" s="330"/>
      <c r="C21" s="331"/>
      <c r="D21" s="332"/>
      <c r="E21" s="304"/>
      <c r="F21" s="304"/>
      <c r="G21" s="333"/>
      <c r="H21" s="333"/>
      <c r="I21" s="345"/>
      <c r="J21" s="345"/>
      <c r="K21" s="345"/>
      <c r="L21" s="334"/>
      <c r="M21" s="304"/>
    </row>
    <row r="22" spans="2:13" s="314" customFormat="1" ht="19.5">
      <c r="B22" s="322"/>
      <c r="C22" s="328" t="s">
        <v>50</v>
      </c>
      <c r="D22" s="329" t="s">
        <v>51</v>
      </c>
      <c r="E22" s="321"/>
      <c r="F22" s="321"/>
      <c r="G22" s="324"/>
      <c r="H22" s="324"/>
      <c r="I22" s="345"/>
      <c r="J22" s="345"/>
      <c r="K22" s="345"/>
      <c r="L22" s="325"/>
      <c r="M22" s="321"/>
    </row>
    <row r="23" spans="2:13" ht="18.75">
      <c r="B23" s="330"/>
      <c r="C23" s="331"/>
      <c r="D23" s="331"/>
      <c r="E23" s="304"/>
      <c r="F23" s="304"/>
      <c r="G23" s="333"/>
      <c r="H23" s="333"/>
      <c r="I23" s="345"/>
      <c r="J23" s="345"/>
      <c r="K23" s="345"/>
      <c r="L23" s="334"/>
      <c r="M23" s="304"/>
    </row>
    <row r="24" spans="2:13" s="314" customFormat="1" ht="19.5">
      <c r="B24" s="322"/>
      <c r="C24" s="328"/>
      <c r="D24" s="328" t="s">
        <v>52</v>
      </c>
      <c r="E24" s="335" t="s">
        <v>53</v>
      </c>
      <c r="F24" s="335"/>
      <c r="G24" s="324"/>
      <c r="I24" s="345">
        <v>14836.89</v>
      </c>
      <c r="J24" s="345">
        <f>'T-01 (3)'!AC43</f>
        <v>14127.46</v>
      </c>
      <c r="K24" s="345">
        <f>+J24-I24</f>
        <v>-709.4300000000003</v>
      </c>
      <c r="L24" s="325"/>
      <c r="M24" s="321"/>
    </row>
    <row r="25" spans="2:13" ht="18.75">
      <c r="B25" s="330"/>
      <c r="C25" s="331"/>
      <c r="D25" s="331"/>
      <c r="E25" s="304"/>
      <c r="F25" s="304"/>
      <c r="G25" s="333"/>
      <c r="H25" s="333"/>
      <c r="I25" s="345"/>
      <c r="J25" s="345"/>
      <c r="K25" s="345"/>
      <c r="L25" s="334"/>
      <c r="M25" s="304"/>
    </row>
    <row r="26" spans="2:13" s="314" customFormat="1" ht="19.5">
      <c r="B26" s="322"/>
      <c r="C26" s="328"/>
      <c r="D26" s="328" t="s">
        <v>54</v>
      </c>
      <c r="E26" s="335" t="s">
        <v>55</v>
      </c>
      <c r="F26" s="335"/>
      <c r="G26" s="324"/>
      <c r="H26" s="324"/>
      <c r="I26" s="345">
        <v>5814.19</v>
      </c>
      <c r="J26" s="345">
        <v>5814.19</v>
      </c>
      <c r="K26" s="345"/>
      <c r="L26" s="325"/>
      <c r="M26" s="321"/>
    </row>
    <row r="27" spans="2:13" s="314" customFormat="1" ht="19.5">
      <c r="B27" s="322"/>
      <c r="C27" s="323"/>
      <c r="D27" s="323"/>
      <c r="E27" s="335"/>
      <c r="F27" s="335"/>
      <c r="G27" s="324"/>
      <c r="H27" s="324"/>
      <c r="I27" s="345"/>
      <c r="J27" s="345"/>
      <c r="K27" s="345"/>
      <c r="L27" s="325"/>
      <c r="M27" s="321"/>
    </row>
    <row r="28" spans="2:13" s="314" customFormat="1" ht="19.5">
      <c r="B28" s="322"/>
      <c r="C28" s="328" t="s">
        <v>57</v>
      </c>
      <c r="D28" s="329" t="s">
        <v>58</v>
      </c>
      <c r="E28" s="321"/>
      <c r="F28" s="321"/>
      <c r="G28" s="324"/>
      <c r="H28" s="324"/>
      <c r="I28" s="345">
        <v>142.1</v>
      </c>
      <c r="J28" s="345">
        <v>142.1</v>
      </c>
      <c r="K28" s="345"/>
      <c r="L28" s="325"/>
      <c r="M28" s="321"/>
    </row>
    <row r="29" spans="2:13" s="314" customFormat="1" ht="20.25" thickBot="1">
      <c r="B29" s="322"/>
      <c r="C29" s="323"/>
      <c r="D29" s="323"/>
      <c r="E29" s="321"/>
      <c r="F29" s="321"/>
      <c r="G29" s="324"/>
      <c r="H29" s="324"/>
      <c r="I29" s="321"/>
      <c r="J29" s="321"/>
      <c r="K29" s="321"/>
      <c r="L29" s="325"/>
      <c r="M29" s="321"/>
    </row>
    <row r="30" spans="2:21" s="391" customFormat="1" ht="20.25" thickBot="1" thickTop="1">
      <c r="B30" s="392"/>
      <c r="C30" s="400"/>
      <c r="D30" s="400"/>
      <c r="F30" s="403" t="s">
        <v>56</v>
      </c>
      <c r="G30" s="404"/>
      <c r="H30" s="405"/>
      <c r="I30" s="401">
        <f>SUM(I19:I28)</f>
        <v>130107.66</v>
      </c>
      <c r="J30" s="401">
        <f>SUM(J19:J28)</f>
        <v>113978.21000000002</v>
      </c>
      <c r="K30" s="402">
        <f>+J30-I30</f>
        <v>-16129.449999999983</v>
      </c>
      <c r="L30" s="398"/>
      <c r="M30" s="399"/>
      <c r="N30" s="399"/>
      <c r="O30" s="399"/>
      <c r="P30" s="399"/>
      <c r="Q30" s="399"/>
      <c r="R30" s="399"/>
      <c r="S30" s="399"/>
      <c r="T30" s="399"/>
      <c r="U30" s="399"/>
    </row>
    <row r="31" spans="2:13" s="314" customFormat="1" ht="9" customHeight="1" thickTop="1">
      <c r="B31" s="322"/>
      <c r="C31" s="328"/>
      <c r="D31" s="328"/>
      <c r="E31" s="290"/>
      <c r="F31" s="336"/>
      <c r="G31" s="337"/>
      <c r="H31" s="290"/>
      <c r="L31" s="325"/>
      <c r="M31" s="321"/>
    </row>
    <row r="32" spans="2:13" s="314" customFormat="1" ht="18.75">
      <c r="B32" s="322"/>
      <c r="C32" s="338" t="s">
        <v>149</v>
      </c>
      <c r="D32" s="328"/>
      <c r="E32" s="290"/>
      <c r="F32" s="336"/>
      <c r="G32" s="337"/>
      <c r="H32" s="290"/>
      <c r="L32" s="325"/>
      <c r="M32" s="321"/>
    </row>
    <row r="33" spans="2:13" s="307" customFormat="1" ht="9" customHeight="1" thickBot="1"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09"/>
    </row>
    <row r="34" ht="13.5" thickTop="1"/>
  </sheetData>
  <sheetProtection/>
  <mergeCells count="1">
    <mergeCell ref="F30:H3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0" zoomScaleNormal="70" zoomScalePageLayoutView="0" workbookViewId="0" topLeftCell="N13">
      <selection activeCell="AH41" sqref="AH41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258"/>
    </row>
    <row r="2" spans="2:30" s="3" customFormat="1" ht="26.25">
      <c r="B2" s="15" t="str">
        <f>'TOT-0110'!B2</f>
        <v>ANEXO I al Memorandum D.T.E.E. N°  672  / 2016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7" t="s">
        <v>3</v>
      </c>
      <c r="B4" s="17"/>
    </row>
    <row r="5" spans="1:2" s="9" customFormat="1" ht="11.25">
      <c r="A5" s="17" t="s">
        <v>4</v>
      </c>
      <c r="B5" s="17"/>
    </row>
    <row r="6" s="1" customFormat="1" ht="16.5" customHeight="1" thickBot="1"/>
    <row r="7" spans="2:30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s="21" customFormat="1" ht="20.25">
      <c r="B8" s="22"/>
      <c r="F8" s="23" t="s">
        <v>5</v>
      </c>
      <c r="G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s="1" customFormat="1" ht="16.5" customHeight="1">
      <c r="B9" s="13"/>
      <c r="F9" s="26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1" customFormat="1" ht="20.25">
      <c r="B10" s="22"/>
      <c r="F10" s="23" t="s">
        <v>6</v>
      </c>
      <c r="G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s="1" customFormat="1" ht="16.5" customHeight="1">
      <c r="B11" s="13"/>
      <c r="C11" s="26"/>
      <c r="D11" s="26"/>
      <c r="E11" s="26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7"/>
      <c r="D12" s="27"/>
      <c r="E12" s="27"/>
      <c r="F12" s="12"/>
      <c r="G12" s="12"/>
      <c r="H12" s="28"/>
      <c r="I12" s="28"/>
      <c r="J12" s="29"/>
      <c r="K12" s="28"/>
      <c r="L12" s="29"/>
      <c r="M12" s="29"/>
      <c r="N12" s="29"/>
      <c r="O12" s="29"/>
      <c r="P12" s="29"/>
      <c r="Q12" s="29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/>
    </row>
    <row r="13" spans="2:30" s="1" customFormat="1" ht="16.5" customHeight="1" thickBot="1">
      <c r="B13" s="13"/>
      <c r="C13" s="7"/>
      <c r="D13" s="7"/>
      <c r="E13" s="7"/>
      <c r="F13" s="7"/>
      <c r="G13" s="31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4" t="s">
        <v>7</v>
      </c>
      <c r="G14" s="35">
        <v>122.355</v>
      </c>
      <c r="H14" s="36"/>
      <c r="I14" s="37"/>
      <c r="J14" s="33"/>
      <c r="K14" s="33"/>
      <c r="L14" s="38" t="s">
        <v>8</v>
      </c>
      <c r="M14" s="39">
        <f>150*'TOT-0110'!B13</f>
        <v>150</v>
      </c>
      <c r="N14" s="40" t="str">
        <f>IF(M14=150," ",IF(M14=300,"Coeficiente duplicado por tasa de falla &gt;4 Sal. x año/100 km.","REVISAR COEFICIENTE"))</f>
        <v> </v>
      </c>
      <c r="O14" s="33"/>
      <c r="P14" s="33"/>
      <c r="Q14" s="3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4" t="s">
        <v>9</v>
      </c>
      <c r="G15" s="35">
        <v>116.918</v>
      </c>
      <c r="H15" s="41"/>
      <c r="I15" s="42"/>
      <c r="J15" s="7"/>
      <c r="K15" s="43"/>
      <c r="L15" s="38" t="s">
        <v>10</v>
      </c>
      <c r="M15" s="39">
        <f>50*'TOT-0110'!B13</f>
        <v>50</v>
      </c>
      <c r="N15" s="40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4" t="s">
        <v>11</v>
      </c>
      <c r="G16" s="35">
        <v>116.918</v>
      </c>
      <c r="H16" s="41"/>
      <c r="I16" s="42"/>
      <c r="J16" s="7"/>
      <c r="K16" s="7"/>
      <c r="L16" s="38" t="s">
        <v>12</v>
      </c>
      <c r="M16" s="39">
        <f>10*'TOT-0110'!B13</f>
        <v>10</v>
      </c>
      <c r="N16" s="40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349">
        <v>3</v>
      </c>
      <c r="D17" s="349">
        <v>4</v>
      </c>
      <c r="E17" s="349">
        <v>5</v>
      </c>
      <c r="F17" s="349">
        <v>6</v>
      </c>
      <c r="G17" s="349">
        <v>7</v>
      </c>
      <c r="H17" s="349">
        <v>8</v>
      </c>
      <c r="I17" s="349">
        <v>9</v>
      </c>
      <c r="J17" s="349">
        <v>10</v>
      </c>
      <c r="K17" s="349">
        <v>11</v>
      </c>
      <c r="L17" s="349">
        <v>12</v>
      </c>
      <c r="M17" s="349">
        <v>13</v>
      </c>
      <c r="N17" s="349">
        <v>14</v>
      </c>
      <c r="O17" s="349">
        <v>15</v>
      </c>
      <c r="P17" s="349">
        <v>16</v>
      </c>
      <c r="Q17" s="349">
        <v>17</v>
      </c>
      <c r="R17" s="349">
        <v>18</v>
      </c>
      <c r="S17" s="349">
        <v>19</v>
      </c>
      <c r="T17" s="349">
        <v>20</v>
      </c>
      <c r="U17" s="349">
        <v>21</v>
      </c>
      <c r="V17" s="349">
        <v>22</v>
      </c>
      <c r="W17" s="349">
        <v>23</v>
      </c>
      <c r="X17" s="349">
        <v>24</v>
      </c>
      <c r="Y17" s="349">
        <v>25</v>
      </c>
      <c r="Z17" s="349">
        <v>26</v>
      </c>
      <c r="AA17" s="349">
        <v>27</v>
      </c>
      <c r="AB17" s="349">
        <v>28</v>
      </c>
      <c r="AC17" s="349">
        <v>29</v>
      </c>
      <c r="AD17" s="14"/>
    </row>
    <row r="18" spans="2:30" s="44" customFormat="1" ht="39.75" customHeight="1" thickBot="1" thickTop="1">
      <c r="B18" s="45"/>
      <c r="C18" s="348" t="s">
        <v>13</v>
      </c>
      <c r="D18" s="348" t="s">
        <v>59</v>
      </c>
      <c r="E18" s="348" t="s">
        <v>60</v>
      </c>
      <c r="F18" s="46" t="s">
        <v>1</v>
      </c>
      <c r="G18" s="47" t="s">
        <v>14</v>
      </c>
      <c r="H18" s="47" t="s">
        <v>15</v>
      </c>
      <c r="I18" s="47" t="s">
        <v>2</v>
      </c>
      <c r="J18" s="48" t="s">
        <v>16</v>
      </c>
      <c r="K18" s="46" t="s">
        <v>17</v>
      </c>
      <c r="L18" s="46" t="s">
        <v>18</v>
      </c>
      <c r="M18" s="47" t="s">
        <v>19</v>
      </c>
      <c r="N18" s="47" t="s">
        <v>20</v>
      </c>
      <c r="O18" s="47" t="s">
        <v>46</v>
      </c>
      <c r="P18" s="47" t="s">
        <v>21</v>
      </c>
      <c r="Q18" s="49" t="s">
        <v>22</v>
      </c>
      <c r="R18" s="50" t="s">
        <v>23</v>
      </c>
      <c r="S18" s="51" t="s">
        <v>24</v>
      </c>
      <c r="T18" s="52" t="s">
        <v>25</v>
      </c>
      <c r="U18" s="53"/>
      <c r="V18" s="54"/>
      <c r="W18" s="55" t="s">
        <v>26</v>
      </c>
      <c r="X18" s="56"/>
      <c r="Y18" s="57"/>
      <c r="Z18" s="58" t="s">
        <v>27</v>
      </c>
      <c r="AA18" s="59" t="s">
        <v>28</v>
      </c>
      <c r="AB18" s="60" t="s">
        <v>29</v>
      </c>
      <c r="AC18" s="60" t="s">
        <v>30</v>
      </c>
      <c r="AD18" s="61"/>
    </row>
    <row r="19" spans="2:30" s="1" customFormat="1" ht="16.5" customHeight="1" thickTop="1">
      <c r="B19" s="13"/>
      <c r="C19" s="62"/>
      <c r="D19" s="62"/>
      <c r="E19" s="62"/>
      <c r="F19" s="63"/>
      <c r="G19" s="62"/>
      <c r="H19" s="62"/>
      <c r="I19" s="62"/>
      <c r="J19" s="64"/>
      <c r="K19" s="342"/>
      <c r="L19" s="343"/>
      <c r="M19" s="65"/>
      <c r="N19" s="65"/>
      <c r="O19" s="62"/>
      <c r="P19" s="62"/>
      <c r="Q19" s="66"/>
      <c r="R19" s="67"/>
      <c r="S19" s="68"/>
      <c r="T19" s="69"/>
      <c r="U19" s="70"/>
      <c r="V19" s="70"/>
      <c r="W19" s="71"/>
      <c r="X19" s="71"/>
      <c r="Y19" s="71"/>
      <c r="Z19" s="72"/>
      <c r="AA19" s="73"/>
      <c r="AB19" s="62"/>
      <c r="AC19" s="74"/>
      <c r="AD19" s="14"/>
    </row>
    <row r="20" spans="2:30" s="1" customFormat="1" ht="16.5" customHeight="1">
      <c r="B20" s="13"/>
      <c r="C20" s="75"/>
      <c r="D20" s="75"/>
      <c r="E20" s="75"/>
      <c r="F20" s="76"/>
      <c r="G20" s="76"/>
      <c r="H20" s="75"/>
      <c r="I20" s="75"/>
      <c r="J20" s="77"/>
      <c r="K20" s="355"/>
      <c r="L20" s="356"/>
      <c r="M20" s="79"/>
      <c r="N20" s="79"/>
      <c r="O20" s="75"/>
      <c r="P20" s="75"/>
      <c r="Q20" s="80"/>
      <c r="R20" s="81"/>
      <c r="S20" s="82"/>
      <c r="T20" s="83"/>
      <c r="U20" s="84"/>
      <c r="V20" s="84"/>
      <c r="W20" s="85"/>
      <c r="X20" s="85"/>
      <c r="Y20" s="85"/>
      <c r="Z20" s="86"/>
      <c r="AA20" s="87"/>
      <c r="AB20" s="75"/>
      <c r="AC20" s="88"/>
      <c r="AD20" s="14"/>
    </row>
    <row r="21" spans="2:30" s="1" customFormat="1" ht="16.5" customHeight="1">
      <c r="B21" s="13"/>
      <c r="C21" s="78">
        <v>1</v>
      </c>
      <c r="D21" s="78">
        <v>216223</v>
      </c>
      <c r="E21" s="78">
        <v>4888</v>
      </c>
      <c r="F21" s="76" t="s">
        <v>121</v>
      </c>
      <c r="G21" s="76">
        <v>132</v>
      </c>
      <c r="H21" s="89">
        <v>13</v>
      </c>
      <c r="I21" s="90" t="s">
        <v>66</v>
      </c>
      <c r="J21" s="91">
        <f aca="true" t="shared" si="0" ref="J21:J40">IF(G21=220,$G$14,IF(G21=132,$G$15,$G$16))*IF(H21&gt;25,H21,25)/100</f>
        <v>29.2295</v>
      </c>
      <c r="K21" s="355">
        <v>40179</v>
      </c>
      <c r="L21" s="355">
        <v>40195.643055555556</v>
      </c>
      <c r="M21" s="93">
        <f aca="true" t="shared" si="1" ref="M21:M40">IF(F21="","",(L21-K21)*24)</f>
        <v>399.43333333334886</v>
      </c>
      <c r="N21" s="94">
        <f aca="true" t="shared" si="2" ref="N21:N40">IF(F21="","",ROUND((L21-K21)*24*60,0))</f>
        <v>23966</v>
      </c>
      <c r="O21" s="95" t="s">
        <v>62</v>
      </c>
      <c r="P21" s="353"/>
      <c r="Q21" s="96">
        <f aca="true" t="shared" si="3" ref="Q21:Q40">IF(I21="A",$M$14,IF(I21="B",$M$15,$M$16))</f>
        <v>10</v>
      </c>
      <c r="R21" s="97">
        <f>IF(O21="P",ROUND(N21/60,2)*J21*Q21*0.01,"--")</f>
        <v>1167.5139185</v>
      </c>
      <c r="S21" s="98" t="str">
        <f>IF(O21="RP",ROUND(N21/60,2)*J21*Q21*0.01*P21/100,"--")</f>
        <v>--</v>
      </c>
      <c r="T21" s="99" t="str">
        <f>IF(O21="F",J21*Q21,"--")</f>
        <v>--</v>
      </c>
      <c r="U21" s="99" t="str">
        <f>IF(AND(N21&gt;10,O21="F"),J21*Q21*IF(N21&gt;180,3,ROUND((N21)/60,2)),"--")</f>
        <v>--</v>
      </c>
      <c r="V21" s="100" t="str">
        <f>IF(AND(O21="F",N21&gt;180),(ROUND(N21/60,2)-3)*J21*Q21*0.1,"--")</f>
        <v>--</v>
      </c>
      <c r="W21" s="101" t="str">
        <f>IF(O21="R",J21*Q21*P21/100,"--")</f>
        <v>--</v>
      </c>
      <c r="X21" s="101" t="str">
        <f>IF(AND(N21&gt;10,O21="R"),Q21*J21*P21/100*IF(N21&gt;180,3,ROUND((N21)/60,2)),"--")</f>
        <v>--</v>
      </c>
      <c r="Y21" s="102" t="str">
        <f>IF(AND(O21="R",N21&gt;180),(ROUND(N21/60,2)-3)*J21*Q21*0.1*P21/100,"--")</f>
        <v>--</v>
      </c>
      <c r="Z21" s="103" t="str">
        <f>IF(O21="RF",ROUND(N21/60,2)*J21*Q21*0.1,"--")</f>
        <v>--</v>
      </c>
      <c r="AA21" s="104" t="str">
        <f>IF(O21="RR",ROUND(N21/60,2)*J21*Q21*0.1*P21/100,"--")</f>
        <v>--</v>
      </c>
      <c r="AB21" s="354" t="s">
        <v>63</v>
      </c>
      <c r="AC21" s="105">
        <f>IF(F21="","",SUM(R21:AA21)*IF(AB21="SI",1,2))</f>
        <v>1167.5139185</v>
      </c>
      <c r="AD21" s="106"/>
    </row>
    <row r="22" spans="2:30" s="1" customFormat="1" ht="16.5" customHeight="1">
      <c r="B22" s="13"/>
      <c r="C22" s="78">
        <v>2</v>
      </c>
      <c r="D22" s="78">
        <v>216807</v>
      </c>
      <c r="E22" s="78">
        <v>4889</v>
      </c>
      <c r="F22" s="76" t="s">
        <v>122</v>
      </c>
      <c r="G22" s="76">
        <v>132</v>
      </c>
      <c r="H22" s="89">
        <v>24.7</v>
      </c>
      <c r="I22" s="90" t="s">
        <v>66</v>
      </c>
      <c r="J22" s="91">
        <f t="shared" si="0"/>
        <v>29.2295</v>
      </c>
      <c r="K22" s="355">
        <v>40180.77361111111</v>
      </c>
      <c r="L22" s="355">
        <v>40180.78472222222</v>
      </c>
      <c r="M22" s="93">
        <f t="shared" si="1"/>
        <v>0.26666666666278616</v>
      </c>
      <c r="N22" s="94">
        <f t="shared" si="2"/>
        <v>16</v>
      </c>
      <c r="O22" s="95" t="s">
        <v>64</v>
      </c>
      <c r="P22" s="353"/>
      <c r="Q22" s="96">
        <f t="shared" si="3"/>
        <v>10</v>
      </c>
      <c r="R22" s="97" t="str">
        <f>IF(O22="P",ROUND(N22/60,2)*J22*Q22*0.01,"--")</f>
        <v>--</v>
      </c>
      <c r="S22" s="98" t="str">
        <f>IF(O22="RP",ROUND(N22/60,2)*J22*Q22*0.01*P22/100,"--")</f>
        <v>--</v>
      </c>
      <c r="T22" s="99">
        <f>IF(O22="F",J22*Q22,"--")</f>
        <v>292.295</v>
      </c>
      <c r="U22" s="99">
        <f>IF(AND(N22&gt;10,O22="F"),J22*Q22*IF(N22&gt;180,3,ROUND((N22)/60,2)),"--")</f>
        <v>78.91965</v>
      </c>
      <c r="V22" s="100" t="str">
        <f>IF(AND(O22="F",N22&gt;180),(ROUND(N22/60,2)-3)*J22*Q22*0.1,"--")</f>
        <v>--</v>
      </c>
      <c r="W22" s="101" t="str">
        <f>IF(O22="R",J22*Q22*P22/100,"--")</f>
        <v>--</v>
      </c>
      <c r="X22" s="101" t="str">
        <f>IF(AND(N22&gt;10,O22="R"),Q22*J22*P22/100*IF(N22&gt;180,3,ROUND((N22)/60,2)),"--")</f>
        <v>--</v>
      </c>
      <c r="Y22" s="102" t="str">
        <f>IF(AND(O22="R",N22&gt;180),(ROUND(N22/60,2)-3)*J22*Q22*0.1*P22/100,"--")</f>
        <v>--</v>
      </c>
      <c r="Z22" s="103" t="str">
        <f>IF(O22="RF",ROUND(N22/60,2)*J22*Q22*0.1,"--")</f>
        <v>--</v>
      </c>
      <c r="AA22" s="104" t="str">
        <f>IF(O22="RR",ROUND(N22/60,2)*J22*Q22*0.1*P22/100,"--")</f>
        <v>--</v>
      </c>
      <c r="AB22" s="354" t="s">
        <v>63</v>
      </c>
      <c r="AC22" s="105">
        <f>IF(F22="","",SUM(R22:AA22)*IF(AB22="SI",1,2))</f>
        <v>371.21465</v>
      </c>
      <c r="AD22" s="106"/>
    </row>
    <row r="23" spans="2:30" s="1" customFormat="1" ht="16.5" customHeight="1">
      <c r="B23" s="13"/>
      <c r="C23" s="78">
        <v>3</v>
      </c>
      <c r="D23" s="78">
        <v>217053</v>
      </c>
      <c r="E23" s="78">
        <v>1434</v>
      </c>
      <c r="F23" s="76" t="s">
        <v>123</v>
      </c>
      <c r="G23" s="76">
        <v>66</v>
      </c>
      <c r="H23" s="89">
        <v>60.94</v>
      </c>
      <c r="I23" s="90" t="s">
        <v>66</v>
      </c>
      <c r="J23" s="91">
        <f t="shared" si="0"/>
        <v>71.24982920000001</v>
      </c>
      <c r="K23" s="355">
        <v>40182.00763888889</v>
      </c>
      <c r="L23" s="355">
        <v>40182.14444444444</v>
      </c>
      <c r="M23" s="93">
        <f t="shared" si="1"/>
        <v>3.283333333209157</v>
      </c>
      <c r="N23" s="94">
        <f t="shared" si="2"/>
        <v>197</v>
      </c>
      <c r="O23" s="95" t="s">
        <v>64</v>
      </c>
      <c r="P23" s="353"/>
      <c r="Q23" s="96">
        <f t="shared" si="3"/>
        <v>10</v>
      </c>
      <c r="R23" s="97" t="str">
        <f>IF(O23="P",ROUND(N23/60,2)*J23*Q23*0.01,"--")</f>
        <v>--</v>
      </c>
      <c r="S23" s="98" t="str">
        <f>IF(O23="RP",ROUND(N23/60,2)*J23*Q23*0.01*P23/100,"--")</f>
        <v>--</v>
      </c>
      <c r="T23" s="99">
        <f>IF(O23="F",J23*Q23,"--")</f>
        <v>712.4982920000001</v>
      </c>
      <c r="U23" s="99">
        <f>IF(AND(N23&gt;10,O23="F"),J23*Q23*IF(N23&gt;180,3,ROUND((N23)/60,2)),"--")</f>
        <v>2137.494876</v>
      </c>
      <c r="V23" s="100">
        <f>IF(AND(O23="F",N23&gt;180),(ROUND(N23/60,2)-3)*J23*Q23*0.1,"--")</f>
        <v>19.94995217599999</v>
      </c>
      <c r="W23" s="101" t="str">
        <f>IF(O23="R",J23*Q23*P23/100,"--")</f>
        <v>--</v>
      </c>
      <c r="X23" s="101" t="str">
        <f>IF(AND(N23&gt;10,O23="R"),Q23*J23*P23/100*IF(N23&gt;180,3,ROUND((N23)/60,2)),"--")</f>
        <v>--</v>
      </c>
      <c r="Y23" s="102" t="str">
        <f>IF(AND(O23="R",N23&gt;180),(ROUND(N23/60,2)-3)*J23*Q23*0.1*P23/100,"--")</f>
        <v>--</v>
      </c>
      <c r="Z23" s="103" t="str">
        <f>IF(O23="RF",ROUND(N23/60,2)*J23*Q23*0.1,"--")</f>
        <v>--</v>
      </c>
      <c r="AA23" s="104" t="str">
        <f>IF(O23="RR",ROUND(N23/60,2)*J23*Q23*0.1*P23/100,"--")</f>
        <v>--</v>
      </c>
      <c r="AB23" s="354" t="s">
        <v>63</v>
      </c>
      <c r="AC23" s="105">
        <f>IF(F23="","",SUM(R23:AA23)*IF(AB23="SI",1,2))</f>
        <v>2869.9431201760003</v>
      </c>
      <c r="AD23" s="106"/>
    </row>
    <row r="24" spans="2:30" s="1" customFormat="1" ht="16.5" customHeight="1">
      <c r="B24" s="13"/>
      <c r="C24" s="78">
        <v>4</v>
      </c>
      <c r="D24" s="78">
        <v>217054</v>
      </c>
      <c r="E24" s="78">
        <v>1536</v>
      </c>
      <c r="F24" s="76" t="s">
        <v>65</v>
      </c>
      <c r="G24" s="76">
        <v>66</v>
      </c>
      <c r="H24" s="89">
        <v>46.79999923706055</v>
      </c>
      <c r="I24" s="90" t="s">
        <v>66</v>
      </c>
      <c r="J24" s="91">
        <f t="shared" si="0"/>
        <v>54.717623107986455</v>
      </c>
      <c r="K24" s="355">
        <v>40182.00763888889</v>
      </c>
      <c r="L24" s="355">
        <v>40182.01111111111</v>
      </c>
      <c r="M24" s="93">
        <f t="shared" si="1"/>
        <v>0.08333333325572312</v>
      </c>
      <c r="N24" s="94">
        <f t="shared" si="2"/>
        <v>5</v>
      </c>
      <c r="O24" s="95" t="s">
        <v>64</v>
      </c>
      <c r="P24" s="353"/>
      <c r="Q24" s="96">
        <f t="shared" si="3"/>
        <v>10</v>
      </c>
      <c r="R24" s="97" t="str">
        <f>IF(O24="P",ROUND(N24/60,2)*J24*Q24*0.01,"--")</f>
        <v>--</v>
      </c>
      <c r="S24" s="98" t="str">
        <f>IF(O24="RP",ROUND(N24/60,2)*J24*Q24*0.01*P24/100,"--")</f>
        <v>--</v>
      </c>
      <c r="T24" s="99">
        <f>IF(O24="F",J24*Q24,"--")</f>
        <v>547.1762310798646</v>
      </c>
      <c r="U24" s="99" t="str">
        <f>IF(AND(N24&gt;10,O24="F"),J24*Q24*IF(N24&gt;180,3,ROUND((N24)/60,2)),"--")</f>
        <v>--</v>
      </c>
      <c r="V24" s="100" t="str">
        <f>IF(AND(O24="F",N24&gt;180),(ROUND(N24/60,2)-3)*J24*Q24*0.1,"--")</f>
        <v>--</v>
      </c>
      <c r="W24" s="101" t="str">
        <f>IF(O24="R",J24*Q24*P24/100,"--")</f>
        <v>--</v>
      </c>
      <c r="X24" s="101" t="str">
        <f>IF(AND(N24&gt;10,O24="R"),Q24*J24*P24/100*IF(N24&gt;180,3,ROUND((N24)/60,2)),"--")</f>
        <v>--</v>
      </c>
      <c r="Y24" s="102" t="str">
        <f>IF(AND(O24="R",N24&gt;180),(ROUND(N24/60,2)-3)*J24*Q24*0.1*P24/100,"--")</f>
        <v>--</v>
      </c>
      <c r="Z24" s="103" t="str">
        <f>IF(O24="RF",ROUND(N24/60,2)*J24*Q24*0.1,"--")</f>
        <v>--</v>
      </c>
      <c r="AA24" s="104" t="str">
        <f>IF(O24="RR",ROUND(N24/60,2)*J24*Q24*0.1*P24/100,"--")</f>
        <v>--</v>
      </c>
      <c r="AB24" s="354" t="s">
        <v>63</v>
      </c>
      <c r="AC24" s="105">
        <f>IF(F24="","",SUM(R24:AA24)*IF(AB24="SI",1,2))</f>
        <v>547.1762310798646</v>
      </c>
      <c r="AD24" s="106"/>
    </row>
    <row r="25" spans="2:30" s="148" customFormat="1" ht="16.5" customHeight="1">
      <c r="B25" s="157"/>
      <c r="C25" s="209" t="s">
        <v>155</v>
      </c>
      <c r="D25" s="209">
        <v>217078</v>
      </c>
      <c r="E25" s="209">
        <v>2648</v>
      </c>
      <c r="F25" s="385" t="s">
        <v>67</v>
      </c>
      <c r="G25" s="385">
        <v>132</v>
      </c>
      <c r="H25" s="386">
        <v>3.200000047683716</v>
      </c>
      <c r="I25" s="387" t="s">
        <v>66</v>
      </c>
      <c r="J25" s="91">
        <f t="shared" si="0"/>
        <v>29.2295</v>
      </c>
      <c r="K25" s="355">
        <v>40182.381944444445</v>
      </c>
      <c r="L25" s="355">
        <v>40187.350694444445</v>
      </c>
      <c r="M25" s="224">
        <f t="shared" si="1"/>
        <v>119.25</v>
      </c>
      <c r="N25" s="388">
        <f t="shared" si="2"/>
        <v>7155</v>
      </c>
      <c r="O25" s="226" t="s">
        <v>62</v>
      </c>
      <c r="P25" s="352"/>
      <c r="Q25" s="96">
        <f t="shared" si="3"/>
        <v>10</v>
      </c>
      <c r="R25" s="97">
        <f aca="true" t="shared" si="4" ref="R25:R39">IF(O25="P",ROUND(N25/60,2)*J25*Q25*0.01,"--")</f>
        <v>348.5617875000001</v>
      </c>
      <c r="S25" s="98" t="str">
        <f aca="true" t="shared" si="5" ref="S25:S39">IF(O25="RP",ROUND(N25/60,2)*J25*Q25*0.01*P25/100,"--")</f>
        <v>--</v>
      </c>
      <c r="T25" s="99" t="str">
        <f aca="true" t="shared" si="6" ref="T25:T39">IF(O25="F",J25*Q25,"--")</f>
        <v>--</v>
      </c>
      <c r="U25" s="99" t="str">
        <f aca="true" t="shared" si="7" ref="U25:U39">IF(AND(N25&gt;10,O25="F"),J25*Q25*IF(N25&gt;180,3,ROUND((N25)/60,2)),"--")</f>
        <v>--</v>
      </c>
      <c r="V25" s="100" t="str">
        <f aca="true" t="shared" si="8" ref="V25:V39">IF(AND(O25="F",N25&gt;180),(ROUND(N25/60,2)-3)*J25*Q25*0.1,"--")</f>
        <v>--</v>
      </c>
      <c r="W25" s="101" t="str">
        <f aca="true" t="shared" si="9" ref="W25:W39">IF(O25="R",J25*Q25*P25/100,"--")</f>
        <v>--</v>
      </c>
      <c r="X25" s="101" t="str">
        <f aca="true" t="shared" si="10" ref="X25:X39">IF(AND(N25&gt;10,O25="R"),Q25*J25*P25/100*IF(N25&gt;180,3,ROUND((N25)/60,2)),"--")</f>
        <v>--</v>
      </c>
      <c r="Y25" s="102" t="str">
        <f aca="true" t="shared" si="11" ref="Y25:Y39">IF(AND(O25="R",N25&gt;180),(ROUND(N25/60,2)-3)*J25*Q25*0.1*P25/100,"--")</f>
        <v>--</v>
      </c>
      <c r="Z25" s="103" t="str">
        <f aca="true" t="shared" si="12" ref="Z25:Z39">IF(O25="RF",ROUND(N25/60,2)*J25*Q25*0.1,"--")</f>
        <v>--</v>
      </c>
      <c r="AA25" s="104" t="str">
        <f aca="true" t="shared" si="13" ref="AA25:AA39">IF(O25="RR",ROUND(N25/60,2)*J25*Q25*0.1*P25/100,"--")</f>
        <v>--</v>
      </c>
      <c r="AB25" s="354" t="s">
        <v>63</v>
      </c>
      <c r="AC25" s="105">
        <v>0</v>
      </c>
      <c r="AD25" s="236"/>
    </row>
    <row r="26" spans="2:30" s="148" customFormat="1" ht="16.5" customHeight="1">
      <c r="B26" s="157"/>
      <c r="C26" s="209">
        <v>6</v>
      </c>
      <c r="D26" s="209">
        <v>217079</v>
      </c>
      <c r="E26" s="209">
        <v>1543</v>
      </c>
      <c r="F26" s="385" t="s">
        <v>68</v>
      </c>
      <c r="G26" s="385">
        <v>132</v>
      </c>
      <c r="H26" s="386">
        <v>24.100000381469727</v>
      </c>
      <c r="I26" s="387" t="s">
        <v>66</v>
      </c>
      <c r="J26" s="91">
        <f t="shared" si="0"/>
        <v>29.2295</v>
      </c>
      <c r="K26" s="355">
        <v>40182.42013888889</v>
      </c>
      <c r="L26" s="355">
        <v>40182.6125</v>
      </c>
      <c r="M26" s="224">
        <f t="shared" si="1"/>
        <v>4.616666666697711</v>
      </c>
      <c r="N26" s="388">
        <f t="shared" si="2"/>
        <v>277</v>
      </c>
      <c r="O26" s="355" t="s">
        <v>62</v>
      </c>
      <c r="P26" s="352"/>
      <c r="Q26" s="96">
        <f t="shared" si="3"/>
        <v>10</v>
      </c>
      <c r="R26" s="97">
        <f t="shared" si="4"/>
        <v>13.504029000000001</v>
      </c>
      <c r="S26" s="98" t="str">
        <f t="shared" si="5"/>
        <v>--</v>
      </c>
      <c r="T26" s="99" t="str">
        <f t="shared" si="6"/>
        <v>--</v>
      </c>
      <c r="U26" s="99" t="str">
        <f t="shared" si="7"/>
        <v>--</v>
      </c>
      <c r="V26" s="100" t="str">
        <f t="shared" si="8"/>
        <v>--</v>
      </c>
      <c r="W26" s="101" t="str">
        <f t="shared" si="9"/>
        <v>--</v>
      </c>
      <c r="X26" s="101" t="str">
        <f t="shared" si="10"/>
        <v>--</v>
      </c>
      <c r="Y26" s="102" t="str">
        <f t="shared" si="11"/>
        <v>--</v>
      </c>
      <c r="Z26" s="103" t="str">
        <f t="shared" si="12"/>
        <v>--</v>
      </c>
      <c r="AA26" s="104" t="str">
        <f t="shared" si="13"/>
        <v>--</v>
      </c>
      <c r="AB26" s="354" t="s">
        <v>63</v>
      </c>
      <c r="AC26" s="105">
        <f aca="true" t="shared" si="14" ref="AC26:AC39">IF(F26="","",SUM(R26:AA26)*IF(AB26="SI",1,2))</f>
        <v>13.504029000000001</v>
      </c>
      <c r="AD26" s="236"/>
    </row>
    <row r="27" spans="2:30" s="148" customFormat="1" ht="16.5" customHeight="1">
      <c r="B27" s="157"/>
      <c r="C27" s="209">
        <v>7</v>
      </c>
      <c r="D27" s="209">
        <v>217080</v>
      </c>
      <c r="E27" s="209">
        <v>1532</v>
      </c>
      <c r="F27" s="385" t="s">
        <v>69</v>
      </c>
      <c r="G27" s="385">
        <v>132</v>
      </c>
      <c r="H27" s="386">
        <v>141</v>
      </c>
      <c r="I27" s="387" t="s">
        <v>70</v>
      </c>
      <c r="J27" s="91">
        <f t="shared" si="0"/>
        <v>164.85438000000002</v>
      </c>
      <c r="K27" s="355">
        <v>40182.46944444445</v>
      </c>
      <c r="L27" s="355">
        <v>40182.62847222222</v>
      </c>
      <c r="M27" s="224">
        <f t="shared" si="1"/>
        <v>3.8166666665347293</v>
      </c>
      <c r="N27" s="388">
        <f t="shared" si="2"/>
        <v>229</v>
      </c>
      <c r="O27" s="355" t="s">
        <v>62</v>
      </c>
      <c r="P27" s="352"/>
      <c r="Q27" s="96">
        <f t="shared" si="3"/>
        <v>50</v>
      </c>
      <c r="R27" s="97">
        <f t="shared" si="4"/>
        <v>314.8718658</v>
      </c>
      <c r="S27" s="98" t="str">
        <f t="shared" si="5"/>
        <v>--</v>
      </c>
      <c r="T27" s="99" t="str">
        <f t="shared" si="6"/>
        <v>--</v>
      </c>
      <c r="U27" s="99" t="str">
        <f t="shared" si="7"/>
        <v>--</v>
      </c>
      <c r="V27" s="100" t="str">
        <f t="shared" si="8"/>
        <v>--</v>
      </c>
      <c r="W27" s="101" t="str">
        <f t="shared" si="9"/>
        <v>--</v>
      </c>
      <c r="X27" s="101" t="str">
        <f t="shared" si="10"/>
        <v>--</v>
      </c>
      <c r="Y27" s="102" t="str">
        <f t="shared" si="11"/>
        <v>--</v>
      </c>
      <c r="Z27" s="103" t="str">
        <f t="shared" si="12"/>
        <v>--</v>
      </c>
      <c r="AA27" s="104" t="str">
        <f t="shared" si="13"/>
        <v>--</v>
      </c>
      <c r="AB27" s="354" t="s">
        <v>63</v>
      </c>
      <c r="AC27" s="105">
        <f t="shared" si="14"/>
        <v>314.8718658</v>
      </c>
      <c r="AD27" s="236"/>
    </row>
    <row r="28" spans="2:30" s="148" customFormat="1" ht="16.5" customHeight="1">
      <c r="B28" s="157"/>
      <c r="C28" s="209">
        <v>8</v>
      </c>
      <c r="D28" s="209">
        <v>217085</v>
      </c>
      <c r="E28" s="209">
        <v>1543</v>
      </c>
      <c r="F28" s="385" t="s">
        <v>68</v>
      </c>
      <c r="G28" s="385">
        <v>132</v>
      </c>
      <c r="H28" s="386">
        <v>24.100000381469727</v>
      </c>
      <c r="I28" s="387" t="s">
        <v>66</v>
      </c>
      <c r="J28" s="91">
        <f t="shared" si="0"/>
        <v>29.2295</v>
      </c>
      <c r="K28" s="355">
        <v>40183.39375</v>
      </c>
      <c r="L28" s="355">
        <v>40183.64166666667</v>
      </c>
      <c r="M28" s="224">
        <f t="shared" si="1"/>
        <v>5.9500000000116415</v>
      </c>
      <c r="N28" s="388">
        <f t="shared" si="2"/>
        <v>357</v>
      </c>
      <c r="O28" s="355" t="s">
        <v>62</v>
      </c>
      <c r="P28" s="352"/>
      <c r="Q28" s="96">
        <f t="shared" si="3"/>
        <v>10</v>
      </c>
      <c r="R28" s="97">
        <f t="shared" si="4"/>
        <v>17.3915525</v>
      </c>
      <c r="S28" s="98" t="str">
        <f t="shared" si="5"/>
        <v>--</v>
      </c>
      <c r="T28" s="99" t="str">
        <f t="shared" si="6"/>
        <v>--</v>
      </c>
      <c r="U28" s="99" t="str">
        <f t="shared" si="7"/>
        <v>--</v>
      </c>
      <c r="V28" s="100" t="str">
        <f t="shared" si="8"/>
        <v>--</v>
      </c>
      <c r="W28" s="101" t="str">
        <f t="shared" si="9"/>
        <v>--</v>
      </c>
      <c r="X28" s="101" t="str">
        <f t="shared" si="10"/>
        <v>--</v>
      </c>
      <c r="Y28" s="102" t="str">
        <f t="shared" si="11"/>
        <v>--</v>
      </c>
      <c r="Z28" s="103" t="str">
        <f t="shared" si="12"/>
        <v>--</v>
      </c>
      <c r="AA28" s="104" t="str">
        <f t="shared" si="13"/>
        <v>--</v>
      </c>
      <c r="AB28" s="354" t="s">
        <v>63</v>
      </c>
      <c r="AC28" s="105">
        <f t="shared" si="14"/>
        <v>17.3915525</v>
      </c>
      <c r="AD28" s="236"/>
    </row>
    <row r="29" spans="2:30" s="148" customFormat="1" ht="16.5" customHeight="1">
      <c r="B29" s="157"/>
      <c r="C29" s="209">
        <v>9</v>
      </c>
      <c r="D29" s="209">
        <v>217093</v>
      </c>
      <c r="E29" s="209">
        <v>1532</v>
      </c>
      <c r="F29" s="385" t="s">
        <v>69</v>
      </c>
      <c r="G29" s="385">
        <v>132</v>
      </c>
      <c r="H29" s="386">
        <v>141</v>
      </c>
      <c r="I29" s="387" t="s">
        <v>70</v>
      </c>
      <c r="J29" s="91">
        <f t="shared" si="0"/>
        <v>164.85438000000002</v>
      </c>
      <c r="K29" s="355">
        <v>40183.415972222225</v>
      </c>
      <c r="L29" s="355">
        <v>40183.71319444444</v>
      </c>
      <c r="M29" s="224">
        <f t="shared" si="1"/>
        <v>7.133333333185874</v>
      </c>
      <c r="N29" s="388">
        <f t="shared" si="2"/>
        <v>428</v>
      </c>
      <c r="O29" s="355" t="s">
        <v>62</v>
      </c>
      <c r="P29" s="352"/>
      <c r="Q29" s="96">
        <f t="shared" si="3"/>
        <v>50</v>
      </c>
      <c r="R29" s="97">
        <f t="shared" si="4"/>
        <v>587.7058647000001</v>
      </c>
      <c r="S29" s="98" t="str">
        <f t="shared" si="5"/>
        <v>--</v>
      </c>
      <c r="T29" s="99" t="str">
        <f t="shared" si="6"/>
        <v>--</v>
      </c>
      <c r="U29" s="99" t="str">
        <f t="shared" si="7"/>
        <v>--</v>
      </c>
      <c r="V29" s="100" t="str">
        <f t="shared" si="8"/>
        <v>--</v>
      </c>
      <c r="W29" s="101" t="str">
        <f t="shared" si="9"/>
        <v>--</v>
      </c>
      <c r="X29" s="101" t="str">
        <f t="shared" si="10"/>
        <v>--</v>
      </c>
      <c r="Y29" s="102" t="str">
        <f t="shared" si="11"/>
        <v>--</v>
      </c>
      <c r="Z29" s="103" t="str">
        <f t="shared" si="12"/>
        <v>--</v>
      </c>
      <c r="AA29" s="104" t="str">
        <f t="shared" si="13"/>
        <v>--</v>
      </c>
      <c r="AB29" s="354" t="s">
        <v>63</v>
      </c>
      <c r="AC29" s="105">
        <f t="shared" si="14"/>
        <v>587.7058647000001</v>
      </c>
      <c r="AD29" s="236"/>
    </row>
    <row r="30" spans="2:30" s="148" customFormat="1" ht="16.5" customHeight="1">
      <c r="B30" s="157"/>
      <c r="C30" s="209">
        <v>10</v>
      </c>
      <c r="D30" s="209">
        <v>217095</v>
      </c>
      <c r="E30" s="209">
        <v>1453</v>
      </c>
      <c r="F30" s="385" t="s">
        <v>71</v>
      </c>
      <c r="G30" s="385">
        <v>132</v>
      </c>
      <c r="H30" s="386">
        <v>5.300000190734863</v>
      </c>
      <c r="I30" s="387" t="s">
        <v>66</v>
      </c>
      <c r="J30" s="91">
        <f t="shared" si="0"/>
        <v>29.2295</v>
      </c>
      <c r="K30" s="355">
        <v>40183.60763888889</v>
      </c>
      <c r="L30" s="355">
        <v>40183.66111111111</v>
      </c>
      <c r="M30" s="224">
        <f t="shared" si="1"/>
        <v>1.2833333333255723</v>
      </c>
      <c r="N30" s="388">
        <f t="shared" si="2"/>
        <v>77</v>
      </c>
      <c r="O30" s="355" t="s">
        <v>64</v>
      </c>
      <c r="P30" s="352"/>
      <c r="Q30" s="96">
        <f t="shared" si="3"/>
        <v>10</v>
      </c>
      <c r="R30" s="97" t="str">
        <f t="shared" si="4"/>
        <v>--</v>
      </c>
      <c r="S30" s="98" t="str">
        <f t="shared" si="5"/>
        <v>--</v>
      </c>
      <c r="T30" s="99">
        <f t="shared" si="6"/>
        <v>292.295</v>
      </c>
      <c r="U30" s="99">
        <f t="shared" si="7"/>
        <v>374.1376</v>
      </c>
      <c r="V30" s="100" t="str">
        <f t="shared" si="8"/>
        <v>--</v>
      </c>
      <c r="W30" s="101" t="str">
        <f t="shared" si="9"/>
        <v>--</v>
      </c>
      <c r="X30" s="101" t="str">
        <f t="shared" si="10"/>
        <v>--</v>
      </c>
      <c r="Y30" s="102" t="str">
        <f t="shared" si="11"/>
        <v>--</v>
      </c>
      <c r="Z30" s="103" t="str">
        <f t="shared" si="12"/>
        <v>--</v>
      </c>
      <c r="AA30" s="104" t="str">
        <f t="shared" si="13"/>
        <v>--</v>
      </c>
      <c r="AB30" s="354" t="s">
        <v>63</v>
      </c>
      <c r="AC30" s="105">
        <f t="shared" si="14"/>
        <v>666.4326000000001</v>
      </c>
      <c r="AD30" s="236"/>
    </row>
    <row r="31" spans="2:30" s="148" customFormat="1" ht="16.5" customHeight="1">
      <c r="B31" s="157"/>
      <c r="C31" s="209">
        <v>11</v>
      </c>
      <c r="D31" s="209">
        <v>217096</v>
      </c>
      <c r="E31" s="209">
        <v>1452</v>
      </c>
      <c r="F31" s="385" t="s">
        <v>72</v>
      </c>
      <c r="G31" s="385">
        <v>132</v>
      </c>
      <c r="H31" s="386">
        <v>51.5099983215332</v>
      </c>
      <c r="I31" s="387" t="s">
        <v>66</v>
      </c>
      <c r="J31" s="91">
        <f t="shared" si="0"/>
        <v>60.224459837570194</v>
      </c>
      <c r="K31" s="355">
        <v>40183.60763888889</v>
      </c>
      <c r="L31" s="355">
        <v>40183.70486111111</v>
      </c>
      <c r="M31" s="224">
        <f t="shared" si="1"/>
        <v>2.333333333255723</v>
      </c>
      <c r="N31" s="388">
        <f t="shared" si="2"/>
        <v>140</v>
      </c>
      <c r="O31" s="355" t="s">
        <v>64</v>
      </c>
      <c r="P31" s="352"/>
      <c r="Q31" s="96">
        <f t="shared" si="3"/>
        <v>10</v>
      </c>
      <c r="R31" s="97" t="str">
        <f t="shared" si="4"/>
        <v>--</v>
      </c>
      <c r="S31" s="98" t="str">
        <f t="shared" si="5"/>
        <v>--</v>
      </c>
      <c r="T31" s="99">
        <f t="shared" si="6"/>
        <v>602.2445983757019</v>
      </c>
      <c r="U31" s="99">
        <f t="shared" si="7"/>
        <v>1403.2299142153854</v>
      </c>
      <c r="V31" s="100" t="str">
        <f t="shared" si="8"/>
        <v>--</v>
      </c>
      <c r="W31" s="101" t="str">
        <f t="shared" si="9"/>
        <v>--</v>
      </c>
      <c r="X31" s="101" t="str">
        <f t="shared" si="10"/>
        <v>--</v>
      </c>
      <c r="Y31" s="102" t="str">
        <f t="shared" si="11"/>
        <v>--</v>
      </c>
      <c r="Z31" s="103" t="str">
        <f t="shared" si="12"/>
        <v>--</v>
      </c>
      <c r="AA31" s="104" t="str">
        <f t="shared" si="13"/>
        <v>--</v>
      </c>
      <c r="AB31" s="354" t="s">
        <v>63</v>
      </c>
      <c r="AC31" s="105">
        <f t="shared" si="14"/>
        <v>2005.4745125910872</v>
      </c>
      <c r="AD31" s="236"/>
    </row>
    <row r="32" spans="2:30" s="148" customFormat="1" ht="16.5" customHeight="1">
      <c r="B32" s="157"/>
      <c r="C32" s="209">
        <v>12</v>
      </c>
      <c r="D32" s="209">
        <v>217098</v>
      </c>
      <c r="E32" s="209">
        <v>1436</v>
      </c>
      <c r="F32" s="385" t="s">
        <v>73</v>
      </c>
      <c r="G32" s="385">
        <v>66</v>
      </c>
      <c r="H32" s="386">
        <v>80.0999984741211</v>
      </c>
      <c r="I32" s="387" t="s">
        <v>70</v>
      </c>
      <c r="J32" s="91">
        <f t="shared" si="0"/>
        <v>93.65131621597291</v>
      </c>
      <c r="K32" s="355">
        <v>40183.625</v>
      </c>
      <c r="L32" s="355">
        <v>40183.92152777778</v>
      </c>
      <c r="M32" s="224">
        <f aca="true" t="shared" si="15" ref="M32:M38">IF(F32="","",(L32-K32)*24)</f>
        <v>7.116666666639503</v>
      </c>
      <c r="N32" s="388">
        <f aca="true" t="shared" si="16" ref="N32:N38">IF(F32="","",ROUND((L32-K32)*24*60,0))</f>
        <v>427</v>
      </c>
      <c r="O32" s="355" t="s">
        <v>64</v>
      </c>
      <c r="P32" s="352"/>
      <c r="Q32" s="96">
        <f t="shared" si="3"/>
        <v>50</v>
      </c>
      <c r="R32" s="97" t="str">
        <f t="shared" si="4"/>
        <v>--</v>
      </c>
      <c r="S32" s="98" t="str">
        <f t="shared" si="5"/>
        <v>--</v>
      </c>
      <c r="T32" s="99">
        <f t="shared" si="6"/>
        <v>4682.5658107986455</v>
      </c>
      <c r="U32" s="99">
        <f t="shared" si="7"/>
        <v>14047.697432395937</v>
      </c>
      <c r="V32" s="100">
        <f t="shared" si="8"/>
        <v>1929.217114049042</v>
      </c>
      <c r="W32" s="101" t="str">
        <f t="shared" si="9"/>
        <v>--</v>
      </c>
      <c r="X32" s="101" t="str">
        <f t="shared" si="10"/>
        <v>--</v>
      </c>
      <c r="Y32" s="102" t="str">
        <f t="shared" si="11"/>
        <v>--</v>
      </c>
      <c r="Z32" s="103" t="str">
        <f t="shared" si="12"/>
        <v>--</v>
      </c>
      <c r="AA32" s="104" t="str">
        <f t="shared" si="13"/>
        <v>--</v>
      </c>
      <c r="AB32" s="354" t="s">
        <v>63</v>
      </c>
      <c r="AC32" s="105">
        <f t="shared" si="14"/>
        <v>20659.480357243625</v>
      </c>
      <c r="AD32" s="236"/>
    </row>
    <row r="33" spans="2:30" s="148" customFormat="1" ht="16.5" customHeight="1">
      <c r="B33" s="157"/>
      <c r="C33" s="209">
        <v>13</v>
      </c>
      <c r="D33" s="209" t="s">
        <v>74</v>
      </c>
      <c r="E33" s="209">
        <v>14401524</v>
      </c>
      <c r="F33" s="385" t="s">
        <v>75</v>
      </c>
      <c r="G33" s="385">
        <v>132</v>
      </c>
      <c r="H33" s="386">
        <v>132.3000030517578</v>
      </c>
      <c r="I33" s="387" t="s">
        <v>66</v>
      </c>
      <c r="J33" s="91">
        <f t="shared" si="0"/>
        <v>154.6825175680542</v>
      </c>
      <c r="K33" s="355">
        <v>40183.65972222222</v>
      </c>
      <c r="L33" s="355">
        <v>40183.700694444444</v>
      </c>
      <c r="M33" s="224">
        <f t="shared" si="15"/>
        <v>0.9833333333954215</v>
      </c>
      <c r="N33" s="388">
        <f t="shared" si="16"/>
        <v>59</v>
      </c>
      <c r="O33" s="355" t="s">
        <v>145</v>
      </c>
      <c r="P33" s="352"/>
      <c r="Q33" s="96">
        <f t="shared" si="3"/>
        <v>10</v>
      </c>
      <c r="R33" s="97" t="str">
        <f t="shared" si="4"/>
        <v>--</v>
      </c>
      <c r="S33" s="98" t="str">
        <f t="shared" si="5"/>
        <v>--</v>
      </c>
      <c r="T33" s="99" t="str">
        <f t="shared" si="6"/>
        <v>--</v>
      </c>
      <c r="U33" s="99">
        <f>IF(AND(N33&gt;10,O33="FM"),J33*Q33*IF(N33&gt;180,3,ROUND((N33)/60,2)),"--")</f>
        <v>1515.8886721669312</v>
      </c>
      <c r="V33" s="100" t="str">
        <f>IF(AND(O33="FM",N33&gt;180),(ROUND(N33/60,2)-3)*J33*Q33*0.1,"--")</f>
        <v>--</v>
      </c>
      <c r="W33" s="101" t="str">
        <f t="shared" si="9"/>
        <v>--</v>
      </c>
      <c r="X33" s="101" t="str">
        <f t="shared" si="10"/>
        <v>--</v>
      </c>
      <c r="Y33" s="102" t="str">
        <f t="shared" si="11"/>
        <v>--</v>
      </c>
      <c r="Z33" s="103" t="str">
        <f t="shared" si="12"/>
        <v>--</v>
      </c>
      <c r="AA33" s="104" t="str">
        <f t="shared" si="13"/>
        <v>--</v>
      </c>
      <c r="AB33" s="354" t="s">
        <v>63</v>
      </c>
      <c r="AC33" s="105">
        <f t="shared" si="14"/>
        <v>1515.8886721669312</v>
      </c>
      <c r="AD33" s="236"/>
    </row>
    <row r="34" spans="2:30" s="148" customFormat="1" ht="16.5" customHeight="1">
      <c r="B34" s="389"/>
      <c r="C34" s="209">
        <v>14</v>
      </c>
      <c r="D34" s="209">
        <v>217104</v>
      </c>
      <c r="E34" s="209">
        <v>1532</v>
      </c>
      <c r="F34" s="385" t="s">
        <v>69</v>
      </c>
      <c r="G34" s="385">
        <v>132</v>
      </c>
      <c r="H34" s="386">
        <v>141</v>
      </c>
      <c r="I34" s="387" t="s">
        <v>70</v>
      </c>
      <c r="J34" s="91">
        <f t="shared" si="0"/>
        <v>164.85438000000002</v>
      </c>
      <c r="K34" s="355">
        <v>40183.81805555556</v>
      </c>
      <c r="L34" s="355">
        <v>40183.94305555556</v>
      </c>
      <c r="M34" s="224">
        <f t="shared" si="15"/>
        <v>3</v>
      </c>
      <c r="N34" s="388">
        <f t="shared" si="16"/>
        <v>180</v>
      </c>
      <c r="O34" s="355" t="s">
        <v>145</v>
      </c>
      <c r="P34" s="352"/>
      <c r="Q34" s="96">
        <f t="shared" si="3"/>
        <v>50</v>
      </c>
      <c r="R34" s="97" t="str">
        <f t="shared" si="4"/>
        <v>--</v>
      </c>
      <c r="S34" s="98" t="str">
        <f t="shared" si="5"/>
        <v>--</v>
      </c>
      <c r="T34" s="99" t="str">
        <f t="shared" si="6"/>
        <v>--</v>
      </c>
      <c r="U34" s="99">
        <f>IF(AND(N34&gt;10,O34="FM"),J34*Q34*IF(N34&gt;180,3,ROUND((N34)/60,2)),"--")</f>
        <v>24728.157000000003</v>
      </c>
      <c r="V34" s="100" t="str">
        <f>IF(AND(O34="FM",N34&gt;180),(ROUND(N34/60,2)-3)*J34*Q34*0.1,"--")</f>
        <v>--</v>
      </c>
      <c r="W34" s="101" t="str">
        <f t="shared" si="9"/>
        <v>--</v>
      </c>
      <c r="X34" s="101" t="str">
        <f t="shared" si="10"/>
        <v>--</v>
      </c>
      <c r="Y34" s="102" t="str">
        <f t="shared" si="11"/>
        <v>--</v>
      </c>
      <c r="Z34" s="103" t="str">
        <f t="shared" si="12"/>
        <v>--</v>
      </c>
      <c r="AA34" s="104" t="str">
        <f t="shared" si="13"/>
        <v>--</v>
      </c>
      <c r="AB34" s="354" t="s">
        <v>63</v>
      </c>
      <c r="AC34" s="105">
        <f t="shared" si="14"/>
        <v>24728.157000000003</v>
      </c>
      <c r="AD34" s="236"/>
    </row>
    <row r="35" spans="2:30" s="148" customFormat="1" ht="16.5" customHeight="1">
      <c r="B35" s="389"/>
      <c r="C35" s="209">
        <v>15</v>
      </c>
      <c r="D35" s="209">
        <v>217118</v>
      </c>
      <c r="E35" s="209">
        <v>4831</v>
      </c>
      <c r="F35" s="385" t="s">
        <v>124</v>
      </c>
      <c r="G35" s="385">
        <v>132</v>
      </c>
      <c r="H35" s="386">
        <v>15.73</v>
      </c>
      <c r="I35" s="387" t="s">
        <v>66</v>
      </c>
      <c r="J35" s="91">
        <f t="shared" si="0"/>
        <v>29.2295</v>
      </c>
      <c r="K35" s="355">
        <v>40183.81805555556</v>
      </c>
      <c r="L35" s="355">
        <v>40184.0125</v>
      </c>
      <c r="M35" s="224">
        <f t="shared" si="15"/>
        <v>4.666666666511446</v>
      </c>
      <c r="N35" s="388">
        <f t="shared" si="16"/>
        <v>280</v>
      </c>
      <c r="O35" s="355" t="s">
        <v>145</v>
      </c>
      <c r="P35" s="352"/>
      <c r="Q35" s="96">
        <f t="shared" si="3"/>
        <v>10</v>
      </c>
      <c r="R35" s="97" t="str">
        <f t="shared" si="4"/>
        <v>--</v>
      </c>
      <c r="S35" s="98" t="str">
        <f t="shared" si="5"/>
        <v>--</v>
      </c>
      <c r="T35" s="99" t="str">
        <f t="shared" si="6"/>
        <v>--</v>
      </c>
      <c r="U35" s="99">
        <f>IF(AND(N35&gt;10,O35="FM"),J35*Q35*IF(N35&gt;180,3,ROUND((N35)/60,2)),"--")</f>
        <v>876.885</v>
      </c>
      <c r="V35" s="100">
        <f>IF(AND(O35="FM",N35&gt;180),(ROUND(N35/60,2)-3)*J35*Q35*0.1,"--")</f>
        <v>48.813265</v>
      </c>
      <c r="W35" s="101" t="str">
        <f t="shared" si="9"/>
        <v>--</v>
      </c>
      <c r="X35" s="101" t="str">
        <f t="shared" si="10"/>
        <v>--</v>
      </c>
      <c r="Y35" s="102" t="str">
        <f t="shared" si="11"/>
        <v>--</v>
      </c>
      <c r="Z35" s="103" t="str">
        <f t="shared" si="12"/>
        <v>--</v>
      </c>
      <c r="AA35" s="104" t="str">
        <f t="shared" si="13"/>
        <v>--</v>
      </c>
      <c r="AB35" s="354" t="s">
        <v>63</v>
      </c>
      <c r="AC35" s="105">
        <f t="shared" si="14"/>
        <v>925.698265</v>
      </c>
      <c r="AD35" s="236"/>
    </row>
    <row r="36" spans="2:30" s="148" customFormat="1" ht="16.5" customHeight="1">
      <c r="B36" s="389"/>
      <c r="C36" s="209">
        <v>16</v>
      </c>
      <c r="D36" s="209">
        <v>217117</v>
      </c>
      <c r="E36" s="209">
        <v>1534</v>
      </c>
      <c r="F36" s="385" t="s">
        <v>76</v>
      </c>
      <c r="G36" s="385">
        <v>132</v>
      </c>
      <c r="H36" s="386">
        <v>19</v>
      </c>
      <c r="I36" s="387" t="s">
        <v>66</v>
      </c>
      <c r="J36" s="91">
        <f t="shared" si="0"/>
        <v>29.2295</v>
      </c>
      <c r="K36" s="355">
        <v>40183.81805555556</v>
      </c>
      <c r="L36" s="355">
        <v>40183.910416666666</v>
      </c>
      <c r="M36" s="224">
        <f t="shared" si="15"/>
        <v>2.2166666665580124</v>
      </c>
      <c r="N36" s="388">
        <f t="shared" si="16"/>
        <v>133</v>
      </c>
      <c r="O36" s="355" t="s">
        <v>145</v>
      </c>
      <c r="P36" s="352"/>
      <c r="Q36" s="96">
        <f t="shared" si="3"/>
        <v>10</v>
      </c>
      <c r="R36" s="97" t="str">
        <f t="shared" si="4"/>
        <v>--</v>
      </c>
      <c r="S36" s="98" t="str">
        <f t="shared" si="5"/>
        <v>--</v>
      </c>
      <c r="T36" s="99" t="str">
        <f t="shared" si="6"/>
        <v>--</v>
      </c>
      <c r="U36" s="99">
        <f>IF(AND(N36&gt;10,O36="FM"),J36*Q36*IF(N36&gt;180,3,ROUND((N36)/60,2)),"--")</f>
        <v>648.8949000000001</v>
      </c>
      <c r="V36" s="100" t="str">
        <f>IF(AND(O36="FM",N36&gt;180),(ROUND(N36/60,2)-3)*J36*Q36*0.1,"--")</f>
        <v>--</v>
      </c>
      <c r="W36" s="101" t="str">
        <f t="shared" si="9"/>
        <v>--</v>
      </c>
      <c r="X36" s="101" t="str">
        <f t="shared" si="10"/>
        <v>--</v>
      </c>
      <c r="Y36" s="102" t="str">
        <f t="shared" si="11"/>
        <v>--</v>
      </c>
      <c r="Z36" s="103" t="str">
        <f t="shared" si="12"/>
        <v>--</v>
      </c>
      <c r="AA36" s="104" t="str">
        <f t="shared" si="13"/>
        <v>--</v>
      </c>
      <c r="AB36" s="354" t="s">
        <v>63</v>
      </c>
      <c r="AC36" s="105">
        <f t="shared" si="14"/>
        <v>648.8949000000001</v>
      </c>
      <c r="AD36" s="236"/>
    </row>
    <row r="37" spans="2:30" s="148" customFormat="1" ht="16.5" customHeight="1">
      <c r="B37" s="389"/>
      <c r="C37" s="209" t="s">
        <v>156</v>
      </c>
      <c r="D37" s="209">
        <v>217127</v>
      </c>
      <c r="E37" s="209">
        <v>1999</v>
      </c>
      <c r="F37" s="385" t="s">
        <v>77</v>
      </c>
      <c r="G37" s="385">
        <v>132</v>
      </c>
      <c r="H37" s="386">
        <v>14.699999809265137</v>
      </c>
      <c r="I37" s="387" t="s">
        <v>66</v>
      </c>
      <c r="J37" s="91">
        <f t="shared" si="0"/>
        <v>29.2295</v>
      </c>
      <c r="K37" s="355">
        <v>40183.86597222222</v>
      </c>
      <c r="L37" s="355">
        <v>40183.888194444444</v>
      </c>
      <c r="M37" s="224">
        <f t="shared" si="15"/>
        <v>0.5333333333255723</v>
      </c>
      <c r="N37" s="388">
        <f t="shared" si="16"/>
        <v>32</v>
      </c>
      <c r="O37" s="355" t="s">
        <v>64</v>
      </c>
      <c r="P37" s="352"/>
      <c r="Q37" s="96">
        <f t="shared" si="3"/>
        <v>10</v>
      </c>
      <c r="R37" s="97" t="str">
        <f t="shared" si="4"/>
        <v>--</v>
      </c>
      <c r="S37" s="98" t="str">
        <f t="shared" si="5"/>
        <v>--</v>
      </c>
      <c r="T37" s="99">
        <f t="shared" si="6"/>
        <v>292.295</v>
      </c>
      <c r="U37" s="99">
        <f t="shared" si="7"/>
        <v>154.91635000000002</v>
      </c>
      <c r="V37" s="100" t="str">
        <f t="shared" si="8"/>
        <v>--</v>
      </c>
      <c r="W37" s="101" t="str">
        <f t="shared" si="9"/>
        <v>--</v>
      </c>
      <c r="X37" s="101" t="str">
        <f t="shared" si="10"/>
        <v>--</v>
      </c>
      <c r="Y37" s="102" t="str">
        <f t="shared" si="11"/>
        <v>--</v>
      </c>
      <c r="Z37" s="103" t="str">
        <f t="shared" si="12"/>
        <v>--</v>
      </c>
      <c r="AA37" s="104" t="str">
        <f t="shared" si="13"/>
        <v>--</v>
      </c>
      <c r="AB37" s="354" t="s">
        <v>63</v>
      </c>
      <c r="AC37" s="105">
        <v>0</v>
      </c>
      <c r="AD37" s="236"/>
    </row>
    <row r="38" spans="2:30" s="148" customFormat="1" ht="16.5" customHeight="1">
      <c r="B38" s="389"/>
      <c r="C38" s="209">
        <v>18</v>
      </c>
      <c r="D38" s="209">
        <v>217138</v>
      </c>
      <c r="E38" s="209">
        <v>1543</v>
      </c>
      <c r="F38" s="385" t="s">
        <v>68</v>
      </c>
      <c r="G38" s="385">
        <v>132</v>
      </c>
      <c r="H38" s="386">
        <v>24.100000381469727</v>
      </c>
      <c r="I38" s="387" t="s">
        <v>66</v>
      </c>
      <c r="J38" s="91">
        <f t="shared" si="0"/>
        <v>29.2295</v>
      </c>
      <c r="K38" s="355">
        <v>40184.39444444444</v>
      </c>
      <c r="L38" s="355">
        <v>40184.64166666667</v>
      </c>
      <c r="M38" s="224">
        <f t="shared" si="15"/>
        <v>5.933333333465271</v>
      </c>
      <c r="N38" s="388">
        <f t="shared" si="16"/>
        <v>356</v>
      </c>
      <c r="O38" s="355" t="s">
        <v>62</v>
      </c>
      <c r="P38" s="352"/>
      <c r="Q38" s="96">
        <f t="shared" si="3"/>
        <v>10</v>
      </c>
      <c r="R38" s="97">
        <f t="shared" si="4"/>
        <v>17.3330935</v>
      </c>
      <c r="S38" s="98" t="str">
        <f t="shared" si="5"/>
        <v>--</v>
      </c>
      <c r="T38" s="99" t="str">
        <f t="shared" si="6"/>
        <v>--</v>
      </c>
      <c r="U38" s="99" t="str">
        <f t="shared" si="7"/>
        <v>--</v>
      </c>
      <c r="V38" s="100" t="str">
        <f t="shared" si="8"/>
        <v>--</v>
      </c>
      <c r="W38" s="101" t="str">
        <f t="shared" si="9"/>
        <v>--</v>
      </c>
      <c r="X38" s="101" t="str">
        <f t="shared" si="10"/>
        <v>--</v>
      </c>
      <c r="Y38" s="102" t="str">
        <f t="shared" si="11"/>
        <v>--</v>
      </c>
      <c r="Z38" s="103" t="str">
        <f t="shared" si="12"/>
        <v>--</v>
      </c>
      <c r="AA38" s="104" t="str">
        <f t="shared" si="13"/>
        <v>--</v>
      </c>
      <c r="AB38" s="354" t="s">
        <v>63</v>
      </c>
      <c r="AC38" s="105">
        <f t="shared" si="14"/>
        <v>17.3330935</v>
      </c>
      <c r="AD38" s="236"/>
    </row>
    <row r="39" spans="2:30" s="1" customFormat="1" ht="16.5" customHeight="1">
      <c r="B39" s="107"/>
      <c r="C39" s="78">
        <v>19</v>
      </c>
      <c r="D39" s="78">
        <v>217139</v>
      </c>
      <c r="E39" s="78">
        <v>1532</v>
      </c>
      <c r="F39" s="76" t="s">
        <v>69</v>
      </c>
      <c r="G39" s="76">
        <v>132</v>
      </c>
      <c r="H39" s="89">
        <v>141</v>
      </c>
      <c r="I39" s="90" t="s">
        <v>70</v>
      </c>
      <c r="J39" s="91">
        <f t="shared" si="0"/>
        <v>164.85438000000002</v>
      </c>
      <c r="K39" s="355">
        <v>40184.40902777778</v>
      </c>
      <c r="L39" s="355">
        <v>40184.745833333334</v>
      </c>
      <c r="M39" s="93">
        <f t="shared" si="1"/>
        <v>8.08333333331393</v>
      </c>
      <c r="N39" s="94">
        <f t="shared" si="2"/>
        <v>485</v>
      </c>
      <c r="O39" s="92" t="s">
        <v>62</v>
      </c>
      <c r="P39" s="353"/>
      <c r="Q39" s="96">
        <f t="shared" si="3"/>
        <v>50</v>
      </c>
      <c r="R39" s="97">
        <f t="shared" si="4"/>
        <v>666.0116952000001</v>
      </c>
      <c r="S39" s="98" t="str">
        <f t="shared" si="5"/>
        <v>--</v>
      </c>
      <c r="T39" s="99" t="str">
        <f t="shared" si="6"/>
        <v>--</v>
      </c>
      <c r="U39" s="99" t="str">
        <f t="shared" si="7"/>
        <v>--</v>
      </c>
      <c r="V39" s="100" t="str">
        <f t="shared" si="8"/>
        <v>--</v>
      </c>
      <c r="W39" s="101" t="str">
        <f t="shared" si="9"/>
        <v>--</v>
      </c>
      <c r="X39" s="101" t="str">
        <f t="shared" si="10"/>
        <v>--</v>
      </c>
      <c r="Y39" s="102" t="str">
        <f t="shared" si="11"/>
        <v>--</v>
      </c>
      <c r="Z39" s="103" t="str">
        <f t="shared" si="12"/>
        <v>--</v>
      </c>
      <c r="AA39" s="104" t="str">
        <f t="shared" si="13"/>
        <v>--</v>
      </c>
      <c r="AB39" s="354" t="s">
        <v>63</v>
      </c>
      <c r="AC39" s="105">
        <f t="shared" si="14"/>
        <v>666.0116952000001</v>
      </c>
      <c r="AD39" s="106"/>
    </row>
    <row r="40" spans="2:30" s="1" customFormat="1" ht="16.5" customHeight="1">
      <c r="B40" s="107"/>
      <c r="C40" s="78"/>
      <c r="D40" s="78"/>
      <c r="E40" s="78"/>
      <c r="F40" s="76"/>
      <c r="G40" s="76"/>
      <c r="H40" s="89"/>
      <c r="I40" s="90"/>
      <c r="J40" s="91">
        <f t="shared" si="0"/>
        <v>29.2295</v>
      </c>
      <c r="K40" s="355"/>
      <c r="L40" s="355"/>
      <c r="M40" s="93">
        <f t="shared" si="1"/>
      </c>
      <c r="N40" s="94">
        <f t="shared" si="2"/>
      </c>
      <c r="O40" s="92"/>
      <c r="P40" s="353">
        <f>IF(F40="","","--")</f>
      </c>
      <c r="Q40" s="96">
        <f t="shared" si="3"/>
        <v>10</v>
      </c>
      <c r="R40" s="97" t="str">
        <f>IF(O40="P",ROUND(N40/60,2)*J40*Q40*0.01,"--")</f>
        <v>--</v>
      </c>
      <c r="S40" s="98" t="str">
        <f>IF(O40="RP",ROUND(N40/60,2)*J40*Q40*0.01*P40/100,"--")</f>
        <v>--</v>
      </c>
      <c r="T40" s="99" t="str">
        <f>IF(O40="F",J40*Q40,"--")</f>
        <v>--</v>
      </c>
      <c r="U40" s="99" t="str">
        <f>IF(AND(N40&gt;10,O40="F"),J40*Q40*IF(N40&gt;180,3,ROUND((N40)/60,2)),"--")</f>
        <v>--</v>
      </c>
      <c r="V40" s="100" t="str">
        <f>IF(AND(O40="F",N40&gt;180),(ROUND(N40/60,2)-3)*J40*Q40*0.1,"--")</f>
        <v>--</v>
      </c>
      <c r="W40" s="101" t="str">
        <f>IF(O40="R",J40*Q40*P40/100,"--")</f>
        <v>--</v>
      </c>
      <c r="X40" s="101" t="str">
        <f>IF(AND(N40&gt;10,O40="R"),Q40*J40*P40/100*IF(N40&gt;180,3,ROUND((N40)/60,2)),"--")</f>
        <v>--</v>
      </c>
      <c r="Y40" s="102" t="str">
        <f>IF(AND(O40="R",N40&gt;180),(ROUND(N40/60,2)-3)*J40*Q40*0.1*P40/100,"--")</f>
        <v>--</v>
      </c>
      <c r="Z40" s="103" t="str">
        <f>IF(O40="RF",ROUND(N40/60,2)*J40*Q40*0.1,"--")</f>
        <v>--</v>
      </c>
      <c r="AA40" s="104" t="str">
        <f>IF(O40="RR",ROUND(N40/60,2)*J40*Q40*0.1*P40/100,"--")</f>
        <v>--</v>
      </c>
      <c r="AB40" s="354">
        <f>IF(F40="","","SI")</f>
      </c>
      <c r="AC40" s="105">
        <f>IF(F40="","",SUM(R40:AA40)*IF(AB40="SI",1,2))</f>
      </c>
      <c r="AD40" s="106"/>
    </row>
    <row r="41" spans="2:30" s="1" customFormat="1" ht="16.5" customHeight="1" thickBot="1">
      <c r="B41" s="13"/>
      <c r="C41" s="108"/>
      <c r="D41" s="108"/>
      <c r="E41" s="108"/>
      <c r="F41" s="271"/>
      <c r="G41" s="272"/>
      <c r="H41" s="273"/>
      <c r="I41" s="273"/>
      <c r="J41" s="110"/>
      <c r="K41" s="344"/>
      <c r="L41" s="344"/>
      <c r="M41" s="109"/>
      <c r="N41" s="109"/>
      <c r="O41" s="273"/>
      <c r="P41" s="274"/>
      <c r="Q41" s="275"/>
      <c r="R41" s="276"/>
      <c r="S41" s="277"/>
      <c r="T41" s="278"/>
      <c r="U41" s="279"/>
      <c r="V41" s="279"/>
      <c r="W41" s="280"/>
      <c r="X41" s="280"/>
      <c r="Y41" s="280"/>
      <c r="Z41" s="281"/>
      <c r="AA41" s="282"/>
      <c r="AB41" s="283"/>
      <c r="AC41" s="111"/>
      <c r="AD41" s="106"/>
    </row>
    <row r="42" spans="2:30" s="1" customFormat="1" ht="16.5" customHeight="1" thickBot="1" thickTop="1">
      <c r="B42" s="13"/>
      <c r="C42" s="112" t="s">
        <v>47</v>
      </c>
      <c r="D42" s="358" t="s">
        <v>135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7" ref="R42:AA42">SUM(R19:R41)</f>
        <v>3132.8938067</v>
      </c>
      <c r="S42" s="119">
        <f t="shared" si="17"/>
        <v>0</v>
      </c>
      <c r="T42" s="120">
        <f t="shared" si="17"/>
        <v>7421.3699322542125</v>
      </c>
      <c r="U42" s="120">
        <f t="shared" si="17"/>
        <v>45966.22139477825</v>
      </c>
      <c r="V42" s="120">
        <f t="shared" si="17"/>
        <v>1997.980331225042</v>
      </c>
      <c r="W42" s="121">
        <f t="shared" si="17"/>
        <v>0</v>
      </c>
      <c r="X42" s="121">
        <f t="shared" si="17"/>
        <v>0</v>
      </c>
      <c r="Y42" s="121">
        <f t="shared" si="17"/>
        <v>0</v>
      </c>
      <c r="Z42" s="122">
        <f t="shared" si="17"/>
        <v>0</v>
      </c>
      <c r="AA42" s="123">
        <f t="shared" si="17"/>
        <v>0</v>
      </c>
      <c r="AB42" s="124"/>
      <c r="AC42" s="346">
        <f>ROUND(SUM(AC19:AC41),2)</f>
        <v>57722.69</v>
      </c>
      <c r="AD42" s="125"/>
    </row>
    <row r="43" spans="2:30" s="126" customFormat="1" ht="9.75" thickTop="1">
      <c r="B43" s="127"/>
      <c r="C43" s="128"/>
      <c r="D43" s="128" t="s">
        <v>146</v>
      </c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26" customFormat="1" ht="9">
      <c r="B44" s="127"/>
      <c r="C44" s="128" t="s">
        <v>157</v>
      </c>
      <c r="D44" s="128" t="s">
        <v>158</v>
      </c>
      <c r="E44" s="128"/>
      <c r="F44" s="129"/>
      <c r="G44" s="130"/>
      <c r="H44" s="131"/>
      <c r="I44" s="131"/>
      <c r="J44" s="132"/>
      <c r="K44" s="132"/>
      <c r="L44" s="132"/>
      <c r="M44" s="132"/>
      <c r="N44" s="132"/>
      <c r="O44" s="132"/>
      <c r="P44" s="133"/>
      <c r="Q44" s="133"/>
      <c r="R44" s="134"/>
      <c r="S44" s="134"/>
      <c r="T44" s="135"/>
      <c r="U44" s="135"/>
      <c r="V44" s="136"/>
      <c r="W44" s="136"/>
      <c r="X44" s="136"/>
      <c r="Y44" s="136"/>
      <c r="Z44" s="136"/>
      <c r="AA44" s="136"/>
      <c r="AB44" s="136"/>
      <c r="AC44" s="137"/>
      <c r="AD44" s="138"/>
    </row>
    <row r="45" spans="2:30" s="1" customFormat="1" ht="16.5" customHeight="1" thickBot="1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1"/>
    </row>
    <row r="46" spans="2:30" ht="13.5" thickTop="1">
      <c r="B46" s="142"/>
      <c r="AD46" s="142"/>
    </row>
    <row r="91" ht="12.75">
      <c r="B91" s="14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="70" zoomScaleNormal="70" zoomScalePageLayoutView="0" workbookViewId="0" topLeftCell="A10">
      <selection activeCell="G14" sqref="G14:G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7.14062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0" width="11.00390625" style="5" hidden="1" customWidth="1"/>
    <col min="21" max="21" width="11.421875" style="5" hidden="1" customWidth="1"/>
    <col min="22" max="22" width="9.28125" style="5" hidden="1" customWidth="1"/>
    <col min="23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258"/>
    </row>
    <row r="2" spans="2:30" s="3" customFormat="1" ht="26.25">
      <c r="B2" s="15" t="str">
        <f>'TOT-0110'!B2</f>
        <v>ANEXO I al Memorandum D.T.E.E. N°  672  / 2016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7" t="s">
        <v>3</v>
      </c>
      <c r="B4" s="17"/>
    </row>
    <row r="5" spans="1:2" s="9" customFormat="1" ht="11.25">
      <c r="A5" s="17" t="s">
        <v>4</v>
      </c>
      <c r="B5" s="17"/>
    </row>
    <row r="6" s="1" customFormat="1" ht="16.5" customHeight="1" thickBot="1"/>
    <row r="7" spans="2:30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s="21" customFormat="1" ht="20.25">
      <c r="B8" s="22"/>
      <c r="F8" s="23" t="s">
        <v>5</v>
      </c>
      <c r="G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s="1" customFormat="1" ht="16.5" customHeight="1">
      <c r="B9" s="13"/>
      <c r="F9" s="26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1" customFormat="1" ht="20.25">
      <c r="B10" s="22"/>
      <c r="F10" s="23" t="s">
        <v>6</v>
      </c>
      <c r="G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s="1" customFormat="1" ht="16.5" customHeight="1">
      <c r="B11" s="13"/>
      <c r="C11" s="26"/>
      <c r="D11" s="26"/>
      <c r="E11" s="26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7"/>
      <c r="D12" s="27"/>
      <c r="E12" s="27"/>
      <c r="F12" s="12"/>
      <c r="G12" s="12"/>
      <c r="H12" s="28"/>
      <c r="I12" s="28"/>
      <c r="J12" s="29"/>
      <c r="K12" s="28"/>
      <c r="L12" s="29"/>
      <c r="M12" s="29"/>
      <c r="N12" s="29"/>
      <c r="O12" s="29"/>
      <c r="P12" s="29"/>
      <c r="Q12" s="29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/>
    </row>
    <row r="13" spans="2:30" s="1" customFormat="1" ht="16.5" customHeight="1" thickBot="1">
      <c r="B13" s="13"/>
      <c r="C13" s="7"/>
      <c r="D13" s="7"/>
      <c r="E13" s="7"/>
      <c r="F13" s="7"/>
      <c r="G13" s="31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4" t="s">
        <v>7</v>
      </c>
      <c r="G14" s="35">
        <v>122.355</v>
      </c>
      <c r="H14" s="36"/>
      <c r="I14" s="37"/>
      <c r="J14" s="33"/>
      <c r="K14" s="33"/>
      <c r="L14" s="38" t="s">
        <v>8</v>
      </c>
      <c r="M14" s="39">
        <f>150*'TOT-0110'!B13</f>
        <v>150</v>
      </c>
      <c r="N14" s="40" t="str">
        <f>IF(M14=150," ",IF(M14=300,"Coeficiente duplicado por tasa de falla &gt;4 Sal. x año/100 km.","REVISAR COEFICIENTE"))</f>
        <v> </v>
      </c>
      <c r="O14" s="33"/>
      <c r="P14" s="33"/>
      <c r="Q14" s="3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4" t="s">
        <v>9</v>
      </c>
      <c r="G15" s="35">
        <v>116.918</v>
      </c>
      <c r="H15" s="41"/>
      <c r="I15" s="42"/>
      <c r="J15" s="7"/>
      <c r="K15" s="43"/>
      <c r="L15" s="38" t="s">
        <v>10</v>
      </c>
      <c r="M15" s="39">
        <f>50*'TOT-0110'!B13</f>
        <v>50</v>
      </c>
      <c r="N15" s="40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4" t="s">
        <v>11</v>
      </c>
      <c r="G16" s="35">
        <v>116.918</v>
      </c>
      <c r="H16" s="41"/>
      <c r="I16" s="42"/>
      <c r="J16" s="7"/>
      <c r="K16" s="7"/>
      <c r="L16" s="38" t="s">
        <v>12</v>
      </c>
      <c r="M16" s="39">
        <f>10*'TOT-0110'!B13</f>
        <v>10</v>
      </c>
      <c r="N16" s="40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349">
        <v>3</v>
      </c>
      <c r="D17" s="349">
        <v>4</v>
      </c>
      <c r="E17" s="349">
        <v>5</v>
      </c>
      <c r="F17" s="349">
        <v>6</v>
      </c>
      <c r="G17" s="349">
        <v>7</v>
      </c>
      <c r="H17" s="349">
        <v>8</v>
      </c>
      <c r="I17" s="349">
        <v>9</v>
      </c>
      <c r="J17" s="349">
        <v>10</v>
      </c>
      <c r="K17" s="349">
        <v>11</v>
      </c>
      <c r="L17" s="349">
        <v>12</v>
      </c>
      <c r="M17" s="349">
        <v>13</v>
      </c>
      <c r="N17" s="349">
        <v>14</v>
      </c>
      <c r="O17" s="349">
        <v>15</v>
      </c>
      <c r="P17" s="349">
        <v>16</v>
      </c>
      <c r="Q17" s="349">
        <v>17</v>
      </c>
      <c r="R17" s="349">
        <v>18</v>
      </c>
      <c r="S17" s="349">
        <v>19</v>
      </c>
      <c r="T17" s="349">
        <v>20</v>
      </c>
      <c r="U17" s="349">
        <v>21</v>
      </c>
      <c r="V17" s="349">
        <v>22</v>
      </c>
      <c r="W17" s="349">
        <v>23</v>
      </c>
      <c r="X17" s="349">
        <v>24</v>
      </c>
      <c r="Y17" s="349">
        <v>25</v>
      </c>
      <c r="Z17" s="349">
        <v>26</v>
      </c>
      <c r="AA17" s="349">
        <v>27</v>
      </c>
      <c r="AB17" s="349">
        <v>28</v>
      </c>
      <c r="AC17" s="349">
        <v>29</v>
      </c>
      <c r="AD17" s="14"/>
    </row>
    <row r="18" spans="2:30" s="44" customFormat="1" ht="34.5" customHeight="1" thickBot="1" thickTop="1">
      <c r="B18" s="45"/>
      <c r="C18" s="348" t="s">
        <v>13</v>
      </c>
      <c r="D18" s="348" t="s">
        <v>59</v>
      </c>
      <c r="E18" s="348" t="s">
        <v>60</v>
      </c>
      <c r="F18" s="46" t="s">
        <v>1</v>
      </c>
      <c r="G18" s="47" t="s">
        <v>14</v>
      </c>
      <c r="H18" s="47" t="s">
        <v>15</v>
      </c>
      <c r="I18" s="47" t="s">
        <v>2</v>
      </c>
      <c r="J18" s="48" t="s">
        <v>16</v>
      </c>
      <c r="K18" s="46" t="s">
        <v>17</v>
      </c>
      <c r="L18" s="46" t="s">
        <v>18</v>
      </c>
      <c r="M18" s="47" t="s">
        <v>19</v>
      </c>
      <c r="N18" s="47" t="s">
        <v>20</v>
      </c>
      <c r="O18" s="47" t="s">
        <v>46</v>
      </c>
      <c r="P18" s="47" t="s">
        <v>21</v>
      </c>
      <c r="Q18" s="49" t="s">
        <v>22</v>
      </c>
      <c r="R18" s="50" t="s">
        <v>23</v>
      </c>
      <c r="S18" s="51" t="s">
        <v>24</v>
      </c>
      <c r="T18" s="52" t="s">
        <v>25</v>
      </c>
      <c r="U18" s="53"/>
      <c r="V18" s="54"/>
      <c r="W18" s="55" t="s">
        <v>26</v>
      </c>
      <c r="X18" s="56"/>
      <c r="Y18" s="57"/>
      <c r="Z18" s="58" t="s">
        <v>27</v>
      </c>
      <c r="AA18" s="59" t="s">
        <v>28</v>
      </c>
      <c r="AB18" s="60" t="s">
        <v>29</v>
      </c>
      <c r="AC18" s="60" t="s">
        <v>30</v>
      </c>
      <c r="AD18" s="61"/>
    </row>
    <row r="19" spans="2:30" s="1" customFormat="1" ht="16.5" customHeight="1" thickTop="1">
      <c r="B19" s="13"/>
      <c r="C19" s="62"/>
      <c r="D19" s="62"/>
      <c r="E19" s="62"/>
      <c r="F19" s="63"/>
      <c r="G19" s="62"/>
      <c r="H19" s="62"/>
      <c r="I19" s="62"/>
      <c r="J19" s="64"/>
      <c r="K19" s="342"/>
      <c r="L19" s="343"/>
      <c r="M19" s="65"/>
      <c r="N19" s="65"/>
      <c r="O19" s="62"/>
      <c r="P19" s="62"/>
      <c r="Q19" s="66"/>
      <c r="R19" s="67"/>
      <c r="S19" s="68"/>
      <c r="T19" s="69"/>
      <c r="U19" s="70"/>
      <c r="V19" s="70"/>
      <c r="W19" s="71"/>
      <c r="X19" s="71"/>
      <c r="Y19" s="71"/>
      <c r="Z19" s="72"/>
      <c r="AA19" s="73"/>
      <c r="AB19" s="62"/>
      <c r="AC19" s="74">
        <f>'LI-01 (1)'!AC42</f>
        <v>57722.69</v>
      </c>
      <c r="AD19" s="14"/>
    </row>
    <row r="20" spans="2:30" s="1" customFormat="1" ht="16.5" customHeight="1">
      <c r="B20" s="13"/>
      <c r="C20" s="75"/>
      <c r="D20" s="75"/>
      <c r="E20" s="75"/>
      <c r="F20" s="76"/>
      <c r="G20" s="76"/>
      <c r="H20" s="75"/>
      <c r="I20" s="75"/>
      <c r="J20" s="77"/>
      <c r="K20" s="355"/>
      <c r="L20" s="356"/>
      <c r="M20" s="79"/>
      <c r="N20" s="79"/>
      <c r="O20" s="75"/>
      <c r="P20" s="75"/>
      <c r="Q20" s="80"/>
      <c r="R20" s="81"/>
      <c r="S20" s="82"/>
      <c r="T20" s="83"/>
      <c r="U20" s="84"/>
      <c r="V20" s="84"/>
      <c r="W20" s="85"/>
      <c r="X20" s="85"/>
      <c r="Y20" s="85"/>
      <c r="Z20" s="86"/>
      <c r="AA20" s="87"/>
      <c r="AB20" s="75"/>
      <c r="AC20" s="88"/>
      <c r="AD20" s="14"/>
    </row>
    <row r="21" spans="2:30" s="1" customFormat="1" ht="16.5" customHeight="1">
      <c r="B21" s="13"/>
      <c r="C21" s="78">
        <v>20</v>
      </c>
      <c r="D21" s="78">
        <v>217143</v>
      </c>
      <c r="E21" s="78">
        <v>1543</v>
      </c>
      <c r="F21" s="76" t="s">
        <v>68</v>
      </c>
      <c r="G21" s="76">
        <v>132</v>
      </c>
      <c r="H21" s="89">
        <v>24.100000381469727</v>
      </c>
      <c r="I21" s="90" t="s">
        <v>66</v>
      </c>
      <c r="J21" s="91">
        <f aca="true" t="shared" si="0" ref="J21:J39">IF(G21=220,$G$14,IF(G21=132,$G$15,$G$16))*IF(H21&gt;25,H21,25)/100</f>
        <v>29.2295</v>
      </c>
      <c r="K21" s="355">
        <v>40185.40694444445</v>
      </c>
      <c r="L21" s="355">
        <v>40185.61944444444</v>
      </c>
      <c r="M21" s="93">
        <f aca="true" t="shared" si="1" ref="M21:M39">IF(F21="","",(L21-K21)*24)</f>
        <v>5.099999999860302</v>
      </c>
      <c r="N21" s="94">
        <f aca="true" t="shared" si="2" ref="N21:N39">IF(F21="","",ROUND((L21-K21)*24*60,0))</f>
        <v>306</v>
      </c>
      <c r="O21" s="95" t="s">
        <v>62</v>
      </c>
      <c r="P21" s="353"/>
      <c r="Q21" s="96">
        <f aca="true" t="shared" si="3" ref="Q21:Q39">IF(I21="A",$M$14,IF(I21="B",$M$15,$M$16))</f>
        <v>10</v>
      </c>
      <c r="R21" s="97">
        <f aca="true" t="shared" si="4" ref="R21:R39">IF(O21="P",ROUND(N21/60,2)*J21*Q21*0.01,"--")</f>
        <v>14.907044999999998</v>
      </c>
      <c r="S21" s="98" t="str">
        <f aca="true" t="shared" si="5" ref="S21:S39">IF(O21="RP",ROUND(N21/60,2)*J21*Q21*0.01*P21/100,"--")</f>
        <v>--</v>
      </c>
      <c r="T21" s="99" t="str">
        <f aca="true" t="shared" si="6" ref="T21:T39">IF(O21="F",J21*Q21,"--")</f>
        <v>--</v>
      </c>
      <c r="U21" s="99" t="str">
        <f aca="true" t="shared" si="7" ref="U21:U39">IF(AND(N21&gt;10,O21="F"),J21*Q21*IF(N21&gt;180,3,ROUND((N21)/60,2)),"--")</f>
        <v>--</v>
      </c>
      <c r="V21" s="100" t="str">
        <f aca="true" t="shared" si="8" ref="V21:V39">IF(AND(O21="F",N21&gt;180),(ROUND(N21/60,2)-3)*J21*Q21*0.1,"--")</f>
        <v>--</v>
      </c>
      <c r="W21" s="101" t="str">
        <f aca="true" t="shared" si="9" ref="W21:W39">IF(O21="R",J21*Q21*P21/100,"--")</f>
        <v>--</v>
      </c>
      <c r="X21" s="101" t="str">
        <f aca="true" t="shared" si="10" ref="X21:X39">IF(AND(N21&gt;10,O21="R"),Q21*J21*P21/100*IF(N21&gt;180,3,ROUND((N21)/60,2)),"--")</f>
        <v>--</v>
      </c>
      <c r="Y21" s="102" t="str">
        <f aca="true" t="shared" si="11" ref="Y21:Y39">IF(AND(O21="R",N21&gt;180),(ROUND(N21/60,2)-3)*J21*Q21*0.1*P21/100,"--")</f>
        <v>--</v>
      </c>
      <c r="Z21" s="103" t="str">
        <f aca="true" t="shared" si="12" ref="Z21:Z39">IF(O21="RF",ROUND(N21/60,2)*J21*Q21*0.1,"--")</f>
        <v>--</v>
      </c>
      <c r="AA21" s="104" t="str">
        <f aca="true" t="shared" si="13" ref="AA21:AA39">IF(O21="RR",ROUND(N21/60,2)*J21*Q21*0.1*P21/100,"--")</f>
        <v>--</v>
      </c>
      <c r="AB21" s="354" t="s">
        <v>63</v>
      </c>
      <c r="AC21" s="105">
        <f aca="true" t="shared" si="14" ref="AC21:AC39">IF(F21="","",SUM(R21:AA21)*IF(AB21="SI",1,2))</f>
        <v>14.907044999999998</v>
      </c>
      <c r="AD21" s="106"/>
    </row>
    <row r="22" spans="2:30" s="1" customFormat="1" ht="16.5" customHeight="1">
      <c r="B22" s="13"/>
      <c r="C22" s="78">
        <v>21</v>
      </c>
      <c r="D22" s="78">
        <v>217144</v>
      </c>
      <c r="E22" s="78">
        <v>1532</v>
      </c>
      <c r="F22" s="76" t="s">
        <v>69</v>
      </c>
      <c r="G22" s="76">
        <v>132</v>
      </c>
      <c r="H22" s="89">
        <v>141</v>
      </c>
      <c r="I22" s="90" t="s">
        <v>70</v>
      </c>
      <c r="J22" s="91">
        <f t="shared" si="0"/>
        <v>164.85438000000002</v>
      </c>
      <c r="K22" s="355">
        <v>40185.4125</v>
      </c>
      <c r="L22" s="355">
        <v>40185.731944444444</v>
      </c>
      <c r="M22" s="93">
        <f t="shared" si="1"/>
        <v>7.666666666686069</v>
      </c>
      <c r="N22" s="94">
        <f t="shared" si="2"/>
        <v>460</v>
      </c>
      <c r="O22" s="95" t="s">
        <v>62</v>
      </c>
      <c r="P22" s="353"/>
      <c r="Q22" s="96">
        <f t="shared" si="3"/>
        <v>50</v>
      </c>
      <c r="R22" s="97">
        <f t="shared" si="4"/>
        <v>632.2165473000001</v>
      </c>
      <c r="S22" s="98" t="str">
        <f t="shared" si="5"/>
        <v>--</v>
      </c>
      <c r="T22" s="99" t="str">
        <f t="shared" si="6"/>
        <v>--</v>
      </c>
      <c r="U22" s="99" t="str">
        <f t="shared" si="7"/>
        <v>--</v>
      </c>
      <c r="V22" s="100" t="str">
        <f t="shared" si="8"/>
        <v>--</v>
      </c>
      <c r="W22" s="101" t="str">
        <f t="shared" si="9"/>
        <v>--</v>
      </c>
      <c r="X22" s="101" t="str">
        <f t="shared" si="10"/>
        <v>--</v>
      </c>
      <c r="Y22" s="102" t="str">
        <f t="shared" si="11"/>
        <v>--</v>
      </c>
      <c r="Z22" s="103" t="str">
        <f t="shared" si="12"/>
        <v>--</v>
      </c>
      <c r="AA22" s="104" t="str">
        <f t="shared" si="13"/>
        <v>--</v>
      </c>
      <c r="AB22" s="354" t="s">
        <v>63</v>
      </c>
      <c r="AC22" s="105">
        <f t="shared" si="14"/>
        <v>632.2165473000001</v>
      </c>
      <c r="AD22" s="106"/>
    </row>
    <row r="23" spans="2:30" s="1" customFormat="1" ht="16.5" customHeight="1">
      <c r="B23" s="13"/>
      <c r="C23" s="78">
        <v>22</v>
      </c>
      <c r="D23" s="78">
        <v>217146</v>
      </c>
      <c r="E23" s="78">
        <v>1532</v>
      </c>
      <c r="F23" s="76" t="s">
        <v>69</v>
      </c>
      <c r="G23" s="76">
        <v>132</v>
      </c>
      <c r="H23" s="89">
        <v>141</v>
      </c>
      <c r="I23" s="90" t="s">
        <v>70</v>
      </c>
      <c r="J23" s="91">
        <f t="shared" si="0"/>
        <v>164.85438000000002</v>
      </c>
      <c r="K23" s="355">
        <v>40186.376388888886</v>
      </c>
      <c r="L23" s="355">
        <v>40186.740277777775</v>
      </c>
      <c r="M23" s="93">
        <f t="shared" si="1"/>
        <v>8.733333333337214</v>
      </c>
      <c r="N23" s="94">
        <f t="shared" si="2"/>
        <v>524</v>
      </c>
      <c r="O23" s="95" t="s">
        <v>62</v>
      </c>
      <c r="P23" s="353"/>
      <c r="Q23" s="96">
        <f t="shared" si="3"/>
        <v>50</v>
      </c>
      <c r="R23" s="97">
        <f t="shared" si="4"/>
        <v>719.5893687000003</v>
      </c>
      <c r="S23" s="98" t="str">
        <f t="shared" si="5"/>
        <v>--</v>
      </c>
      <c r="T23" s="99" t="str">
        <f t="shared" si="6"/>
        <v>--</v>
      </c>
      <c r="U23" s="99" t="str">
        <f t="shared" si="7"/>
        <v>--</v>
      </c>
      <c r="V23" s="100" t="str">
        <f t="shared" si="8"/>
        <v>--</v>
      </c>
      <c r="W23" s="101" t="str">
        <f t="shared" si="9"/>
        <v>--</v>
      </c>
      <c r="X23" s="101" t="str">
        <f t="shared" si="10"/>
        <v>--</v>
      </c>
      <c r="Y23" s="102" t="str">
        <f t="shared" si="11"/>
        <v>--</v>
      </c>
      <c r="Z23" s="103" t="str">
        <f t="shared" si="12"/>
        <v>--</v>
      </c>
      <c r="AA23" s="104" t="str">
        <f t="shared" si="13"/>
        <v>--</v>
      </c>
      <c r="AB23" s="354" t="s">
        <v>63</v>
      </c>
      <c r="AC23" s="105">
        <f t="shared" si="14"/>
        <v>719.5893687000003</v>
      </c>
      <c r="AD23" s="106"/>
    </row>
    <row r="24" spans="2:30" s="1" customFormat="1" ht="16.5" customHeight="1">
      <c r="B24" s="13"/>
      <c r="C24" s="78">
        <v>23</v>
      </c>
      <c r="D24" s="78">
        <v>217148</v>
      </c>
      <c r="E24" s="78">
        <v>1543</v>
      </c>
      <c r="F24" s="76" t="s">
        <v>68</v>
      </c>
      <c r="G24" s="76">
        <v>132</v>
      </c>
      <c r="H24" s="89">
        <v>24.100000381469727</v>
      </c>
      <c r="I24" s="90" t="s">
        <v>66</v>
      </c>
      <c r="J24" s="91">
        <f t="shared" si="0"/>
        <v>29.2295</v>
      </c>
      <c r="K24" s="355">
        <v>40186.40347222222</v>
      </c>
      <c r="L24" s="355">
        <v>40186.56736111111</v>
      </c>
      <c r="M24" s="93">
        <f t="shared" si="1"/>
        <v>3.933333333407063</v>
      </c>
      <c r="N24" s="94">
        <f t="shared" si="2"/>
        <v>236</v>
      </c>
      <c r="O24" s="95" t="s">
        <v>62</v>
      </c>
      <c r="P24" s="353"/>
      <c r="Q24" s="96">
        <f t="shared" si="3"/>
        <v>10</v>
      </c>
      <c r="R24" s="97">
        <f t="shared" si="4"/>
        <v>11.487193500000002</v>
      </c>
      <c r="S24" s="98" t="str">
        <f t="shared" si="5"/>
        <v>--</v>
      </c>
      <c r="T24" s="99" t="str">
        <f t="shared" si="6"/>
        <v>--</v>
      </c>
      <c r="U24" s="99" t="str">
        <f t="shared" si="7"/>
        <v>--</v>
      </c>
      <c r="V24" s="100" t="str">
        <f t="shared" si="8"/>
        <v>--</v>
      </c>
      <c r="W24" s="101" t="str">
        <f t="shared" si="9"/>
        <v>--</v>
      </c>
      <c r="X24" s="101" t="str">
        <f t="shared" si="10"/>
        <v>--</v>
      </c>
      <c r="Y24" s="102" t="str">
        <f t="shared" si="11"/>
        <v>--</v>
      </c>
      <c r="Z24" s="103" t="str">
        <f t="shared" si="12"/>
        <v>--</v>
      </c>
      <c r="AA24" s="104" t="str">
        <f t="shared" si="13"/>
        <v>--</v>
      </c>
      <c r="AB24" s="354" t="s">
        <v>63</v>
      </c>
      <c r="AC24" s="105">
        <f t="shared" si="14"/>
        <v>11.487193500000002</v>
      </c>
      <c r="AD24" s="106"/>
    </row>
    <row r="25" spans="2:30" s="1" customFormat="1" ht="16.5" customHeight="1">
      <c r="B25" s="13"/>
      <c r="C25" s="78">
        <v>24</v>
      </c>
      <c r="D25" s="78">
        <v>217424</v>
      </c>
      <c r="E25" s="78">
        <v>1453</v>
      </c>
      <c r="F25" s="76" t="s">
        <v>71</v>
      </c>
      <c r="G25" s="76">
        <v>132</v>
      </c>
      <c r="H25" s="89">
        <v>5.300000190734863</v>
      </c>
      <c r="I25" s="90" t="s">
        <v>66</v>
      </c>
      <c r="J25" s="91">
        <f t="shared" si="0"/>
        <v>29.2295</v>
      </c>
      <c r="K25" s="355">
        <v>40189.39236111111</v>
      </c>
      <c r="L25" s="355">
        <v>40189.589583333334</v>
      </c>
      <c r="M25" s="93">
        <f t="shared" si="1"/>
        <v>4.7333333333954215</v>
      </c>
      <c r="N25" s="94">
        <f t="shared" si="2"/>
        <v>284</v>
      </c>
      <c r="O25" s="95" t="s">
        <v>62</v>
      </c>
      <c r="P25" s="353"/>
      <c r="Q25" s="96">
        <f t="shared" si="3"/>
        <v>10</v>
      </c>
      <c r="R25" s="97">
        <f t="shared" si="4"/>
        <v>13.825553500000002</v>
      </c>
      <c r="S25" s="98" t="str">
        <f t="shared" si="5"/>
        <v>--</v>
      </c>
      <c r="T25" s="99" t="str">
        <f t="shared" si="6"/>
        <v>--</v>
      </c>
      <c r="U25" s="99" t="str">
        <f t="shared" si="7"/>
        <v>--</v>
      </c>
      <c r="V25" s="100" t="str">
        <f t="shared" si="8"/>
        <v>--</v>
      </c>
      <c r="W25" s="101" t="str">
        <f t="shared" si="9"/>
        <v>--</v>
      </c>
      <c r="X25" s="101" t="str">
        <f t="shared" si="10"/>
        <v>--</v>
      </c>
      <c r="Y25" s="102" t="str">
        <f t="shared" si="11"/>
        <v>--</v>
      </c>
      <c r="Z25" s="103" t="str">
        <f t="shared" si="12"/>
        <v>--</v>
      </c>
      <c r="AA25" s="104" t="str">
        <f t="shared" si="13"/>
        <v>--</v>
      </c>
      <c r="AB25" s="354" t="s">
        <v>63</v>
      </c>
      <c r="AC25" s="105">
        <f t="shared" si="14"/>
        <v>13.825553500000002</v>
      </c>
      <c r="AD25" s="106"/>
    </row>
    <row r="26" spans="2:30" s="1" customFormat="1" ht="16.5" customHeight="1">
      <c r="B26" s="13"/>
      <c r="C26" s="78">
        <v>25</v>
      </c>
      <c r="D26" s="78">
        <v>217426</v>
      </c>
      <c r="E26" s="78">
        <v>1433</v>
      </c>
      <c r="F26" s="76" t="s">
        <v>78</v>
      </c>
      <c r="G26" s="76">
        <v>132</v>
      </c>
      <c r="H26" s="89">
        <v>2.200000047683716</v>
      </c>
      <c r="I26" s="90" t="s">
        <v>66</v>
      </c>
      <c r="J26" s="91">
        <f t="shared" si="0"/>
        <v>29.2295</v>
      </c>
      <c r="K26" s="355">
        <v>40189.43194444444</v>
      </c>
      <c r="L26" s="355">
        <v>40189.69513888889</v>
      </c>
      <c r="M26" s="93">
        <f t="shared" si="1"/>
        <v>6.316666666825768</v>
      </c>
      <c r="N26" s="94">
        <f t="shared" si="2"/>
        <v>379</v>
      </c>
      <c r="O26" s="92" t="s">
        <v>62</v>
      </c>
      <c r="P26" s="353"/>
      <c r="Q26" s="96">
        <f t="shared" si="3"/>
        <v>10</v>
      </c>
      <c r="R26" s="97">
        <f t="shared" si="4"/>
        <v>18.473044</v>
      </c>
      <c r="S26" s="98" t="str">
        <f t="shared" si="5"/>
        <v>--</v>
      </c>
      <c r="T26" s="99" t="str">
        <f t="shared" si="6"/>
        <v>--</v>
      </c>
      <c r="U26" s="99" t="str">
        <f t="shared" si="7"/>
        <v>--</v>
      </c>
      <c r="V26" s="100" t="str">
        <f t="shared" si="8"/>
        <v>--</v>
      </c>
      <c r="W26" s="101" t="str">
        <f t="shared" si="9"/>
        <v>--</v>
      </c>
      <c r="X26" s="101" t="str">
        <f t="shared" si="10"/>
        <v>--</v>
      </c>
      <c r="Y26" s="102" t="str">
        <f t="shared" si="11"/>
        <v>--</v>
      </c>
      <c r="Z26" s="103" t="str">
        <f t="shared" si="12"/>
        <v>--</v>
      </c>
      <c r="AA26" s="104" t="str">
        <f t="shared" si="13"/>
        <v>--</v>
      </c>
      <c r="AB26" s="354" t="s">
        <v>63</v>
      </c>
      <c r="AC26" s="105">
        <f t="shared" si="14"/>
        <v>18.473044</v>
      </c>
      <c r="AD26" s="106"/>
    </row>
    <row r="27" spans="2:30" s="1" customFormat="1" ht="16.5" customHeight="1">
      <c r="B27" s="13"/>
      <c r="C27" s="78">
        <v>26</v>
      </c>
      <c r="D27" s="78">
        <v>217428</v>
      </c>
      <c r="E27" s="78">
        <v>2616</v>
      </c>
      <c r="F27" s="76" t="s">
        <v>79</v>
      </c>
      <c r="G27" s="76">
        <v>132</v>
      </c>
      <c r="H27" s="89">
        <v>102</v>
      </c>
      <c r="I27" s="90" t="s">
        <v>66</v>
      </c>
      <c r="J27" s="91">
        <f t="shared" si="0"/>
        <v>119.25636</v>
      </c>
      <c r="K27" s="355">
        <v>40189.643055555556</v>
      </c>
      <c r="L27" s="355">
        <v>40189.745833333334</v>
      </c>
      <c r="M27" s="93">
        <f t="shared" si="1"/>
        <v>2.4666666666744277</v>
      </c>
      <c r="N27" s="94">
        <f t="shared" si="2"/>
        <v>148</v>
      </c>
      <c r="O27" s="92" t="s">
        <v>62</v>
      </c>
      <c r="P27" s="353"/>
      <c r="Q27" s="96">
        <f t="shared" si="3"/>
        <v>10</v>
      </c>
      <c r="R27" s="97">
        <f t="shared" si="4"/>
        <v>29.456320920000003</v>
      </c>
      <c r="S27" s="98" t="str">
        <f t="shared" si="5"/>
        <v>--</v>
      </c>
      <c r="T27" s="99" t="str">
        <f t="shared" si="6"/>
        <v>--</v>
      </c>
      <c r="U27" s="99" t="str">
        <f t="shared" si="7"/>
        <v>--</v>
      </c>
      <c r="V27" s="100" t="str">
        <f t="shared" si="8"/>
        <v>--</v>
      </c>
      <c r="W27" s="101" t="str">
        <f t="shared" si="9"/>
        <v>--</v>
      </c>
      <c r="X27" s="101" t="str">
        <f t="shared" si="10"/>
        <v>--</v>
      </c>
      <c r="Y27" s="102" t="str">
        <f t="shared" si="11"/>
        <v>--</v>
      </c>
      <c r="Z27" s="103" t="str">
        <f t="shared" si="12"/>
        <v>--</v>
      </c>
      <c r="AA27" s="104" t="str">
        <f t="shared" si="13"/>
        <v>--</v>
      </c>
      <c r="AB27" s="354" t="s">
        <v>63</v>
      </c>
      <c r="AC27" s="105">
        <f t="shared" si="14"/>
        <v>29.456320920000003</v>
      </c>
      <c r="AD27" s="106"/>
    </row>
    <row r="28" spans="2:30" s="1" customFormat="1" ht="16.5" customHeight="1">
      <c r="B28" s="13"/>
      <c r="C28" s="78">
        <v>27</v>
      </c>
      <c r="D28" s="78">
        <v>217429</v>
      </c>
      <c r="E28" s="78">
        <v>1536</v>
      </c>
      <c r="F28" s="76" t="s">
        <v>65</v>
      </c>
      <c r="G28" s="76">
        <v>66</v>
      </c>
      <c r="H28" s="89">
        <v>46.79999923706055</v>
      </c>
      <c r="I28" s="90" t="s">
        <v>66</v>
      </c>
      <c r="J28" s="91">
        <f t="shared" si="0"/>
        <v>54.717623107986455</v>
      </c>
      <c r="K28" s="355">
        <v>40189.91805555556</v>
      </c>
      <c r="L28" s="355">
        <v>40189.92916666667</v>
      </c>
      <c r="M28" s="93">
        <f t="shared" si="1"/>
        <v>0.26666666666278616</v>
      </c>
      <c r="N28" s="94">
        <f t="shared" si="2"/>
        <v>16</v>
      </c>
      <c r="O28" s="92" t="s">
        <v>64</v>
      </c>
      <c r="P28" s="353"/>
      <c r="Q28" s="96">
        <f t="shared" si="3"/>
        <v>10</v>
      </c>
      <c r="R28" s="97" t="str">
        <f t="shared" si="4"/>
        <v>--</v>
      </c>
      <c r="S28" s="98" t="str">
        <f t="shared" si="5"/>
        <v>--</v>
      </c>
      <c r="T28" s="99">
        <f t="shared" si="6"/>
        <v>547.1762310798646</v>
      </c>
      <c r="U28" s="99">
        <f t="shared" si="7"/>
        <v>147.73758239156345</v>
      </c>
      <c r="V28" s="100" t="str">
        <f t="shared" si="8"/>
        <v>--</v>
      </c>
      <c r="W28" s="101" t="str">
        <f t="shared" si="9"/>
        <v>--</v>
      </c>
      <c r="X28" s="101" t="str">
        <f t="shared" si="10"/>
        <v>--</v>
      </c>
      <c r="Y28" s="102" t="str">
        <f t="shared" si="11"/>
        <v>--</v>
      </c>
      <c r="Z28" s="103" t="str">
        <f t="shared" si="12"/>
        <v>--</v>
      </c>
      <c r="AA28" s="104" t="str">
        <f t="shared" si="13"/>
        <v>--</v>
      </c>
      <c r="AB28" s="354" t="s">
        <v>63</v>
      </c>
      <c r="AC28" s="105">
        <f t="shared" si="14"/>
        <v>694.913813471428</v>
      </c>
      <c r="AD28" s="106"/>
    </row>
    <row r="29" spans="2:30" s="1" customFormat="1" ht="16.5" customHeight="1">
      <c r="B29" s="13"/>
      <c r="C29" s="78">
        <v>29</v>
      </c>
      <c r="D29" s="78">
        <v>217438</v>
      </c>
      <c r="E29" s="78">
        <v>2616</v>
      </c>
      <c r="F29" s="76" t="s">
        <v>79</v>
      </c>
      <c r="G29" s="76">
        <v>132</v>
      </c>
      <c r="H29" s="89">
        <v>102</v>
      </c>
      <c r="I29" s="90" t="s">
        <v>66</v>
      </c>
      <c r="J29" s="91">
        <f t="shared" si="0"/>
        <v>119.25636</v>
      </c>
      <c r="K29" s="355">
        <v>40190.333333333336</v>
      </c>
      <c r="L29" s="355">
        <v>40190.75</v>
      </c>
      <c r="M29" s="93">
        <f t="shared" si="1"/>
        <v>9.999999999941792</v>
      </c>
      <c r="N29" s="94">
        <f t="shared" si="2"/>
        <v>600</v>
      </c>
      <c r="O29" s="92" t="s">
        <v>62</v>
      </c>
      <c r="P29" s="353"/>
      <c r="Q29" s="96">
        <f t="shared" si="3"/>
        <v>10</v>
      </c>
      <c r="R29" s="97">
        <f t="shared" si="4"/>
        <v>119.25635999999999</v>
      </c>
      <c r="S29" s="98" t="str">
        <f t="shared" si="5"/>
        <v>--</v>
      </c>
      <c r="T29" s="99" t="str">
        <f t="shared" si="6"/>
        <v>--</v>
      </c>
      <c r="U29" s="99" t="str">
        <f t="shared" si="7"/>
        <v>--</v>
      </c>
      <c r="V29" s="100" t="str">
        <f t="shared" si="8"/>
        <v>--</v>
      </c>
      <c r="W29" s="101" t="str">
        <f t="shared" si="9"/>
        <v>--</v>
      </c>
      <c r="X29" s="101" t="str">
        <f t="shared" si="10"/>
        <v>--</v>
      </c>
      <c r="Y29" s="102" t="str">
        <f t="shared" si="11"/>
        <v>--</v>
      </c>
      <c r="Z29" s="103" t="str">
        <f t="shared" si="12"/>
        <v>--</v>
      </c>
      <c r="AA29" s="104" t="str">
        <f t="shared" si="13"/>
        <v>--</v>
      </c>
      <c r="AB29" s="354" t="s">
        <v>63</v>
      </c>
      <c r="AC29" s="105">
        <f t="shared" si="14"/>
        <v>119.25635999999999</v>
      </c>
      <c r="AD29" s="106"/>
    </row>
    <row r="30" spans="2:30" s="1" customFormat="1" ht="16.5" customHeight="1">
      <c r="B30" s="13"/>
      <c r="C30" s="78">
        <v>30</v>
      </c>
      <c r="D30" s="78">
        <v>217439</v>
      </c>
      <c r="E30" s="78">
        <v>1433</v>
      </c>
      <c r="F30" s="76" t="s">
        <v>78</v>
      </c>
      <c r="G30" s="76">
        <v>132</v>
      </c>
      <c r="H30" s="89">
        <v>2.200000047683716</v>
      </c>
      <c r="I30" s="90" t="s">
        <v>66</v>
      </c>
      <c r="J30" s="91">
        <f t="shared" si="0"/>
        <v>29.2295</v>
      </c>
      <c r="K30" s="355">
        <v>40190.36597222222</v>
      </c>
      <c r="L30" s="355">
        <v>40190.74444444444</v>
      </c>
      <c r="M30" s="93">
        <f t="shared" si="1"/>
        <v>9.083333333255723</v>
      </c>
      <c r="N30" s="94">
        <f t="shared" si="2"/>
        <v>545</v>
      </c>
      <c r="O30" s="92" t="s">
        <v>62</v>
      </c>
      <c r="P30" s="353"/>
      <c r="Q30" s="96">
        <f t="shared" si="3"/>
        <v>10</v>
      </c>
      <c r="R30" s="97">
        <f t="shared" si="4"/>
        <v>26.540385999999998</v>
      </c>
      <c r="S30" s="98" t="str">
        <f t="shared" si="5"/>
        <v>--</v>
      </c>
      <c r="T30" s="99" t="str">
        <f t="shared" si="6"/>
        <v>--</v>
      </c>
      <c r="U30" s="99" t="str">
        <f t="shared" si="7"/>
        <v>--</v>
      </c>
      <c r="V30" s="100" t="str">
        <f t="shared" si="8"/>
        <v>--</v>
      </c>
      <c r="W30" s="101" t="str">
        <f t="shared" si="9"/>
        <v>--</v>
      </c>
      <c r="X30" s="101" t="str">
        <f t="shared" si="10"/>
        <v>--</v>
      </c>
      <c r="Y30" s="102" t="str">
        <f t="shared" si="11"/>
        <v>--</v>
      </c>
      <c r="Z30" s="103" t="str">
        <f t="shared" si="12"/>
        <v>--</v>
      </c>
      <c r="AA30" s="104" t="str">
        <f t="shared" si="13"/>
        <v>--</v>
      </c>
      <c r="AB30" s="354" t="s">
        <v>63</v>
      </c>
      <c r="AC30" s="105">
        <f t="shared" si="14"/>
        <v>26.540385999999998</v>
      </c>
      <c r="AD30" s="106"/>
    </row>
    <row r="31" spans="2:30" s="1" customFormat="1" ht="16.5" customHeight="1">
      <c r="B31" s="13"/>
      <c r="C31" s="78">
        <v>31</v>
      </c>
      <c r="D31" s="78">
        <v>217440</v>
      </c>
      <c r="E31" s="78">
        <v>1452</v>
      </c>
      <c r="F31" s="76" t="s">
        <v>72</v>
      </c>
      <c r="G31" s="76">
        <v>132</v>
      </c>
      <c r="H31" s="89">
        <v>51.5099983215332</v>
      </c>
      <c r="I31" s="90" t="s">
        <v>66</v>
      </c>
      <c r="J31" s="91">
        <f t="shared" si="0"/>
        <v>60.224459837570194</v>
      </c>
      <c r="K31" s="355">
        <v>40190.37986111111</v>
      </c>
      <c r="L31" s="355">
        <v>40190.53472222222</v>
      </c>
      <c r="M31" s="93">
        <f t="shared" si="1"/>
        <v>3.7166666665580124</v>
      </c>
      <c r="N31" s="94">
        <f t="shared" si="2"/>
        <v>223</v>
      </c>
      <c r="O31" s="92" t="s">
        <v>62</v>
      </c>
      <c r="P31" s="353"/>
      <c r="Q31" s="96">
        <f t="shared" si="3"/>
        <v>10</v>
      </c>
      <c r="R31" s="97">
        <f t="shared" si="4"/>
        <v>22.403499059576117</v>
      </c>
      <c r="S31" s="98" t="str">
        <f t="shared" si="5"/>
        <v>--</v>
      </c>
      <c r="T31" s="99" t="str">
        <f t="shared" si="6"/>
        <v>--</v>
      </c>
      <c r="U31" s="99" t="str">
        <f t="shared" si="7"/>
        <v>--</v>
      </c>
      <c r="V31" s="100" t="str">
        <f t="shared" si="8"/>
        <v>--</v>
      </c>
      <c r="W31" s="101" t="str">
        <f t="shared" si="9"/>
        <v>--</v>
      </c>
      <c r="X31" s="101" t="str">
        <f t="shared" si="10"/>
        <v>--</v>
      </c>
      <c r="Y31" s="102" t="str">
        <f t="shared" si="11"/>
        <v>--</v>
      </c>
      <c r="Z31" s="103" t="str">
        <f t="shared" si="12"/>
        <v>--</v>
      </c>
      <c r="AA31" s="104" t="str">
        <f t="shared" si="13"/>
        <v>--</v>
      </c>
      <c r="AB31" s="354" t="s">
        <v>63</v>
      </c>
      <c r="AC31" s="105">
        <f t="shared" si="14"/>
        <v>22.403499059576117</v>
      </c>
      <c r="AD31" s="106"/>
    </row>
    <row r="32" spans="2:30" s="1" customFormat="1" ht="16.5" customHeight="1">
      <c r="B32" s="13"/>
      <c r="C32" s="78">
        <v>32</v>
      </c>
      <c r="D32" s="78">
        <v>217442</v>
      </c>
      <c r="E32" s="78">
        <v>1534</v>
      </c>
      <c r="F32" s="76" t="s">
        <v>76</v>
      </c>
      <c r="G32" s="76">
        <v>132</v>
      </c>
      <c r="H32" s="89">
        <v>19</v>
      </c>
      <c r="I32" s="90" t="s">
        <v>66</v>
      </c>
      <c r="J32" s="91">
        <f t="shared" si="0"/>
        <v>29.2295</v>
      </c>
      <c r="K32" s="355">
        <v>40190.407638888886</v>
      </c>
      <c r="L32" s="355">
        <v>40190.5875</v>
      </c>
      <c r="M32" s="93">
        <f t="shared" si="1"/>
        <v>4.31666666676756</v>
      </c>
      <c r="N32" s="94">
        <f t="shared" si="2"/>
        <v>259</v>
      </c>
      <c r="O32" s="92" t="s">
        <v>62</v>
      </c>
      <c r="P32" s="353"/>
      <c r="Q32" s="96">
        <f t="shared" si="3"/>
        <v>10</v>
      </c>
      <c r="R32" s="97">
        <f t="shared" si="4"/>
        <v>12.627144000000001</v>
      </c>
      <c r="S32" s="98" t="str">
        <f t="shared" si="5"/>
        <v>--</v>
      </c>
      <c r="T32" s="99" t="str">
        <f t="shared" si="6"/>
        <v>--</v>
      </c>
      <c r="U32" s="99" t="str">
        <f t="shared" si="7"/>
        <v>--</v>
      </c>
      <c r="V32" s="100" t="str">
        <f t="shared" si="8"/>
        <v>--</v>
      </c>
      <c r="W32" s="101" t="str">
        <f t="shared" si="9"/>
        <v>--</v>
      </c>
      <c r="X32" s="101" t="str">
        <f t="shared" si="10"/>
        <v>--</v>
      </c>
      <c r="Y32" s="102" t="str">
        <f t="shared" si="11"/>
        <v>--</v>
      </c>
      <c r="Z32" s="103" t="str">
        <f t="shared" si="12"/>
        <v>--</v>
      </c>
      <c r="AA32" s="104" t="str">
        <f t="shared" si="13"/>
        <v>--</v>
      </c>
      <c r="AB32" s="354" t="s">
        <v>63</v>
      </c>
      <c r="AC32" s="105">
        <f t="shared" si="14"/>
        <v>12.627144000000001</v>
      </c>
      <c r="AD32" s="106"/>
    </row>
    <row r="33" spans="2:30" s="1" customFormat="1" ht="16.5" customHeight="1">
      <c r="B33" s="107"/>
      <c r="C33" s="78">
        <v>33</v>
      </c>
      <c r="D33" s="78">
        <v>217443</v>
      </c>
      <c r="E33" s="78">
        <v>1433</v>
      </c>
      <c r="F33" s="76" t="s">
        <v>78</v>
      </c>
      <c r="G33" s="76">
        <v>132</v>
      </c>
      <c r="H33" s="89">
        <v>2.200000047683716</v>
      </c>
      <c r="I33" s="90" t="s">
        <v>66</v>
      </c>
      <c r="J33" s="91">
        <f t="shared" si="0"/>
        <v>29.2295</v>
      </c>
      <c r="K33" s="355">
        <v>40191.36388888889</v>
      </c>
      <c r="L33" s="355">
        <v>40191.67152777778</v>
      </c>
      <c r="M33" s="93">
        <f t="shared" si="1"/>
        <v>7.383333333302289</v>
      </c>
      <c r="N33" s="94">
        <f t="shared" si="2"/>
        <v>443</v>
      </c>
      <c r="O33" s="92" t="s">
        <v>62</v>
      </c>
      <c r="P33" s="353"/>
      <c r="Q33" s="96">
        <f t="shared" si="3"/>
        <v>10</v>
      </c>
      <c r="R33" s="97">
        <f t="shared" si="4"/>
        <v>21.571371000000003</v>
      </c>
      <c r="S33" s="98" t="str">
        <f t="shared" si="5"/>
        <v>--</v>
      </c>
      <c r="T33" s="99" t="str">
        <f t="shared" si="6"/>
        <v>--</v>
      </c>
      <c r="U33" s="99" t="str">
        <f t="shared" si="7"/>
        <v>--</v>
      </c>
      <c r="V33" s="100" t="str">
        <f t="shared" si="8"/>
        <v>--</v>
      </c>
      <c r="W33" s="101" t="str">
        <f t="shared" si="9"/>
        <v>--</v>
      </c>
      <c r="X33" s="101" t="str">
        <f t="shared" si="10"/>
        <v>--</v>
      </c>
      <c r="Y33" s="102" t="str">
        <f t="shared" si="11"/>
        <v>--</v>
      </c>
      <c r="Z33" s="103" t="str">
        <f t="shared" si="12"/>
        <v>--</v>
      </c>
      <c r="AA33" s="104" t="str">
        <f t="shared" si="13"/>
        <v>--</v>
      </c>
      <c r="AB33" s="354" t="s">
        <v>63</v>
      </c>
      <c r="AC33" s="105">
        <f t="shared" si="14"/>
        <v>21.571371000000003</v>
      </c>
      <c r="AD33" s="106"/>
    </row>
    <row r="34" spans="2:30" s="1" customFormat="1" ht="16.5" customHeight="1">
      <c r="B34" s="107"/>
      <c r="C34" s="78">
        <v>34</v>
      </c>
      <c r="D34" s="78">
        <v>217444</v>
      </c>
      <c r="E34" s="78">
        <v>1532</v>
      </c>
      <c r="F34" s="76" t="s">
        <v>69</v>
      </c>
      <c r="G34" s="76">
        <v>132</v>
      </c>
      <c r="H34" s="89">
        <v>141</v>
      </c>
      <c r="I34" s="90" t="s">
        <v>70</v>
      </c>
      <c r="J34" s="91">
        <f t="shared" si="0"/>
        <v>164.85438000000002</v>
      </c>
      <c r="K34" s="355">
        <v>40191.373611111114</v>
      </c>
      <c r="L34" s="355">
        <v>40191.436111111114</v>
      </c>
      <c r="M34" s="93">
        <f t="shared" si="1"/>
        <v>1.5</v>
      </c>
      <c r="N34" s="94">
        <f t="shared" si="2"/>
        <v>90</v>
      </c>
      <c r="O34" s="92" t="s">
        <v>64</v>
      </c>
      <c r="P34" s="353"/>
      <c r="Q34" s="96">
        <f t="shared" si="3"/>
        <v>50</v>
      </c>
      <c r="R34" s="97" t="str">
        <f t="shared" si="4"/>
        <v>--</v>
      </c>
      <c r="S34" s="98" t="str">
        <f t="shared" si="5"/>
        <v>--</v>
      </c>
      <c r="T34" s="99">
        <f t="shared" si="6"/>
        <v>8242.719000000001</v>
      </c>
      <c r="U34" s="99">
        <f t="shared" si="7"/>
        <v>12364.078500000001</v>
      </c>
      <c r="V34" s="100" t="str">
        <f t="shared" si="8"/>
        <v>--</v>
      </c>
      <c r="W34" s="101" t="str">
        <f t="shared" si="9"/>
        <v>--</v>
      </c>
      <c r="X34" s="101" t="str">
        <f t="shared" si="10"/>
        <v>--</v>
      </c>
      <c r="Y34" s="102" t="str">
        <f t="shared" si="11"/>
        <v>--</v>
      </c>
      <c r="Z34" s="103" t="str">
        <f t="shared" si="12"/>
        <v>--</v>
      </c>
      <c r="AA34" s="104" t="str">
        <f t="shared" si="13"/>
        <v>--</v>
      </c>
      <c r="AB34" s="354" t="s">
        <v>63</v>
      </c>
      <c r="AC34" s="105">
        <f t="shared" si="14"/>
        <v>20606.7975</v>
      </c>
      <c r="AD34" s="106"/>
    </row>
    <row r="35" spans="2:30" s="1" customFormat="1" ht="16.5" customHeight="1">
      <c r="B35" s="107"/>
      <c r="C35" s="78">
        <v>35</v>
      </c>
      <c r="D35" s="78">
        <v>217514</v>
      </c>
      <c r="E35" s="78">
        <v>1532</v>
      </c>
      <c r="F35" s="76" t="s">
        <v>69</v>
      </c>
      <c r="G35" s="76">
        <v>132</v>
      </c>
      <c r="H35" s="89">
        <v>141</v>
      </c>
      <c r="I35" s="90" t="s">
        <v>70</v>
      </c>
      <c r="J35" s="91">
        <f t="shared" si="0"/>
        <v>164.85438000000002</v>
      </c>
      <c r="K35" s="355">
        <v>40191.43680555555</v>
      </c>
      <c r="L35" s="355">
        <v>40191.677083333336</v>
      </c>
      <c r="M35" s="93">
        <f t="shared" si="1"/>
        <v>5.7666666667792015</v>
      </c>
      <c r="N35" s="94">
        <f t="shared" si="2"/>
        <v>346</v>
      </c>
      <c r="O35" s="92" t="s">
        <v>62</v>
      </c>
      <c r="P35" s="353"/>
      <c r="Q35" s="96">
        <f t="shared" si="3"/>
        <v>50</v>
      </c>
      <c r="R35" s="97">
        <f t="shared" si="4"/>
        <v>475.60488630000003</v>
      </c>
      <c r="S35" s="98" t="str">
        <f t="shared" si="5"/>
        <v>--</v>
      </c>
      <c r="T35" s="99" t="str">
        <f t="shared" si="6"/>
        <v>--</v>
      </c>
      <c r="U35" s="99" t="str">
        <f t="shared" si="7"/>
        <v>--</v>
      </c>
      <c r="V35" s="100" t="str">
        <f t="shared" si="8"/>
        <v>--</v>
      </c>
      <c r="W35" s="101" t="str">
        <f t="shared" si="9"/>
        <v>--</v>
      </c>
      <c r="X35" s="101" t="str">
        <f t="shared" si="10"/>
        <v>--</v>
      </c>
      <c r="Y35" s="102" t="str">
        <f t="shared" si="11"/>
        <v>--</v>
      </c>
      <c r="Z35" s="103" t="str">
        <f t="shared" si="12"/>
        <v>--</v>
      </c>
      <c r="AA35" s="104" t="str">
        <f t="shared" si="13"/>
        <v>--</v>
      </c>
      <c r="AB35" s="354" t="s">
        <v>63</v>
      </c>
      <c r="AC35" s="105">
        <f t="shared" si="14"/>
        <v>475.60488630000003</v>
      </c>
      <c r="AD35" s="106"/>
    </row>
    <row r="36" spans="2:30" s="1" customFormat="1" ht="16.5" customHeight="1">
      <c r="B36" s="107"/>
      <c r="C36" s="78">
        <v>36</v>
      </c>
      <c r="D36" s="78">
        <v>217461</v>
      </c>
      <c r="E36" s="78">
        <v>4889</v>
      </c>
      <c r="F36" s="76" t="s">
        <v>122</v>
      </c>
      <c r="G36" s="76">
        <v>132</v>
      </c>
      <c r="H36" s="89">
        <v>24.7</v>
      </c>
      <c r="I36" s="90" t="s">
        <v>66</v>
      </c>
      <c r="J36" s="91">
        <f t="shared" si="0"/>
        <v>29.2295</v>
      </c>
      <c r="K36" s="355">
        <v>40192.34166666667</v>
      </c>
      <c r="L36" s="355">
        <v>40192.79375</v>
      </c>
      <c r="M36" s="93">
        <f t="shared" si="1"/>
        <v>10.84999999991851</v>
      </c>
      <c r="N36" s="94">
        <f t="shared" si="2"/>
        <v>651</v>
      </c>
      <c r="O36" s="92" t="s">
        <v>62</v>
      </c>
      <c r="P36" s="353"/>
      <c r="Q36" s="96">
        <f t="shared" si="3"/>
        <v>10</v>
      </c>
      <c r="R36" s="97">
        <f t="shared" si="4"/>
        <v>31.714007500000005</v>
      </c>
      <c r="S36" s="98" t="str">
        <f t="shared" si="5"/>
        <v>--</v>
      </c>
      <c r="T36" s="99" t="str">
        <f t="shared" si="6"/>
        <v>--</v>
      </c>
      <c r="U36" s="99" t="str">
        <f t="shared" si="7"/>
        <v>--</v>
      </c>
      <c r="V36" s="100" t="str">
        <f t="shared" si="8"/>
        <v>--</v>
      </c>
      <c r="W36" s="101" t="str">
        <f t="shared" si="9"/>
        <v>--</v>
      </c>
      <c r="X36" s="101" t="str">
        <f t="shared" si="10"/>
        <v>--</v>
      </c>
      <c r="Y36" s="102" t="str">
        <f t="shared" si="11"/>
        <v>--</v>
      </c>
      <c r="Z36" s="103" t="str">
        <f t="shared" si="12"/>
        <v>--</v>
      </c>
      <c r="AA36" s="104" t="str">
        <f t="shared" si="13"/>
        <v>--</v>
      </c>
      <c r="AB36" s="354" t="s">
        <v>63</v>
      </c>
      <c r="AC36" s="105">
        <f t="shared" si="14"/>
        <v>31.714007500000005</v>
      </c>
      <c r="AD36" s="106"/>
    </row>
    <row r="37" spans="2:30" s="1" customFormat="1" ht="16.5" customHeight="1">
      <c r="B37" s="107"/>
      <c r="C37" s="78">
        <v>37</v>
      </c>
      <c r="D37" s="78">
        <v>217462</v>
      </c>
      <c r="E37" s="78">
        <v>1520</v>
      </c>
      <c r="F37" s="76" t="s">
        <v>80</v>
      </c>
      <c r="G37" s="76">
        <v>132</v>
      </c>
      <c r="H37" s="89">
        <v>88.19999694824219</v>
      </c>
      <c r="I37" s="90" t="s">
        <v>66</v>
      </c>
      <c r="J37" s="91">
        <f t="shared" si="0"/>
        <v>103.12167243194581</v>
      </c>
      <c r="K37" s="355">
        <v>40192.35972222222</v>
      </c>
      <c r="L37" s="355">
        <v>40192.42986111111</v>
      </c>
      <c r="M37" s="93">
        <f t="shared" si="1"/>
        <v>1.68333333323244</v>
      </c>
      <c r="N37" s="94">
        <f t="shared" si="2"/>
        <v>101</v>
      </c>
      <c r="O37" s="92" t="s">
        <v>62</v>
      </c>
      <c r="P37" s="353"/>
      <c r="Q37" s="96">
        <f t="shared" si="3"/>
        <v>10</v>
      </c>
      <c r="R37" s="97">
        <f t="shared" si="4"/>
        <v>17.324440968566897</v>
      </c>
      <c r="S37" s="98" t="str">
        <f t="shared" si="5"/>
        <v>--</v>
      </c>
      <c r="T37" s="99" t="str">
        <f t="shared" si="6"/>
        <v>--</v>
      </c>
      <c r="U37" s="99" t="str">
        <f t="shared" si="7"/>
        <v>--</v>
      </c>
      <c r="V37" s="100" t="str">
        <f t="shared" si="8"/>
        <v>--</v>
      </c>
      <c r="W37" s="101" t="str">
        <f t="shared" si="9"/>
        <v>--</v>
      </c>
      <c r="X37" s="101" t="str">
        <f t="shared" si="10"/>
        <v>--</v>
      </c>
      <c r="Y37" s="102" t="str">
        <f t="shared" si="11"/>
        <v>--</v>
      </c>
      <c r="Z37" s="103" t="str">
        <f t="shared" si="12"/>
        <v>--</v>
      </c>
      <c r="AA37" s="104" t="str">
        <f t="shared" si="13"/>
        <v>--</v>
      </c>
      <c r="AB37" s="354" t="s">
        <v>63</v>
      </c>
      <c r="AC37" s="105">
        <f t="shared" si="14"/>
        <v>17.324440968566897</v>
      </c>
      <c r="AD37" s="106"/>
    </row>
    <row r="38" spans="2:30" s="1" customFormat="1" ht="16.5" customHeight="1">
      <c r="B38" s="107"/>
      <c r="C38" s="78">
        <v>38</v>
      </c>
      <c r="D38" s="78">
        <v>217465</v>
      </c>
      <c r="E38" s="78">
        <v>1532</v>
      </c>
      <c r="F38" s="76" t="s">
        <v>69</v>
      </c>
      <c r="G38" s="76">
        <v>132</v>
      </c>
      <c r="H38" s="89">
        <v>141</v>
      </c>
      <c r="I38" s="90" t="s">
        <v>70</v>
      </c>
      <c r="J38" s="91">
        <f t="shared" si="0"/>
        <v>164.85438000000002</v>
      </c>
      <c r="K38" s="355">
        <v>40192.37986111111</v>
      </c>
      <c r="L38" s="355">
        <v>40192.731944444444</v>
      </c>
      <c r="M38" s="93">
        <f t="shared" si="1"/>
        <v>8.449999999953434</v>
      </c>
      <c r="N38" s="94">
        <f t="shared" si="2"/>
        <v>507</v>
      </c>
      <c r="O38" s="92" t="s">
        <v>62</v>
      </c>
      <c r="P38" s="353"/>
      <c r="Q38" s="96">
        <f t="shared" si="3"/>
        <v>50</v>
      </c>
      <c r="R38" s="97">
        <f t="shared" si="4"/>
        <v>696.5097555000001</v>
      </c>
      <c r="S38" s="98" t="str">
        <f t="shared" si="5"/>
        <v>--</v>
      </c>
      <c r="T38" s="99" t="str">
        <f t="shared" si="6"/>
        <v>--</v>
      </c>
      <c r="U38" s="99" t="str">
        <f t="shared" si="7"/>
        <v>--</v>
      </c>
      <c r="V38" s="100" t="str">
        <f t="shared" si="8"/>
        <v>--</v>
      </c>
      <c r="W38" s="101" t="str">
        <f t="shared" si="9"/>
        <v>--</v>
      </c>
      <c r="X38" s="101" t="str">
        <f t="shared" si="10"/>
        <v>--</v>
      </c>
      <c r="Y38" s="102" t="str">
        <f t="shared" si="11"/>
        <v>--</v>
      </c>
      <c r="Z38" s="103" t="str">
        <f t="shared" si="12"/>
        <v>--</v>
      </c>
      <c r="AA38" s="104" t="str">
        <f t="shared" si="13"/>
        <v>--</v>
      </c>
      <c r="AB38" s="354" t="s">
        <v>63</v>
      </c>
      <c r="AC38" s="105">
        <f t="shared" si="14"/>
        <v>696.5097555000001</v>
      </c>
      <c r="AD38" s="106"/>
    </row>
    <row r="39" spans="2:30" s="1" customFormat="1" ht="16.5" customHeight="1">
      <c r="B39" s="107"/>
      <c r="C39" s="78">
        <v>39</v>
      </c>
      <c r="D39" s="78">
        <v>217467</v>
      </c>
      <c r="E39" s="78">
        <v>1433</v>
      </c>
      <c r="F39" s="76" t="s">
        <v>78</v>
      </c>
      <c r="G39" s="76">
        <v>132</v>
      </c>
      <c r="H39" s="89">
        <v>2.200000047683716</v>
      </c>
      <c r="I39" s="90" t="s">
        <v>66</v>
      </c>
      <c r="J39" s="91">
        <f t="shared" si="0"/>
        <v>29.2295</v>
      </c>
      <c r="K39" s="355">
        <v>40192.43819444445</v>
      </c>
      <c r="L39" s="355">
        <v>40192.76875</v>
      </c>
      <c r="M39" s="93">
        <f t="shared" si="1"/>
        <v>7.933333333348855</v>
      </c>
      <c r="N39" s="94">
        <f t="shared" si="2"/>
        <v>476</v>
      </c>
      <c r="O39" s="92" t="s">
        <v>62</v>
      </c>
      <c r="P39" s="353"/>
      <c r="Q39" s="96">
        <f t="shared" si="3"/>
        <v>10</v>
      </c>
      <c r="R39" s="97">
        <f t="shared" si="4"/>
        <v>23.1789935</v>
      </c>
      <c r="S39" s="98" t="str">
        <f t="shared" si="5"/>
        <v>--</v>
      </c>
      <c r="T39" s="99" t="str">
        <f t="shared" si="6"/>
        <v>--</v>
      </c>
      <c r="U39" s="99" t="str">
        <f t="shared" si="7"/>
        <v>--</v>
      </c>
      <c r="V39" s="100" t="str">
        <f t="shared" si="8"/>
        <v>--</v>
      </c>
      <c r="W39" s="101" t="str">
        <f t="shared" si="9"/>
        <v>--</v>
      </c>
      <c r="X39" s="101" t="str">
        <f t="shared" si="10"/>
        <v>--</v>
      </c>
      <c r="Y39" s="102" t="str">
        <f t="shared" si="11"/>
        <v>--</v>
      </c>
      <c r="Z39" s="103" t="str">
        <f t="shared" si="12"/>
        <v>--</v>
      </c>
      <c r="AA39" s="104" t="str">
        <f t="shared" si="13"/>
        <v>--</v>
      </c>
      <c r="AB39" s="354" t="s">
        <v>63</v>
      </c>
      <c r="AC39" s="105">
        <f t="shared" si="14"/>
        <v>23.1789935</v>
      </c>
      <c r="AD39" s="106"/>
    </row>
    <row r="40" spans="2:30" s="1" customFormat="1" ht="16.5" customHeight="1" thickBot="1">
      <c r="B40" s="13"/>
      <c r="C40" s="108"/>
      <c r="D40" s="108"/>
      <c r="E40" s="108"/>
      <c r="F40" s="271"/>
      <c r="G40" s="272"/>
      <c r="H40" s="273"/>
      <c r="I40" s="273"/>
      <c r="J40" s="110"/>
      <c r="K40" s="344"/>
      <c r="L40" s="344"/>
      <c r="M40" s="109"/>
      <c r="N40" s="109"/>
      <c r="O40" s="273"/>
      <c r="P40" s="274"/>
      <c r="Q40" s="275"/>
      <c r="R40" s="276"/>
      <c r="S40" s="277"/>
      <c r="T40" s="278"/>
      <c r="U40" s="279"/>
      <c r="V40" s="279"/>
      <c r="W40" s="280"/>
      <c r="X40" s="280"/>
      <c r="Y40" s="280"/>
      <c r="Z40" s="281"/>
      <c r="AA40" s="282"/>
      <c r="AB40" s="283"/>
      <c r="AC40" s="111"/>
      <c r="AD40" s="106"/>
    </row>
    <row r="41" spans="2:30" s="1" customFormat="1" ht="16.5" customHeight="1" thickBot="1" thickTop="1">
      <c r="B41" s="13"/>
      <c r="C41" s="112" t="s">
        <v>47</v>
      </c>
      <c r="D41" s="358" t="s">
        <v>135</v>
      </c>
      <c r="E41" s="128"/>
      <c r="F41" s="113"/>
      <c r="G41" s="114"/>
      <c r="H41" s="115"/>
      <c r="I41" s="115"/>
      <c r="J41" s="116"/>
      <c r="K41" s="116"/>
      <c r="L41" s="116"/>
      <c r="M41" s="116"/>
      <c r="N41" s="116"/>
      <c r="O41" s="116"/>
      <c r="P41" s="117"/>
      <c r="Q41" s="117"/>
      <c r="R41" s="118">
        <f aca="true" t="shared" si="15" ref="R41:AA41">SUM(R19:R40)</f>
        <v>2886.685916748144</v>
      </c>
      <c r="S41" s="119">
        <f t="shared" si="15"/>
        <v>0</v>
      </c>
      <c r="T41" s="120">
        <f t="shared" si="15"/>
        <v>8789.895231079865</v>
      </c>
      <c r="U41" s="120">
        <f t="shared" si="15"/>
        <v>12511.816082391564</v>
      </c>
      <c r="V41" s="120">
        <f t="shared" si="15"/>
        <v>0</v>
      </c>
      <c r="W41" s="121">
        <f t="shared" si="15"/>
        <v>0</v>
      </c>
      <c r="X41" s="121">
        <f t="shared" si="15"/>
        <v>0</v>
      </c>
      <c r="Y41" s="121">
        <f t="shared" si="15"/>
        <v>0</v>
      </c>
      <c r="Z41" s="122">
        <f t="shared" si="15"/>
        <v>0</v>
      </c>
      <c r="AA41" s="123">
        <f t="shared" si="15"/>
        <v>0</v>
      </c>
      <c r="AB41" s="124"/>
      <c r="AC41" s="346">
        <f>ROUND(SUM(AC19:AC40),2)</f>
        <v>81911.09</v>
      </c>
      <c r="AD41" s="125"/>
    </row>
    <row r="42" spans="2:30" s="126" customFormat="1" ht="9.75" thickTop="1">
      <c r="B42" s="127"/>
      <c r="C42" s="128"/>
      <c r="D42" s="128"/>
      <c r="E42" s="128"/>
      <c r="F42" s="129"/>
      <c r="G42" s="130"/>
      <c r="H42" s="131"/>
      <c r="I42" s="131"/>
      <c r="J42" s="132"/>
      <c r="K42" s="132"/>
      <c r="L42" s="132"/>
      <c r="M42" s="132"/>
      <c r="N42" s="132"/>
      <c r="O42" s="132"/>
      <c r="P42" s="133"/>
      <c r="Q42" s="133"/>
      <c r="R42" s="134"/>
      <c r="S42" s="134"/>
      <c r="T42" s="135"/>
      <c r="U42" s="135"/>
      <c r="V42" s="136"/>
      <c r="W42" s="136"/>
      <c r="X42" s="136"/>
      <c r="Y42" s="136"/>
      <c r="Z42" s="136"/>
      <c r="AA42" s="136"/>
      <c r="AB42" s="136"/>
      <c r="AC42" s="137"/>
      <c r="AD42" s="138"/>
    </row>
    <row r="43" spans="2:30" s="1" customFormat="1" ht="16.5" customHeight="1" thickBot="1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0" ht="13.5" thickTop="1">
      <c r="B44" s="142"/>
      <c r="AD44" s="142"/>
    </row>
    <row r="89" ht="12.75">
      <c r="B89" s="14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="70" zoomScaleNormal="70" zoomScalePageLayoutView="0" workbookViewId="0" topLeftCell="A10">
      <selection activeCell="M27" sqref="M2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258"/>
    </row>
    <row r="2" spans="2:30" s="3" customFormat="1" ht="26.25">
      <c r="B2" s="15" t="str">
        <f>'TOT-0110'!B2</f>
        <v>ANEXO I al Memorandum D.T.E.E. N°  672  / 2016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7" t="s">
        <v>3</v>
      </c>
      <c r="B4" s="17"/>
    </row>
    <row r="5" spans="1:2" s="9" customFormat="1" ht="11.25">
      <c r="A5" s="17" t="s">
        <v>4</v>
      </c>
      <c r="B5" s="17"/>
    </row>
    <row r="6" s="1" customFormat="1" ht="16.5" customHeight="1" thickBot="1"/>
    <row r="7" spans="2:30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s="21" customFormat="1" ht="20.25">
      <c r="B8" s="22"/>
      <c r="F8" s="23" t="s">
        <v>5</v>
      </c>
      <c r="G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s="1" customFormat="1" ht="16.5" customHeight="1">
      <c r="B9" s="13"/>
      <c r="F9" s="26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1" customFormat="1" ht="20.25">
      <c r="B10" s="22"/>
      <c r="F10" s="23" t="s">
        <v>6</v>
      </c>
      <c r="G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s="1" customFormat="1" ht="16.5" customHeight="1">
      <c r="B11" s="13"/>
      <c r="C11" s="26"/>
      <c r="D11" s="26"/>
      <c r="E11" s="26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7"/>
      <c r="D12" s="27"/>
      <c r="E12" s="27"/>
      <c r="F12" s="12"/>
      <c r="G12" s="12"/>
      <c r="H12" s="28"/>
      <c r="I12" s="28"/>
      <c r="J12" s="29"/>
      <c r="K12" s="28"/>
      <c r="L12" s="29"/>
      <c r="M12" s="29"/>
      <c r="N12" s="29"/>
      <c r="O12" s="29"/>
      <c r="P12" s="29"/>
      <c r="Q12" s="29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/>
    </row>
    <row r="13" spans="2:30" s="1" customFormat="1" ht="16.5" customHeight="1" thickBot="1">
      <c r="B13" s="13"/>
      <c r="C13" s="7"/>
      <c r="D13" s="7"/>
      <c r="E13" s="7"/>
      <c r="F13" s="7"/>
      <c r="G13" s="31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4" t="s">
        <v>7</v>
      </c>
      <c r="G14" s="35">
        <v>122.355</v>
      </c>
      <c r="H14" s="36"/>
      <c r="I14" s="37"/>
      <c r="J14" s="33"/>
      <c r="K14" s="33"/>
      <c r="L14" s="38" t="s">
        <v>8</v>
      </c>
      <c r="M14" s="39">
        <f>150*'TOT-0110'!B13</f>
        <v>150</v>
      </c>
      <c r="N14" s="40" t="str">
        <f>IF(M14=150," ",IF(M14=300,"Coeficiente duplicado por tasa de falla &gt;4 Sal. x año/100 km.","REVISAR COEFICIENTE"))</f>
        <v> </v>
      </c>
      <c r="O14" s="33"/>
      <c r="P14" s="33"/>
      <c r="Q14" s="3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4" t="s">
        <v>9</v>
      </c>
      <c r="G15" s="35">
        <v>116.918</v>
      </c>
      <c r="H15" s="41"/>
      <c r="I15" s="42"/>
      <c r="J15" s="7"/>
      <c r="K15" s="43"/>
      <c r="L15" s="38" t="s">
        <v>10</v>
      </c>
      <c r="M15" s="39">
        <f>50*'TOT-0110'!B13</f>
        <v>50</v>
      </c>
      <c r="N15" s="40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4" t="s">
        <v>11</v>
      </c>
      <c r="G16" s="35">
        <v>116.918</v>
      </c>
      <c r="H16" s="41"/>
      <c r="I16" s="42"/>
      <c r="J16" s="7"/>
      <c r="K16" s="7"/>
      <c r="L16" s="38" t="s">
        <v>12</v>
      </c>
      <c r="M16" s="39">
        <f>10*'TOT-0110'!B13</f>
        <v>10</v>
      </c>
      <c r="N16" s="40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349">
        <v>3</v>
      </c>
      <c r="D17" s="349">
        <v>4</v>
      </c>
      <c r="E17" s="349">
        <v>5</v>
      </c>
      <c r="F17" s="349">
        <v>6</v>
      </c>
      <c r="G17" s="349">
        <v>7</v>
      </c>
      <c r="H17" s="349">
        <v>8</v>
      </c>
      <c r="I17" s="349">
        <v>9</v>
      </c>
      <c r="J17" s="349">
        <v>10</v>
      </c>
      <c r="K17" s="349">
        <v>11</v>
      </c>
      <c r="L17" s="349">
        <v>12</v>
      </c>
      <c r="M17" s="349">
        <v>13</v>
      </c>
      <c r="N17" s="349">
        <v>14</v>
      </c>
      <c r="O17" s="349">
        <v>15</v>
      </c>
      <c r="P17" s="349">
        <v>16</v>
      </c>
      <c r="Q17" s="349">
        <v>17</v>
      </c>
      <c r="R17" s="349">
        <v>18</v>
      </c>
      <c r="S17" s="349">
        <v>19</v>
      </c>
      <c r="T17" s="349">
        <v>20</v>
      </c>
      <c r="U17" s="349">
        <v>21</v>
      </c>
      <c r="V17" s="349">
        <v>22</v>
      </c>
      <c r="W17" s="349">
        <v>23</v>
      </c>
      <c r="X17" s="349">
        <v>24</v>
      </c>
      <c r="Y17" s="349">
        <v>25</v>
      </c>
      <c r="Z17" s="349">
        <v>26</v>
      </c>
      <c r="AA17" s="349">
        <v>27</v>
      </c>
      <c r="AB17" s="349">
        <v>28</v>
      </c>
      <c r="AC17" s="349">
        <v>29</v>
      </c>
      <c r="AD17" s="14"/>
    </row>
    <row r="18" spans="2:30" s="44" customFormat="1" ht="34.5" customHeight="1" thickBot="1" thickTop="1">
      <c r="B18" s="45"/>
      <c r="C18" s="348" t="s">
        <v>13</v>
      </c>
      <c r="D18" s="348" t="s">
        <v>59</v>
      </c>
      <c r="E18" s="348" t="s">
        <v>60</v>
      </c>
      <c r="F18" s="46" t="s">
        <v>1</v>
      </c>
      <c r="G18" s="47" t="s">
        <v>14</v>
      </c>
      <c r="H18" s="47" t="s">
        <v>15</v>
      </c>
      <c r="I18" s="47" t="s">
        <v>2</v>
      </c>
      <c r="J18" s="48" t="s">
        <v>16</v>
      </c>
      <c r="K18" s="46" t="s">
        <v>17</v>
      </c>
      <c r="L18" s="46" t="s">
        <v>18</v>
      </c>
      <c r="M18" s="47" t="s">
        <v>19</v>
      </c>
      <c r="N18" s="47" t="s">
        <v>20</v>
      </c>
      <c r="O18" s="47" t="s">
        <v>46</v>
      </c>
      <c r="P18" s="47" t="s">
        <v>21</v>
      </c>
      <c r="Q18" s="49" t="s">
        <v>22</v>
      </c>
      <c r="R18" s="50" t="s">
        <v>23</v>
      </c>
      <c r="S18" s="51" t="s">
        <v>24</v>
      </c>
      <c r="T18" s="52" t="s">
        <v>25</v>
      </c>
      <c r="U18" s="53"/>
      <c r="V18" s="54"/>
      <c r="W18" s="55" t="s">
        <v>26</v>
      </c>
      <c r="X18" s="56"/>
      <c r="Y18" s="57"/>
      <c r="Z18" s="58" t="s">
        <v>27</v>
      </c>
      <c r="AA18" s="59" t="s">
        <v>28</v>
      </c>
      <c r="AB18" s="60" t="s">
        <v>29</v>
      </c>
      <c r="AC18" s="60" t="s">
        <v>30</v>
      </c>
      <c r="AD18" s="61"/>
    </row>
    <row r="19" spans="2:30" s="1" customFormat="1" ht="16.5" customHeight="1" thickTop="1">
      <c r="B19" s="13"/>
      <c r="C19" s="62"/>
      <c r="D19" s="62"/>
      <c r="E19" s="62"/>
      <c r="F19" s="63"/>
      <c r="G19" s="62"/>
      <c r="H19" s="62"/>
      <c r="I19" s="62"/>
      <c r="J19" s="64"/>
      <c r="K19" s="342"/>
      <c r="L19" s="343"/>
      <c r="M19" s="65"/>
      <c r="N19" s="65"/>
      <c r="O19" s="62"/>
      <c r="P19" s="62"/>
      <c r="Q19" s="66"/>
      <c r="R19" s="67"/>
      <c r="S19" s="68"/>
      <c r="T19" s="69"/>
      <c r="U19" s="70"/>
      <c r="V19" s="70"/>
      <c r="W19" s="71"/>
      <c r="X19" s="71"/>
      <c r="Y19" s="71"/>
      <c r="Z19" s="72"/>
      <c r="AA19" s="73"/>
      <c r="AB19" s="62"/>
      <c r="AC19" s="74">
        <f>'LI-01 (2)'!AC41</f>
        <v>81911.09</v>
      </c>
      <c r="AD19" s="14"/>
    </row>
    <row r="20" spans="2:30" s="1" customFormat="1" ht="16.5" customHeight="1">
      <c r="B20" s="13"/>
      <c r="C20" s="75"/>
      <c r="D20" s="75"/>
      <c r="E20" s="75"/>
      <c r="F20" s="76"/>
      <c r="G20" s="76"/>
      <c r="H20" s="75"/>
      <c r="I20" s="75"/>
      <c r="J20" s="77"/>
      <c r="K20" s="355"/>
      <c r="L20" s="356"/>
      <c r="M20" s="79"/>
      <c r="N20" s="79"/>
      <c r="O20" s="75"/>
      <c r="P20" s="75"/>
      <c r="Q20" s="80"/>
      <c r="R20" s="81"/>
      <c r="S20" s="82"/>
      <c r="T20" s="83"/>
      <c r="U20" s="84"/>
      <c r="V20" s="84"/>
      <c r="W20" s="85"/>
      <c r="X20" s="85"/>
      <c r="Y20" s="85"/>
      <c r="Z20" s="86"/>
      <c r="AA20" s="87"/>
      <c r="AB20" s="75"/>
      <c r="AC20" s="88"/>
      <c r="AD20" s="14"/>
    </row>
    <row r="21" spans="2:30" s="1" customFormat="1" ht="16.5" customHeight="1">
      <c r="B21" s="13"/>
      <c r="C21" s="78">
        <v>40</v>
      </c>
      <c r="D21" s="78">
        <v>217468</v>
      </c>
      <c r="E21" s="78">
        <v>1536</v>
      </c>
      <c r="F21" s="76" t="s">
        <v>65</v>
      </c>
      <c r="G21" s="76">
        <v>66</v>
      </c>
      <c r="H21" s="89">
        <v>46.79999923706055</v>
      </c>
      <c r="I21" s="90" t="s">
        <v>66</v>
      </c>
      <c r="J21" s="91">
        <f aca="true" t="shared" si="0" ref="J21:J39">IF(G21=220,$G$14,IF(G21=132,$G$15,$G$16))*IF(H21&gt;25,H21,25)/100</f>
        <v>54.717623107986455</v>
      </c>
      <c r="K21" s="355">
        <v>40192.46527777778</v>
      </c>
      <c r="L21" s="355">
        <v>40192.529861111114</v>
      </c>
      <c r="M21" s="93">
        <f aca="true" t="shared" si="1" ref="M21:M39">IF(F21="","",(L21-K21)*24)</f>
        <v>1.5499999999883585</v>
      </c>
      <c r="N21" s="94">
        <f aca="true" t="shared" si="2" ref="N21:N39">IF(F21="","",ROUND((L21-K21)*24*60,0))</f>
        <v>93</v>
      </c>
      <c r="O21" s="95" t="s">
        <v>62</v>
      </c>
      <c r="P21" s="353"/>
      <c r="Q21" s="96">
        <f aca="true" t="shared" si="3" ref="Q21:Q39">IF(I21="A",$M$14,IF(I21="B",$M$15,$M$16))</f>
        <v>10</v>
      </c>
      <c r="R21" s="97">
        <f aca="true" t="shared" si="4" ref="R21:R39">IF(O21="P",ROUND(N21/60,2)*J21*Q21*0.01,"--")</f>
        <v>8.4812315817379</v>
      </c>
      <c r="S21" s="98" t="str">
        <f aca="true" t="shared" si="5" ref="S21:S39">IF(O21="RP",ROUND(N21/60,2)*J21*Q21*0.01*P21/100,"--")</f>
        <v>--</v>
      </c>
      <c r="T21" s="99" t="str">
        <f aca="true" t="shared" si="6" ref="T21:T39">IF(O21="F",J21*Q21,"--")</f>
        <v>--</v>
      </c>
      <c r="U21" s="99" t="str">
        <f aca="true" t="shared" si="7" ref="U21:U39">IF(AND(N21&gt;10,O21="F"),J21*Q21*IF(N21&gt;180,3,ROUND((N21)/60,2)),"--")</f>
        <v>--</v>
      </c>
      <c r="V21" s="100" t="str">
        <f aca="true" t="shared" si="8" ref="V21:V39">IF(AND(O21="F",N21&gt;180),(ROUND(N21/60,2)-3)*J21*Q21*0.1,"--")</f>
        <v>--</v>
      </c>
      <c r="W21" s="101" t="str">
        <f aca="true" t="shared" si="9" ref="W21:W39">IF(O21="R",J21*Q21*P21/100,"--")</f>
        <v>--</v>
      </c>
      <c r="X21" s="101" t="str">
        <f aca="true" t="shared" si="10" ref="X21:X39">IF(AND(N21&gt;10,O21="R"),Q21*J21*P21/100*IF(N21&gt;180,3,ROUND((N21)/60,2)),"--")</f>
        <v>--</v>
      </c>
      <c r="Y21" s="102" t="str">
        <f aca="true" t="shared" si="11" ref="Y21:Y39">IF(AND(O21="R",N21&gt;180),(ROUND(N21/60,2)-3)*J21*Q21*0.1*P21/100,"--")</f>
        <v>--</v>
      </c>
      <c r="Z21" s="103" t="str">
        <f aca="true" t="shared" si="12" ref="Z21:Z39">IF(O21="RF",ROUND(N21/60,2)*J21*Q21*0.1,"--")</f>
        <v>--</v>
      </c>
      <c r="AA21" s="104" t="str">
        <f aca="true" t="shared" si="13" ref="AA21:AA39">IF(O21="RR",ROUND(N21/60,2)*J21*Q21*0.1*P21/100,"--")</f>
        <v>--</v>
      </c>
      <c r="AB21" s="354" t="s">
        <v>63</v>
      </c>
      <c r="AC21" s="105">
        <f aca="true" t="shared" si="14" ref="AC21:AC39">IF(F21="","",SUM(R21:AA21)*IF(AB21="SI",1,2))</f>
        <v>8.4812315817379</v>
      </c>
      <c r="AD21" s="106"/>
    </row>
    <row r="22" spans="2:30" s="1" customFormat="1" ht="16.5" customHeight="1">
      <c r="B22" s="13"/>
      <c r="C22" s="78">
        <v>41</v>
      </c>
      <c r="D22" s="78">
        <v>217471</v>
      </c>
      <c r="E22" s="78">
        <v>1532</v>
      </c>
      <c r="F22" s="76" t="s">
        <v>69</v>
      </c>
      <c r="G22" s="76">
        <v>132</v>
      </c>
      <c r="H22" s="89">
        <v>141</v>
      </c>
      <c r="I22" s="90" t="s">
        <v>70</v>
      </c>
      <c r="J22" s="91">
        <f t="shared" si="0"/>
        <v>164.85438000000002</v>
      </c>
      <c r="K22" s="355">
        <v>40193.37291666667</v>
      </c>
      <c r="L22" s="355">
        <v>40193.74722222222</v>
      </c>
      <c r="M22" s="93">
        <f t="shared" si="1"/>
        <v>8.983333333279006</v>
      </c>
      <c r="N22" s="94">
        <f t="shared" si="2"/>
        <v>539</v>
      </c>
      <c r="O22" s="95" t="s">
        <v>62</v>
      </c>
      <c r="P22" s="353"/>
      <c r="Q22" s="96">
        <f t="shared" si="3"/>
        <v>50</v>
      </c>
      <c r="R22" s="97">
        <f t="shared" si="4"/>
        <v>740.1961662000002</v>
      </c>
      <c r="S22" s="98" t="str">
        <f t="shared" si="5"/>
        <v>--</v>
      </c>
      <c r="T22" s="99" t="str">
        <f t="shared" si="6"/>
        <v>--</v>
      </c>
      <c r="U22" s="99" t="str">
        <f t="shared" si="7"/>
        <v>--</v>
      </c>
      <c r="V22" s="100" t="str">
        <f t="shared" si="8"/>
        <v>--</v>
      </c>
      <c r="W22" s="101" t="str">
        <f t="shared" si="9"/>
        <v>--</v>
      </c>
      <c r="X22" s="101" t="str">
        <f t="shared" si="10"/>
        <v>--</v>
      </c>
      <c r="Y22" s="102" t="str">
        <f t="shared" si="11"/>
        <v>--</v>
      </c>
      <c r="Z22" s="103" t="str">
        <f t="shared" si="12"/>
        <v>--</v>
      </c>
      <c r="AA22" s="104" t="str">
        <f t="shared" si="13"/>
        <v>--</v>
      </c>
      <c r="AB22" s="354" t="s">
        <v>63</v>
      </c>
      <c r="AC22" s="105">
        <f t="shared" si="14"/>
        <v>740.1961662000002</v>
      </c>
      <c r="AD22" s="106"/>
    </row>
    <row r="23" spans="2:30" s="1" customFormat="1" ht="16.5" customHeight="1">
      <c r="B23" s="13"/>
      <c r="C23" s="78">
        <v>42</v>
      </c>
      <c r="D23" s="78">
        <v>217473</v>
      </c>
      <c r="E23" s="78">
        <v>1531</v>
      </c>
      <c r="F23" s="76" t="s">
        <v>81</v>
      </c>
      <c r="G23" s="76">
        <v>132</v>
      </c>
      <c r="H23" s="89">
        <v>102.08999633789062</v>
      </c>
      <c r="I23" s="90" t="s">
        <v>66</v>
      </c>
      <c r="J23" s="91">
        <f t="shared" si="0"/>
        <v>119.36158191833496</v>
      </c>
      <c r="K23" s="355">
        <v>40193.66875</v>
      </c>
      <c r="L23" s="355">
        <v>40193.67569444444</v>
      </c>
      <c r="M23" s="93">
        <f t="shared" si="1"/>
        <v>0.16666666668606922</v>
      </c>
      <c r="N23" s="94">
        <f t="shared" si="2"/>
        <v>10</v>
      </c>
      <c r="O23" s="95" t="s">
        <v>64</v>
      </c>
      <c r="P23" s="353"/>
      <c r="Q23" s="96">
        <f t="shared" si="3"/>
        <v>10</v>
      </c>
      <c r="R23" s="97" t="str">
        <f t="shared" si="4"/>
        <v>--</v>
      </c>
      <c r="S23" s="98" t="str">
        <f t="shared" si="5"/>
        <v>--</v>
      </c>
      <c r="T23" s="99">
        <f t="shared" si="6"/>
        <v>1193.6158191833497</v>
      </c>
      <c r="U23" s="99" t="str">
        <f t="shared" si="7"/>
        <v>--</v>
      </c>
      <c r="V23" s="100" t="str">
        <f t="shared" si="8"/>
        <v>--</v>
      </c>
      <c r="W23" s="101" t="str">
        <f t="shared" si="9"/>
        <v>--</v>
      </c>
      <c r="X23" s="101" t="str">
        <f t="shared" si="10"/>
        <v>--</v>
      </c>
      <c r="Y23" s="102" t="str">
        <f t="shared" si="11"/>
        <v>--</v>
      </c>
      <c r="Z23" s="103" t="str">
        <f t="shared" si="12"/>
        <v>--</v>
      </c>
      <c r="AA23" s="104" t="str">
        <f t="shared" si="13"/>
        <v>--</v>
      </c>
      <c r="AB23" s="354" t="s">
        <v>63</v>
      </c>
      <c r="AC23" s="105">
        <f t="shared" si="14"/>
        <v>1193.6158191833497</v>
      </c>
      <c r="AD23" s="106"/>
    </row>
    <row r="24" spans="2:30" s="1" customFormat="1" ht="16.5" customHeight="1">
      <c r="B24" s="13"/>
      <c r="C24" s="78">
        <v>43</v>
      </c>
      <c r="D24" s="78">
        <v>217475</v>
      </c>
      <c r="E24" s="78">
        <v>4889</v>
      </c>
      <c r="F24" s="76" t="s">
        <v>125</v>
      </c>
      <c r="G24" s="76">
        <v>132</v>
      </c>
      <c r="H24" s="89">
        <v>24.7</v>
      </c>
      <c r="I24" s="90" t="s">
        <v>66</v>
      </c>
      <c r="J24" s="91">
        <f t="shared" si="0"/>
        <v>29.2295</v>
      </c>
      <c r="K24" s="355">
        <v>40195.30138888889</v>
      </c>
      <c r="L24" s="355">
        <v>40195.70625</v>
      </c>
      <c r="M24" s="93">
        <f t="shared" si="1"/>
        <v>9.716666666732635</v>
      </c>
      <c r="N24" s="94">
        <f t="shared" si="2"/>
        <v>583</v>
      </c>
      <c r="O24" s="95" t="s">
        <v>62</v>
      </c>
      <c r="P24" s="353"/>
      <c r="Q24" s="96">
        <f t="shared" si="3"/>
        <v>10</v>
      </c>
      <c r="R24" s="97">
        <f t="shared" si="4"/>
        <v>28.411074000000003</v>
      </c>
      <c r="S24" s="98" t="str">
        <f t="shared" si="5"/>
        <v>--</v>
      </c>
      <c r="T24" s="99" t="str">
        <f t="shared" si="6"/>
        <v>--</v>
      </c>
      <c r="U24" s="99" t="str">
        <f t="shared" si="7"/>
        <v>--</v>
      </c>
      <c r="V24" s="100" t="str">
        <f t="shared" si="8"/>
        <v>--</v>
      </c>
      <c r="W24" s="101" t="str">
        <f t="shared" si="9"/>
        <v>--</v>
      </c>
      <c r="X24" s="101" t="str">
        <f t="shared" si="10"/>
        <v>--</v>
      </c>
      <c r="Y24" s="102" t="str">
        <f t="shared" si="11"/>
        <v>--</v>
      </c>
      <c r="Z24" s="103" t="str">
        <f t="shared" si="12"/>
        <v>--</v>
      </c>
      <c r="AA24" s="104" t="str">
        <f t="shared" si="13"/>
        <v>--</v>
      </c>
      <c r="AB24" s="354" t="s">
        <v>63</v>
      </c>
      <c r="AC24" s="105">
        <f t="shared" si="14"/>
        <v>28.411074000000003</v>
      </c>
      <c r="AD24" s="106"/>
    </row>
    <row r="25" spans="2:30" s="1" customFormat="1" ht="16.5" customHeight="1">
      <c r="B25" s="13"/>
      <c r="C25" s="78">
        <v>44</v>
      </c>
      <c r="D25" s="78">
        <v>217478</v>
      </c>
      <c r="E25" s="78">
        <v>2714</v>
      </c>
      <c r="F25" s="76" t="s">
        <v>82</v>
      </c>
      <c r="G25" s="76">
        <v>132</v>
      </c>
      <c r="H25" s="89">
        <v>35</v>
      </c>
      <c r="I25" s="90" t="s">
        <v>66</v>
      </c>
      <c r="J25" s="91">
        <f t="shared" si="0"/>
        <v>40.9213</v>
      </c>
      <c r="K25" s="355">
        <v>40195.33125</v>
      </c>
      <c r="L25" s="355">
        <v>40195.334027777775</v>
      </c>
      <c r="M25" s="93">
        <f t="shared" si="1"/>
        <v>0.0666666665347293</v>
      </c>
      <c r="N25" s="94">
        <f t="shared" si="2"/>
        <v>4</v>
      </c>
      <c r="O25" s="95" t="s">
        <v>64</v>
      </c>
      <c r="P25" s="353"/>
      <c r="Q25" s="96">
        <f t="shared" si="3"/>
        <v>10</v>
      </c>
      <c r="R25" s="97" t="str">
        <f t="shared" si="4"/>
        <v>--</v>
      </c>
      <c r="S25" s="98" t="str">
        <f t="shared" si="5"/>
        <v>--</v>
      </c>
      <c r="T25" s="99">
        <f t="shared" si="6"/>
        <v>409.213</v>
      </c>
      <c r="U25" s="99" t="str">
        <f t="shared" si="7"/>
        <v>--</v>
      </c>
      <c r="V25" s="100" t="str">
        <f t="shared" si="8"/>
        <v>--</v>
      </c>
      <c r="W25" s="101" t="str">
        <f t="shared" si="9"/>
        <v>--</v>
      </c>
      <c r="X25" s="101" t="str">
        <f t="shared" si="10"/>
        <v>--</v>
      </c>
      <c r="Y25" s="102" t="str">
        <f t="shared" si="11"/>
        <v>--</v>
      </c>
      <c r="Z25" s="103" t="str">
        <f t="shared" si="12"/>
        <v>--</v>
      </c>
      <c r="AA25" s="104" t="str">
        <f t="shared" si="13"/>
        <v>--</v>
      </c>
      <c r="AB25" s="354" t="s">
        <v>63</v>
      </c>
      <c r="AC25" s="105">
        <f t="shared" si="14"/>
        <v>409.213</v>
      </c>
      <c r="AD25" s="106"/>
    </row>
    <row r="26" spans="2:30" s="1" customFormat="1" ht="16.5" customHeight="1">
      <c r="B26" s="13"/>
      <c r="C26" s="78">
        <v>45</v>
      </c>
      <c r="D26" s="78">
        <v>217489</v>
      </c>
      <c r="E26" s="78">
        <v>2713</v>
      </c>
      <c r="F26" s="76" t="s">
        <v>83</v>
      </c>
      <c r="G26" s="76">
        <v>132</v>
      </c>
      <c r="H26" s="89">
        <v>8</v>
      </c>
      <c r="I26" s="90" t="s">
        <v>66</v>
      </c>
      <c r="J26" s="91">
        <f t="shared" si="0"/>
        <v>29.2295</v>
      </c>
      <c r="K26" s="355">
        <v>40195.33125</v>
      </c>
      <c r="L26" s="355">
        <v>40195.33472222222</v>
      </c>
      <c r="M26" s="93">
        <f t="shared" si="1"/>
        <v>0.08333333325572312</v>
      </c>
      <c r="N26" s="94">
        <f t="shared" si="2"/>
        <v>5</v>
      </c>
      <c r="O26" s="92" t="s">
        <v>64</v>
      </c>
      <c r="P26" s="353"/>
      <c r="Q26" s="96">
        <f t="shared" si="3"/>
        <v>10</v>
      </c>
      <c r="R26" s="97" t="str">
        <f t="shared" si="4"/>
        <v>--</v>
      </c>
      <c r="S26" s="98" t="str">
        <f t="shared" si="5"/>
        <v>--</v>
      </c>
      <c r="T26" s="99">
        <f t="shared" si="6"/>
        <v>292.295</v>
      </c>
      <c r="U26" s="99" t="str">
        <f t="shared" si="7"/>
        <v>--</v>
      </c>
      <c r="V26" s="100" t="str">
        <f t="shared" si="8"/>
        <v>--</v>
      </c>
      <c r="W26" s="101" t="str">
        <f t="shared" si="9"/>
        <v>--</v>
      </c>
      <c r="X26" s="101" t="str">
        <f t="shared" si="10"/>
        <v>--</v>
      </c>
      <c r="Y26" s="102" t="str">
        <f t="shared" si="11"/>
        <v>--</v>
      </c>
      <c r="Z26" s="103" t="str">
        <f t="shared" si="12"/>
        <v>--</v>
      </c>
      <c r="AA26" s="104" t="str">
        <f t="shared" si="13"/>
        <v>--</v>
      </c>
      <c r="AB26" s="354" t="s">
        <v>63</v>
      </c>
      <c r="AC26" s="105">
        <f t="shared" si="14"/>
        <v>292.295</v>
      </c>
      <c r="AD26" s="106"/>
    </row>
    <row r="27" spans="2:30" s="1" customFormat="1" ht="16.5" customHeight="1">
      <c r="B27" s="13"/>
      <c r="C27" s="78">
        <v>47</v>
      </c>
      <c r="D27" s="78">
        <v>217727</v>
      </c>
      <c r="E27" s="78">
        <v>4831</v>
      </c>
      <c r="F27" s="76" t="s">
        <v>124</v>
      </c>
      <c r="G27" s="76">
        <v>132</v>
      </c>
      <c r="H27" s="89">
        <v>15.73</v>
      </c>
      <c r="I27" s="90" t="s">
        <v>66</v>
      </c>
      <c r="J27" s="91">
        <f t="shared" si="0"/>
        <v>29.2295</v>
      </c>
      <c r="K27" s="355">
        <v>40196.40833333333</v>
      </c>
      <c r="L27" s="355">
        <v>40196.67291666667</v>
      </c>
      <c r="M27" s="93">
        <f t="shared" si="1"/>
        <v>6.350000000093132</v>
      </c>
      <c r="N27" s="94">
        <f t="shared" si="2"/>
        <v>381</v>
      </c>
      <c r="O27" s="92" t="s">
        <v>62</v>
      </c>
      <c r="P27" s="353"/>
      <c r="Q27" s="96">
        <f t="shared" si="3"/>
        <v>10</v>
      </c>
      <c r="R27" s="97">
        <f t="shared" si="4"/>
        <v>18.5607325</v>
      </c>
      <c r="S27" s="98" t="str">
        <f t="shared" si="5"/>
        <v>--</v>
      </c>
      <c r="T27" s="99" t="str">
        <f t="shared" si="6"/>
        <v>--</v>
      </c>
      <c r="U27" s="99" t="str">
        <f t="shared" si="7"/>
        <v>--</v>
      </c>
      <c r="V27" s="100" t="str">
        <f t="shared" si="8"/>
        <v>--</v>
      </c>
      <c r="W27" s="101" t="str">
        <f t="shared" si="9"/>
        <v>--</v>
      </c>
      <c r="X27" s="101" t="str">
        <f t="shared" si="10"/>
        <v>--</v>
      </c>
      <c r="Y27" s="102" t="str">
        <f t="shared" si="11"/>
        <v>--</v>
      </c>
      <c r="Z27" s="103" t="str">
        <f t="shared" si="12"/>
        <v>--</v>
      </c>
      <c r="AA27" s="104" t="str">
        <f t="shared" si="13"/>
        <v>--</v>
      </c>
      <c r="AB27" s="354" t="s">
        <v>63</v>
      </c>
      <c r="AC27" s="105">
        <f t="shared" si="14"/>
        <v>18.5607325</v>
      </c>
      <c r="AD27" s="106"/>
    </row>
    <row r="28" spans="2:30" s="1" customFormat="1" ht="16.5" customHeight="1">
      <c r="B28" s="13"/>
      <c r="C28" s="78">
        <v>48</v>
      </c>
      <c r="D28" s="78">
        <v>217730</v>
      </c>
      <c r="E28" s="78">
        <v>4831</v>
      </c>
      <c r="F28" s="76" t="s">
        <v>124</v>
      </c>
      <c r="G28" s="76">
        <v>132</v>
      </c>
      <c r="H28" s="89">
        <v>15.73</v>
      </c>
      <c r="I28" s="90" t="s">
        <v>66</v>
      </c>
      <c r="J28" s="91">
        <f t="shared" si="0"/>
        <v>29.2295</v>
      </c>
      <c r="K28" s="355">
        <v>40197.379166666666</v>
      </c>
      <c r="L28" s="355">
        <v>40197.669444444444</v>
      </c>
      <c r="M28" s="93">
        <f t="shared" si="1"/>
        <v>6.966666666674428</v>
      </c>
      <c r="N28" s="94">
        <f t="shared" si="2"/>
        <v>418</v>
      </c>
      <c r="O28" s="92" t="s">
        <v>62</v>
      </c>
      <c r="P28" s="353"/>
      <c r="Q28" s="96">
        <f t="shared" si="3"/>
        <v>10</v>
      </c>
      <c r="R28" s="97">
        <f t="shared" si="4"/>
        <v>20.3729615</v>
      </c>
      <c r="S28" s="98" t="str">
        <f t="shared" si="5"/>
        <v>--</v>
      </c>
      <c r="T28" s="99" t="str">
        <f t="shared" si="6"/>
        <v>--</v>
      </c>
      <c r="U28" s="99" t="str">
        <f t="shared" si="7"/>
        <v>--</v>
      </c>
      <c r="V28" s="100" t="str">
        <f t="shared" si="8"/>
        <v>--</v>
      </c>
      <c r="W28" s="101" t="str">
        <f t="shared" si="9"/>
        <v>--</v>
      </c>
      <c r="X28" s="101" t="str">
        <f t="shared" si="10"/>
        <v>--</v>
      </c>
      <c r="Y28" s="102" t="str">
        <f t="shared" si="11"/>
        <v>--</v>
      </c>
      <c r="Z28" s="103" t="str">
        <f t="shared" si="12"/>
        <v>--</v>
      </c>
      <c r="AA28" s="104" t="str">
        <f t="shared" si="13"/>
        <v>--</v>
      </c>
      <c r="AB28" s="354" t="s">
        <v>63</v>
      </c>
      <c r="AC28" s="105">
        <f t="shared" si="14"/>
        <v>20.3729615</v>
      </c>
      <c r="AD28" s="106"/>
    </row>
    <row r="29" spans="2:30" s="1" customFormat="1" ht="16.5" customHeight="1">
      <c r="B29" s="13"/>
      <c r="C29" s="78">
        <v>49</v>
      </c>
      <c r="D29" s="78">
        <v>217738</v>
      </c>
      <c r="E29" s="78">
        <v>3829</v>
      </c>
      <c r="F29" s="76" t="s">
        <v>84</v>
      </c>
      <c r="G29" s="76">
        <v>132</v>
      </c>
      <c r="H29" s="89">
        <v>139.39999389648438</v>
      </c>
      <c r="I29" s="90" t="s">
        <v>66</v>
      </c>
      <c r="J29" s="91">
        <f t="shared" si="0"/>
        <v>162.98368486389163</v>
      </c>
      <c r="K29" s="355">
        <v>40198.14027777778</v>
      </c>
      <c r="L29" s="355">
        <v>40198.14513888889</v>
      </c>
      <c r="M29" s="93">
        <f t="shared" si="1"/>
        <v>0.11666666669771075</v>
      </c>
      <c r="N29" s="94">
        <f t="shared" si="2"/>
        <v>7</v>
      </c>
      <c r="O29" s="92" t="s">
        <v>64</v>
      </c>
      <c r="P29" s="353"/>
      <c r="Q29" s="96">
        <f t="shared" si="3"/>
        <v>10</v>
      </c>
      <c r="R29" s="97" t="str">
        <f t="shared" si="4"/>
        <v>--</v>
      </c>
      <c r="S29" s="98" t="str">
        <f t="shared" si="5"/>
        <v>--</v>
      </c>
      <c r="T29" s="99">
        <f t="shared" si="6"/>
        <v>1629.8368486389163</v>
      </c>
      <c r="U29" s="99" t="str">
        <f t="shared" si="7"/>
        <v>--</v>
      </c>
      <c r="V29" s="100" t="str">
        <f t="shared" si="8"/>
        <v>--</v>
      </c>
      <c r="W29" s="101" t="str">
        <f t="shared" si="9"/>
        <v>--</v>
      </c>
      <c r="X29" s="101" t="str">
        <f t="shared" si="10"/>
        <v>--</v>
      </c>
      <c r="Y29" s="102" t="str">
        <f t="shared" si="11"/>
        <v>--</v>
      </c>
      <c r="Z29" s="103" t="str">
        <f t="shared" si="12"/>
        <v>--</v>
      </c>
      <c r="AA29" s="104" t="str">
        <f t="shared" si="13"/>
        <v>--</v>
      </c>
      <c r="AB29" s="354" t="s">
        <v>63</v>
      </c>
      <c r="AC29" s="105">
        <f t="shared" si="14"/>
        <v>1629.8368486389163</v>
      </c>
      <c r="AD29" s="106"/>
    </row>
    <row r="30" spans="2:30" s="1" customFormat="1" ht="16.5" customHeight="1">
      <c r="B30" s="13"/>
      <c r="C30" s="78">
        <v>50</v>
      </c>
      <c r="D30" s="78">
        <v>217740</v>
      </c>
      <c r="E30" s="78">
        <v>4915</v>
      </c>
      <c r="F30" s="76" t="s">
        <v>126</v>
      </c>
      <c r="G30" s="76">
        <v>132</v>
      </c>
      <c r="H30" s="89">
        <v>6.19</v>
      </c>
      <c r="I30" s="90" t="s">
        <v>66</v>
      </c>
      <c r="J30" s="91">
        <f t="shared" si="0"/>
        <v>29.2295</v>
      </c>
      <c r="K30" s="355">
        <v>40198.36944444444</v>
      </c>
      <c r="L30" s="355">
        <v>40198.72361111111</v>
      </c>
      <c r="M30" s="93">
        <f t="shared" si="1"/>
        <v>8.500000000116415</v>
      </c>
      <c r="N30" s="94">
        <f t="shared" si="2"/>
        <v>510</v>
      </c>
      <c r="O30" s="92" t="s">
        <v>62</v>
      </c>
      <c r="P30" s="353"/>
      <c r="Q30" s="96">
        <f t="shared" si="3"/>
        <v>10</v>
      </c>
      <c r="R30" s="97">
        <f t="shared" si="4"/>
        <v>24.845075</v>
      </c>
      <c r="S30" s="98" t="str">
        <f t="shared" si="5"/>
        <v>--</v>
      </c>
      <c r="T30" s="99" t="str">
        <f t="shared" si="6"/>
        <v>--</v>
      </c>
      <c r="U30" s="99" t="str">
        <f t="shared" si="7"/>
        <v>--</v>
      </c>
      <c r="V30" s="100" t="str">
        <f t="shared" si="8"/>
        <v>--</v>
      </c>
      <c r="W30" s="101" t="str">
        <f t="shared" si="9"/>
        <v>--</v>
      </c>
      <c r="X30" s="101" t="str">
        <f t="shared" si="10"/>
        <v>--</v>
      </c>
      <c r="Y30" s="102" t="str">
        <f t="shared" si="11"/>
        <v>--</v>
      </c>
      <c r="Z30" s="103" t="str">
        <f t="shared" si="12"/>
        <v>--</v>
      </c>
      <c r="AA30" s="104" t="str">
        <f t="shared" si="13"/>
        <v>--</v>
      </c>
      <c r="AB30" s="354" t="s">
        <v>63</v>
      </c>
      <c r="AC30" s="105">
        <f t="shared" si="14"/>
        <v>24.845075</v>
      </c>
      <c r="AD30" s="106"/>
    </row>
    <row r="31" spans="2:30" s="1" customFormat="1" ht="16.5" customHeight="1">
      <c r="B31" s="13"/>
      <c r="C31" s="78">
        <v>51</v>
      </c>
      <c r="D31" s="78">
        <v>217742</v>
      </c>
      <c r="E31" s="78">
        <v>4831</v>
      </c>
      <c r="F31" s="76" t="s">
        <v>124</v>
      </c>
      <c r="G31" s="76">
        <v>132</v>
      </c>
      <c r="H31" s="89">
        <v>15.73</v>
      </c>
      <c r="I31" s="90" t="s">
        <v>66</v>
      </c>
      <c r="J31" s="91">
        <f t="shared" si="0"/>
        <v>29.2295</v>
      </c>
      <c r="K31" s="355">
        <v>40198.40416666667</v>
      </c>
      <c r="L31" s="355">
        <v>40198.67222222222</v>
      </c>
      <c r="M31" s="93">
        <f t="shared" si="1"/>
        <v>6.433333333348855</v>
      </c>
      <c r="N31" s="94">
        <f t="shared" si="2"/>
        <v>386</v>
      </c>
      <c r="O31" s="92" t="s">
        <v>62</v>
      </c>
      <c r="P31" s="353"/>
      <c r="Q31" s="96">
        <f t="shared" si="3"/>
        <v>10</v>
      </c>
      <c r="R31" s="97">
        <f t="shared" si="4"/>
        <v>18.7945685</v>
      </c>
      <c r="S31" s="98" t="str">
        <f t="shared" si="5"/>
        <v>--</v>
      </c>
      <c r="T31" s="99" t="str">
        <f t="shared" si="6"/>
        <v>--</v>
      </c>
      <c r="U31" s="99" t="str">
        <f t="shared" si="7"/>
        <v>--</v>
      </c>
      <c r="V31" s="100" t="str">
        <f t="shared" si="8"/>
        <v>--</v>
      </c>
      <c r="W31" s="101" t="str">
        <f t="shared" si="9"/>
        <v>--</v>
      </c>
      <c r="X31" s="101" t="str">
        <f t="shared" si="10"/>
        <v>--</v>
      </c>
      <c r="Y31" s="102" t="str">
        <f t="shared" si="11"/>
        <v>--</v>
      </c>
      <c r="Z31" s="103" t="str">
        <f t="shared" si="12"/>
        <v>--</v>
      </c>
      <c r="AA31" s="104" t="str">
        <f t="shared" si="13"/>
        <v>--</v>
      </c>
      <c r="AB31" s="354" t="s">
        <v>63</v>
      </c>
      <c r="AC31" s="105">
        <f t="shared" si="14"/>
        <v>18.7945685</v>
      </c>
      <c r="AD31" s="106"/>
    </row>
    <row r="32" spans="2:30" s="1" customFormat="1" ht="16.5" customHeight="1">
      <c r="B32" s="13"/>
      <c r="C32" s="78">
        <v>52</v>
      </c>
      <c r="D32" s="78">
        <v>217749</v>
      </c>
      <c r="E32" s="78">
        <v>1440</v>
      </c>
      <c r="F32" s="76" t="s">
        <v>85</v>
      </c>
      <c r="G32" s="76">
        <v>132</v>
      </c>
      <c r="H32" s="89">
        <v>55</v>
      </c>
      <c r="I32" s="90" t="s">
        <v>66</v>
      </c>
      <c r="J32" s="91">
        <f t="shared" si="0"/>
        <v>64.3049</v>
      </c>
      <c r="K32" s="355">
        <v>40199.39722222222</v>
      </c>
      <c r="L32" s="355">
        <v>40200.64791666667</v>
      </c>
      <c r="M32" s="93">
        <f t="shared" si="1"/>
        <v>30.016666666720994</v>
      </c>
      <c r="N32" s="94">
        <f t="shared" si="2"/>
        <v>1801</v>
      </c>
      <c r="O32" s="92" t="s">
        <v>62</v>
      </c>
      <c r="P32" s="353"/>
      <c r="Q32" s="96">
        <f t="shared" si="3"/>
        <v>10</v>
      </c>
      <c r="R32" s="97">
        <f t="shared" si="4"/>
        <v>193.0433098</v>
      </c>
      <c r="S32" s="98" t="str">
        <f t="shared" si="5"/>
        <v>--</v>
      </c>
      <c r="T32" s="99" t="str">
        <f t="shared" si="6"/>
        <v>--</v>
      </c>
      <c r="U32" s="99" t="str">
        <f t="shared" si="7"/>
        <v>--</v>
      </c>
      <c r="V32" s="100" t="str">
        <f t="shared" si="8"/>
        <v>--</v>
      </c>
      <c r="W32" s="101" t="str">
        <f t="shared" si="9"/>
        <v>--</v>
      </c>
      <c r="X32" s="101" t="str">
        <f t="shared" si="10"/>
        <v>--</v>
      </c>
      <c r="Y32" s="102" t="str">
        <f t="shared" si="11"/>
        <v>--</v>
      </c>
      <c r="Z32" s="103" t="str">
        <f t="shared" si="12"/>
        <v>--</v>
      </c>
      <c r="AA32" s="104" t="str">
        <f t="shared" si="13"/>
        <v>--</v>
      </c>
      <c r="AB32" s="354" t="s">
        <v>63</v>
      </c>
      <c r="AC32" s="105">
        <f t="shared" si="14"/>
        <v>193.0433098</v>
      </c>
      <c r="AD32" s="106"/>
    </row>
    <row r="33" spans="2:30" s="1" customFormat="1" ht="16.5" customHeight="1">
      <c r="B33" s="107"/>
      <c r="C33" s="78">
        <v>53</v>
      </c>
      <c r="D33" s="78">
        <v>217757</v>
      </c>
      <c r="E33" s="78">
        <v>1405</v>
      </c>
      <c r="F33" s="76" t="s">
        <v>86</v>
      </c>
      <c r="G33" s="76">
        <v>132</v>
      </c>
      <c r="H33" s="89">
        <v>83.80000305175781</v>
      </c>
      <c r="I33" s="90" t="s">
        <v>70</v>
      </c>
      <c r="J33" s="91">
        <f t="shared" si="0"/>
        <v>97.9772875680542</v>
      </c>
      <c r="K33" s="355">
        <v>40200.37777777778</v>
      </c>
      <c r="L33" s="355">
        <v>40200.563888888886</v>
      </c>
      <c r="M33" s="93">
        <f t="shared" si="1"/>
        <v>4.466666666558012</v>
      </c>
      <c r="N33" s="94">
        <f t="shared" si="2"/>
        <v>268</v>
      </c>
      <c r="O33" s="92" t="s">
        <v>62</v>
      </c>
      <c r="P33" s="353"/>
      <c r="Q33" s="96">
        <f t="shared" si="3"/>
        <v>50</v>
      </c>
      <c r="R33" s="97">
        <f t="shared" si="4"/>
        <v>218.9792377146011</v>
      </c>
      <c r="S33" s="98" t="str">
        <f t="shared" si="5"/>
        <v>--</v>
      </c>
      <c r="T33" s="99" t="str">
        <f t="shared" si="6"/>
        <v>--</v>
      </c>
      <c r="U33" s="99" t="str">
        <f t="shared" si="7"/>
        <v>--</v>
      </c>
      <c r="V33" s="100" t="str">
        <f t="shared" si="8"/>
        <v>--</v>
      </c>
      <c r="W33" s="101" t="str">
        <f t="shared" si="9"/>
        <v>--</v>
      </c>
      <c r="X33" s="101" t="str">
        <f t="shared" si="10"/>
        <v>--</v>
      </c>
      <c r="Y33" s="102" t="str">
        <f t="shared" si="11"/>
        <v>--</v>
      </c>
      <c r="Z33" s="103" t="str">
        <f t="shared" si="12"/>
        <v>--</v>
      </c>
      <c r="AA33" s="104" t="str">
        <f t="shared" si="13"/>
        <v>--</v>
      </c>
      <c r="AB33" s="354" t="s">
        <v>63</v>
      </c>
      <c r="AC33" s="105">
        <f t="shared" si="14"/>
        <v>218.9792377146011</v>
      </c>
      <c r="AD33" s="106"/>
    </row>
    <row r="34" spans="2:30" s="1" customFormat="1" ht="16.5" customHeight="1">
      <c r="B34" s="107"/>
      <c r="C34" s="78">
        <v>54</v>
      </c>
      <c r="D34" s="78">
        <v>217759</v>
      </c>
      <c r="E34" s="78">
        <v>4831</v>
      </c>
      <c r="F34" s="76" t="s">
        <v>124</v>
      </c>
      <c r="G34" s="76">
        <v>132</v>
      </c>
      <c r="H34" s="89">
        <v>15.73</v>
      </c>
      <c r="I34" s="90" t="s">
        <v>66</v>
      </c>
      <c r="J34" s="91">
        <f t="shared" si="0"/>
        <v>29.2295</v>
      </c>
      <c r="K34" s="355">
        <v>40200.415972222225</v>
      </c>
      <c r="L34" s="355">
        <v>40200.611805555556</v>
      </c>
      <c r="M34" s="93">
        <f t="shared" si="1"/>
        <v>4.699999999953434</v>
      </c>
      <c r="N34" s="94">
        <f t="shared" si="2"/>
        <v>282</v>
      </c>
      <c r="O34" s="92" t="s">
        <v>62</v>
      </c>
      <c r="P34" s="353"/>
      <c r="Q34" s="96">
        <f t="shared" si="3"/>
        <v>10</v>
      </c>
      <c r="R34" s="97">
        <f t="shared" si="4"/>
        <v>13.737865000000001</v>
      </c>
      <c r="S34" s="98" t="str">
        <f t="shared" si="5"/>
        <v>--</v>
      </c>
      <c r="T34" s="99" t="str">
        <f t="shared" si="6"/>
        <v>--</v>
      </c>
      <c r="U34" s="99" t="str">
        <f t="shared" si="7"/>
        <v>--</v>
      </c>
      <c r="V34" s="100" t="str">
        <f t="shared" si="8"/>
        <v>--</v>
      </c>
      <c r="W34" s="101" t="str">
        <f t="shared" si="9"/>
        <v>--</v>
      </c>
      <c r="X34" s="101" t="str">
        <f t="shared" si="10"/>
        <v>--</v>
      </c>
      <c r="Y34" s="102" t="str">
        <f t="shared" si="11"/>
        <v>--</v>
      </c>
      <c r="Z34" s="103" t="str">
        <f t="shared" si="12"/>
        <v>--</v>
      </c>
      <c r="AA34" s="104" t="str">
        <f t="shared" si="13"/>
        <v>--</v>
      </c>
      <c r="AB34" s="354" t="s">
        <v>63</v>
      </c>
      <c r="AC34" s="105">
        <f t="shared" si="14"/>
        <v>13.737865000000001</v>
      </c>
      <c r="AD34" s="106"/>
    </row>
    <row r="35" spans="2:30" s="1" customFormat="1" ht="16.5" customHeight="1">
      <c r="B35" s="107"/>
      <c r="C35" s="78" t="s">
        <v>154</v>
      </c>
      <c r="D35" s="78">
        <v>217760</v>
      </c>
      <c r="E35" s="78">
        <v>1438</v>
      </c>
      <c r="F35" s="76" t="s">
        <v>153</v>
      </c>
      <c r="G35" s="76">
        <v>132</v>
      </c>
      <c r="H35" s="89">
        <v>70.80000305175781</v>
      </c>
      <c r="I35" s="90" t="s">
        <v>70</v>
      </c>
      <c r="J35" s="91">
        <f t="shared" si="0"/>
        <v>82.7779475680542</v>
      </c>
      <c r="K35" s="355">
        <v>40201.47708333333</v>
      </c>
      <c r="L35" s="355">
        <v>40201.48125</v>
      </c>
      <c r="M35" s="93">
        <f t="shared" si="1"/>
        <v>0.09999999997671694</v>
      </c>
      <c r="N35" s="94">
        <f t="shared" si="2"/>
        <v>6</v>
      </c>
      <c r="O35" s="92" t="s">
        <v>64</v>
      </c>
      <c r="P35" s="353"/>
      <c r="Q35" s="96">
        <f t="shared" si="3"/>
        <v>50</v>
      </c>
      <c r="R35" s="97" t="str">
        <f t="shared" si="4"/>
        <v>--</v>
      </c>
      <c r="S35" s="98" t="str">
        <f t="shared" si="5"/>
        <v>--</v>
      </c>
      <c r="T35" s="99">
        <f t="shared" si="6"/>
        <v>4138.89737840271</v>
      </c>
      <c r="U35" s="99" t="str">
        <f t="shared" si="7"/>
        <v>--</v>
      </c>
      <c r="V35" s="100" t="str">
        <f t="shared" si="8"/>
        <v>--</v>
      </c>
      <c r="W35" s="101" t="str">
        <f t="shared" si="9"/>
        <v>--</v>
      </c>
      <c r="X35" s="101" t="str">
        <f t="shared" si="10"/>
        <v>--</v>
      </c>
      <c r="Y35" s="102" t="str">
        <f t="shared" si="11"/>
        <v>--</v>
      </c>
      <c r="Z35" s="103" t="str">
        <f t="shared" si="12"/>
        <v>--</v>
      </c>
      <c r="AA35" s="104" t="str">
        <f t="shared" si="13"/>
        <v>--</v>
      </c>
      <c r="AB35" s="354" t="s">
        <v>63</v>
      </c>
      <c r="AC35" s="105">
        <v>0</v>
      </c>
      <c r="AD35" s="106"/>
    </row>
    <row r="36" spans="2:30" s="1" customFormat="1" ht="16.5" customHeight="1">
      <c r="B36" s="107"/>
      <c r="C36" s="78">
        <v>56</v>
      </c>
      <c r="D36" s="78">
        <v>217891</v>
      </c>
      <c r="E36" s="78">
        <v>1416</v>
      </c>
      <c r="F36" s="76" t="s">
        <v>87</v>
      </c>
      <c r="G36" s="76">
        <v>132</v>
      </c>
      <c r="H36" s="89">
        <v>109.4000015258789</v>
      </c>
      <c r="I36" s="90" t="s">
        <v>66</v>
      </c>
      <c r="J36" s="91">
        <f t="shared" si="0"/>
        <v>127.9082937840271</v>
      </c>
      <c r="K36" s="355">
        <v>40203.02361111111</v>
      </c>
      <c r="L36" s="355">
        <v>40203.38263888889</v>
      </c>
      <c r="M36" s="93">
        <f t="shared" si="1"/>
        <v>8.616666666814126</v>
      </c>
      <c r="N36" s="94">
        <f t="shared" si="2"/>
        <v>517</v>
      </c>
      <c r="O36" s="92" t="s">
        <v>64</v>
      </c>
      <c r="P36" s="353"/>
      <c r="Q36" s="96">
        <f t="shared" si="3"/>
        <v>10</v>
      </c>
      <c r="R36" s="97" t="str">
        <f t="shared" si="4"/>
        <v>--</v>
      </c>
      <c r="S36" s="98" t="str">
        <f t="shared" si="5"/>
        <v>--</v>
      </c>
      <c r="T36" s="99">
        <f t="shared" si="6"/>
        <v>1279.082937840271</v>
      </c>
      <c r="U36" s="99">
        <f t="shared" si="7"/>
        <v>3837.2488135208127</v>
      </c>
      <c r="V36" s="100">
        <f t="shared" si="8"/>
        <v>718.8446110662321</v>
      </c>
      <c r="W36" s="101" t="str">
        <f t="shared" si="9"/>
        <v>--</v>
      </c>
      <c r="X36" s="101" t="str">
        <f t="shared" si="10"/>
        <v>--</v>
      </c>
      <c r="Y36" s="102" t="str">
        <f t="shared" si="11"/>
        <v>--</v>
      </c>
      <c r="Z36" s="103" t="str">
        <f t="shared" si="12"/>
        <v>--</v>
      </c>
      <c r="AA36" s="104" t="str">
        <f t="shared" si="13"/>
        <v>--</v>
      </c>
      <c r="AB36" s="354" t="s">
        <v>63</v>
      </c>
      <c r="AC36" s="105">
        <f t="shared" si="14"/>
        <v>5835.176362427315</v>
      </c>
      <c r="AD36" s="106"/>
    </row>
    <row r="37" spans="2:30" s="1" customFormat="1" ht="16.5" customHeight="1">
      <c r="B37" s="107"/>
      <c r="C37" s="78">
        <v>57</v>
      </c>
      <c r="D37" s="78">
        <v>217893</v>
      </c>
      <c r="E37" s="78">
        <v>1544</v>
      </c>
      <c r="F37" s="76" t="s">
        <v>88</v>
      </c>
      <c r="G37" s="76">
        <v>132</v>
      </c>
      <c r="H37" s="89">
        <v>25</v>
      </c>
      <c r="I37" s="90" t="s">
        <v>66</v>
      </c>
      <c r="J37" s="91">
        <f t="shared" si="0"/>
        <v>29.2295</v>
      </c>
      <c r="K37" s="355">
        <v>40203.42013888889</v>
      </c>
      <c r="L37" s="355">
        <v>40203.64236111111</v>
      </c>
      <c r="M37" s="93">
        <f t="shared" si="1"/>
        <v>5.333333333255723</v>
      </c>
      <c r="N37" s="94">
        <f t="shared" si="2"/>
        <v>320</v>
      </c>
      <c r="O37" s="92" t="s">
        <v>62</v>
      </c>
      <c r="P37" s="353"/>
      <c r="Q37" s="96">
        <f t="shared" si="3"/>
        <v>10</v>
      </c>
      <c r="R37" s="97">
        <f t="shared" si="4"/>
        <v>15.579323500000001</v>
      </c>
      <c r="S37" s="98" t="str">
        <f t="shared" si="5"/>
        <v>--</v>
      </c>
      <c r="T37" s="99" t="str">
        <f t="shared" si="6"/>
        <v>--</v>
      </c>
      <c r="U37" s="99" t="str">
        <f t="shared" si="7"/>
        <v>--</v>
      </c>
      <c r="V37" s="100" t="str">
        <f t="shared" si="8"/>
        <v>--</v>
      </c>
      <c r="W37" s="101" t="str">
        <f t="shared" si="9"/>
        <v>--</v>
      </c>
      <c r="X37" s="101" t="str">
        <f t="shared" si="10"/>
        <v>--</v>
      </c>
      <c r="Y37" s="102" t="str">
        <f t="shared" si="11"/>
        <v>--</v>
      </c>
      <c r="Z37" s="103" t="str">
        <f t="shared" si="12"/>
        <v>--</v>
      </c>
      <c r="AA37" s="104" t="str">
        <f t="shared" si="13"/>
        <v>--</v>
      </c>
      <c r="AB37" s="354" t="s">
        <v>63</v>
      </c>
      <c r="AC37" s="105">
        <f t="shared" si="14"/>
        <v>15.579323500000001</v>
      </c>
      <c r="AD37" s="106"/>
    </row>
    <row r="38" spans="2:30" s="1" customFormat="1" ht="16.5" customHeight="1">
      <c r="B38" s="107"/>
      <c r="C38" s="78">
        <v>58</v>
      </c>
      <c r="D38" s="78">
        <v>217896</v>
      </c>
      <c r="E38" s="78">
        <v>4888</v>
      </c>
      <c r="F38" s="76" t="s">
        <v>121</v>
      </c>
      <c r="G38" s="76">
        <v>132</v>
      </c>
      <c r="H38" s="89">
        <v>13</v>
      </c>
      <c r="I38" s="90" t="s">
        <v>66</v>
      </c>
      <c r="J38" s="91">
        <f t="shared" si="0"/>
        <v>29.2295</v>
      </c>
      <c r="K38" s="355">
        <v>40204.30347222222</v>
      </c>
      <c r="L38" s="355">
        <v>40204.785416666666</v>
      </c>
      <c r="M38" s="93">
        <f t="shared" si="1"/>
        <v>11.566666666651145</v>
      </c>
      <c r="N38" s="94">
        <f t="shared" si="2"/>
        <v>694</v>
      </c>
      <c r="O38" s="92" t="s">
        <v>62</v>
      </c>
      <c r="P38" s="353"/>
      <c r="Q38" s="96">
        <f t="shared" si="3"/>
        <v>10</v>
      </c>
      <c r="R38" s="97">
        <f t="shared" si="4"/>
        <v>33.8185315</v>
      </c>
      <c r="S38" s="98" t="str">
        <f t="shared" si="5"/>
        <v>--</v>
      </c>
      <c r="T38" s="99" t="str">
        <f t="shared" si="6"/>
        <v>--</v>
      </c>
      <c r="U38" s="99" t="str">
        <f t="shared" si="7"/>
        <v>--</v>
      </c>
      <c r="V38" s="100" t="str">
        <f t="shared" si="8"/>
        <v>--</v>
      </c>
      <c r="W38" s="101" t="str">
        <f t="shared" si="9"/>
        <v>--</v>
      </c>
      <c r="X38" s="101" t="str">
        <f t="shared" si="10"/>
        <v>--</v>
      </c>
      <c r="Y38" s="102" t="str">
        <f t="shared" si="11"/>
        <v>--</v>
      </c>
      <c r="Z38" s="103" t="str">
        <f t="shared" si="12"/>
        <v>--</v>
      </c>
      <c r="AA38" s="104" t="str">
        <f t="shared" si="13"/>
        <v>--</v>
      </c>
      <c r="AB38" s="354" t="s">
        <v>63</v>
      </c>
      <c r="AC38" s="105">
        <f t="shared" si="14"/>
        <v>33.8185315</v>
      </c>
      <c r="AD38" s="106"/>
    </row>
    <row r="39" spans="2:30" s="1" customFormat="1" ht="16.5" customHeight="1">
      <c r="B39" s="107"/>
      <c r="C39" s="78">
        <v>59</v>
      </c>
      <c r="D39" s="78">
        <v>217930</v>
      </c>
      <c r="E39" s="78">
        <v>4889</v>
      </c>
      <c r="F39" s="76" t="s">
        <v>125</v>
      </c>
      <c r="G39" s="76">
        <v>132</v>
      </c>
      <c r="H39" s="89">
        <v>24.7</v>
      </c>
      <c r="I39" s="90" t="s">
        <v>66</v>
      </c>
      <c r="J39" s="91">
        <f t="shared" si="0"/>
        <v>29.2295</v>
      </c>
      <c r="K39" s="355">
        <v>40204.30347222222</v>
      </c>
      <c r="L39" s="355">
        <v>40204.785416666666</v>
      </c>
      <c r="M39" s="93">
        <f t="shared" si="1"/>
        <v>11.566666666651145</v>
      </c>
      <c r="N39" s="94">
        <f t="shared" si="2"/>
        <v>694</v>
      </c>
      <c r="O39" s="92" t="s">
        <v>62</v>
      </c>
      <c r="P39" s="353"/>
      <c r="Q39" s="96">
        <f t="shared" si="3"/>
        <v>10</v>
      </c>
      <c r="R39" s="97">
        <f t="shared" si="4"/>
        <v>33.8185315</v>
      </c>
      <c r="S39" s="98" t="str">
        <f t="shared" si="5"/>
        <v>--</v>
      </c>
      <c r="T39" s="99" t="str">
        <f t="shared" si="6"/>
        <v>--</v>
      </c>
      <c r="U39" s="99" t="str">
        <f t="shared" si="7"/>
        <v>--</v>
      </c>
      <c r="V39" s="100" t="str">
        <f t="shared" si="8"/>
        <v>--</v>
      </c>
      <c r="W39" s="101" t="str">
        <f t="shared" si="9"/>
        <v>--</v>
      </c>
      <c r="X39" s="101" t="str">
        <f t="shared" si="10"/>
        <v>--</v>
      </c>
      <c r="Y39" s="102" t="str">
        <f t="shared" si="11"/>
        <v>--</v>
      </c>
      <c r="Z39" s="103" t="str">
        <f t="shared" si="12"/>
        <v>--</v>
      </c>
      <c r="AA39" s="104" t="str">
        <f t="shared" si="13"/>
        <v>--</v>
      </c>
      <c r="AB39" s="354" t="s">
        <v>63</v>
      </c>
      <c r="AC39" s="105">
        <f t="shared" si="14"/>
        <v>33.8185315</v>
      </c>
      <c r="AD39" s="106"/>
    </row>
    <row r="40" spans="2:30" s="1" customFormat="1" ht="16.5" customHeight="1" thickBot="1">
      <c r="B40" s="13"/>
      <c r="C40" s="108"/>
      <c r="D40" s="108"/>
      <c r="E40" s="108"/>
      <c r="F40" s="271"/>
      <c r="G40" s="272"/>
      <c r="H40" s="273"/>
      <c r="I40" s="273"/>
      <c r="J40" s="110"/>
      <c r="K40" s="344"/>
      <c r="L40" s="344"/>
      <c r="M40" s="109"/>
      <c r="N40" s="109"/>
      <c r="O40" s="273"/>
      <c r="P40" s="274"/>
      <c r="Q40" s="275"/>
      <c r="R40" s="276"/>
      <c r="S40" s="277"/>
      <c r="T40" s="278"/>
      <c r="U40" s="279"/>
      <c r="V40" s="279"/>
      <c r="W40" s="280"/>
      <c r="X40" s="280"/>
      <c r="Y40" s="280"/>
      <c r="Z40" s="281"/>
      <c r="AA40" s="282"/>
      <c r="AB40" s="283"/>
      <c r="AC40" s="111"/>
      <c r="AD40" s="106"/>
    </row>
    <row r="41" spans="2:30" s="1" customFormat="1" ht="16.5" customHeight="1" thickBot="1" thickTop="1">
      <c r="B41" s="13"/>
      <c r="C41" s="112" t="s">
        <v>47</v>
      </c>
      <c r="D41" s="358" t="s">
        <v>135</v>
      </c>
      <c r="E41" s="128"/>
      <c r="F41" s="113"/>
      <c r="G41" s="114"/>
      <c r="H41" s="115"/>
      <c r="I41" s="115"/>
      <c r="J41" s="116"/>
      <c r="K41" s="116"/>
      <c r="L41" s="116"/>
      <c r="M41" s="116"/>
      <c r="N41" s="116"/>
      <c r="O41" s="116"/>
      <c r="P41" s="117"/>
      <c r="Q41" s="117"/>
      <c r="R41" s="118">
        <f aca="true" t="shared" si="15" ref="R41:AA41">SUM(R19:R40)</f>
        <v>1368.6386082963395</v>
      </c>
      <c r="S41" s="119">
        <f t="shared" si="15"/>
        <v>0</v>
      </c>
      <c r="T41" s="120">
        <f t="shared" si="15"/>
        <v>8942.940984065248</v>
      </c>
      <c r="U41" s="120">
        <f t="shared" si="15"/>
        <v>3837.2488135208127</v>
      </c>
      <c r="V41" s="120">
        <f t="shared" si="15"/>
        <v>718.8446110662321</v>
      </c>
      <c r="W41" s="121">
        <f t="shared" si="15"/>
        <v>0</v>
      </c>
      <c r="X41" s="121">
        <f t="shared" si="15"/>
        <v>0</v>
      </c>
      <c r="Y41" s="121">
        <f t="shared" si="15"/>
        <v>0</v>
      </c>
      <c r="Z41" s="122">
        <f t="shared" si="15"/>
        <v>0</v>
      </c>
      <c r="AA41" s="123">
        <f t="shared" si="15"/>
        <v>0</v>
      </c>
      <c r="AB41" s="124"/>
      <c r="AC41" s="346">
        <f>ROUND(SUM(AC19:AC40),2)</f>
        <v>92639.87</v>
      </c>
      <c r="AD41" s="125"/>
    </row>
    <row r="42" spans="2:30" s="126" customFormat="1" ht="9.75" thickTop="1">
      <c r="B42" s="127"/>
      <c r="C42" s="128" t="s">
        <v>157</v>
      </c>
      <c r="D42" s="128" t="s">
        <v>158</v>
      </c>
      <c r="E42" s="128"/>
      <c r="F42" s="129"/>
      <c r="G42" s="130"/>
      <c r="H42" s="131"/>
      <c r="I42" s="131"/>
      <c r="J42" s="132"/>
      <c r="K42" s="132"/>
      <c r="L42" s="132"/>
      <c r="M42" s="132"/>
      <c r="N42" s="132"/>
      <c r="O42" s="132"/>
      <c r="P42" s="133"/>
      <c r="Q42" s="133"/>
      <c r="R42" s="134"/>
      <c r="S42" s="134"/>
      <c r="T42" s="135"/>
      <c r="U42" s="135"/>
      <c r="V42" s="136"/>
      <c r="W42" s="136"/>
      <c r="X42" s="136"/>
      <c r="Y42" s="136"/>
      <c r="Z42" s="136"/>
      <c r="AA42" s="136"/>
      <c r="AB42" s="136"/>
      <c r="AC42" s="137"/>
      <c r="AD42" s="138"/>
    </row>
    <row r="43" spans="2:30" s="1" customFormat="1" ht="16.5" customHeight="1" thickBot="1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0" ht="13.5" thickTop="1">
      <c r="B44" s="142"/>
      <c r="AD44" s="142"/>
    </row>
    <row r="89" ht="12.75">
      <c r="B89" s="14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3">
      <selection activeCell="G14" sqref="G14:G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57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258"/>
    </row>
    <row r="2" spans="2:30" s="3" customFormat="1" ht="26.25">
      <c r="B2" s="15" t="str">
        <f>'TOT-0110'!B2</f>
        <v>ANEXO I al Memorandum D.T.E.E. N°  672  / 2016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7" t="s">
        <v>3</v>
      </c>
      <c r="B4" s="17"/>
    </row>
    <row r="5" spans="1:2" s="9" customFormat="1" ht="11.25">
      <c r="A5" s="17" t="s">
        <v>4</v>
      </c>
      <c r="B5" s="17"/>
    </row>
    <row r="6" s="1" customFormat="1" ht="16.5" customHeight="1" thickBot="1"/>
    <row r="7" spans="2:30" s="1" customFormat="1" ht="16.5" customHeight="1" thickTop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2:30" s="21" customFormat="1" ht="20.25">
      <c r="B8" s="22"/>
      <c r="F8" s="23" t="s">
        <v>5</v>
      </c>
      <c r="G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s="1" customFormat="1" ht="16.5" customHeight="1">
      <c r="B9" s="13"/>
      <c r="F9" s="26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1" customFormat="1" ht="20.25">
      <c r="B10" s="22"/>
      <c r="F10" s="23" t="s">
        <v>6</v>
      </c>
      <c r="G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s="1" customFormat="1" ht="16.5" customHeight="1">
      <c r="B11" s="13"/>
      <c r="C11" s="26"/>
      <c r="D11" s="26"/>
      <c r="E11" s="26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7"/>
      <c r="D12" s="27"/>
      <c r="E12" s="27"/>
      <c r="F12" s="12"/>
      <c r="G12" s="12"/>
      <c r="H12" s="28"/>
      <c r="I12" s="28"/>
      <c r="J12" s="29"/>
      <c r="K12" s="28"/>
      <c r="L12" s="29"/>
      <c r="M12" s="29"/>
      <c r="N12" s="29"/>
      <c r="O12" s="29"/>
      <c r="P12" s="29"/>
      <c r="Q12" s="29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0"/>
    </row>
    <row r="13" spans="2:30" s="1" customFormat="1" ht="16.5" customHeight="1" thickBot="1">
      <c r="B13" s="13"/>
      <c r="C13" s="7"/>
      <c r="D13" s="7"/>
      <c r="E13" s="7"/>
      <c r="F13" s="7"/>
      <c r="G13" s="31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4" t="s">
        <v>7</v>
      </c>
      <c r="G14" s="35">
        <v>122.355</v>
      </c>
      <c r="H14" s="36"/>
      <c r="I14" s="37"/>
      <c r="J14" s="33"/>
      <c r="K14" s="33"/>
      <c r="L14" s="38" t="s">
        <v>8</v>
      </c>
      <c r="M14" s="39">
        <f>150*'TOT-0110'!B13</f>
        <v>150</v>
      </c>
      <c r="N14" s="40" t="str">
        <f>IF(M14=150," ",IF(M14=300,"Coeficiente duplicado por tasa de falla &gt;4 Sal. x año/100 km.","REVISAR COEFICIENTE"))</f>
        <v> </v>
      </c>
      <c r="O14" s="33"/>
      <c r="P14" s="33"/>
      <c r="Q14" s="3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4" t="s">
        <v>9</v>
      </c>
      <c r="G15" s="35">
        <v>116.918</v>
      </c>
      <c r="H15" s="41"/>
      <c r="I15" s="42"/>
      <c r="J15" s="7"/>
      <c r="K15" s="43"/>
      <c r="L15" s="38" t="s">
        <v>10</v>
      </c>
      <c r="M15" s="39">
        <f>50*'TOT-0110'!B13</f>
        <v>50</v>
      </c>
      <c r="N15" s="40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4" t="s">
        <v>11</v>
      </c>
      <c r="G16" s="35">
        <v>116.918</v>
      </c>
      <c r="H16" s="41"/>
      <c r="I16" s="42"/>
      <c r="J16" s="7"/>
      <c r="K16" s="7"/>
      <c r="L16" s="38" t="s">
        <v>12</v>
      </c>
      <c r="M16" s="39">
        <f>10*'TOT-0110'!B13</f>
        <v>10</v>
      </c>
      <c r="N16" s="40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349">
        <v>3</v>
      </c>
      <c r="D17" s="349">
        <v>4</v>
      </c>
      <c r="E17" s="349">
        <v>5</v>
      </c>
      <c r="F17" s="349">
        <v>6</v>
      </c>
      <c r="G17" s="349">
        <v>7</v>
      </c>
      <c r="H17" s="349">
        <v>8</v>
      </c>
      <c r="I17" s="349">
        <v>9</v>
      </c>
      <c r="J17" s="349">
        <v>10</v>
      </c>
      <c r="K17" s="349">
        <v>11</v>
      </c>
      <c r="L17" s="349">
        <v>12</v>
      </c>
      <c r="M17" s="349">
        <v>13</v>
      </c>
      <c r="N17" s="349">
        <v>14</v>
      </c>
      <c r="O17" s="349">
        <v>15</v>
      </c>
      <c r="P17" s="349">
        <v>16</v>
      </c>
      <c r="Q17" s="349">
        <v>17</v>
      </c>
      <c r="R17" s="349">
        <v>18</v>
      </c>
      <c r="S17" s="349">
        <v>19</v>
      </c>
      <c r="T17" s="349">
        <v>20</v>
      </c>
      <c r="U17" s="349">
        <v>21</v>
      </c>
      <c r="V17" s="349">
        <v>22</v>
      </c>
      <c r="W17" s="349">
        <v>23</v>
      </c>
      <c r="X17" s="349">
        <v>24</v>
      </c>
      <c r="Y17" s="349">
        <v>25</v>
      </c>
      <c r="Z17" s="349">
        <v>26</v>
      </c>
      <c r="AA17" s="349">
        <v>27</v>
      </c>
      <c r="AB17" s="349">
        <v>28</v>
      </c>
      <c r="AC17" s="349">
        <v>29</v>
      </c>
      <c r="AD17" s="14"/>
    </row>
    <row r="18" spans="2:30" s="44" customFormat="1" ht="34.5" customHeight="1" thickBot="1" thickTop="1">
      <c r="B18" s="45"/>
      <c r="C18" s="348" t="s">
        <v>13</v>
      </c>
      <c r="D18" s="348" t="s">
        <v>59</v>
      </c>
      <c r="E18" s="348" t="s">
        <v>60</v>
      </c>
      <c r="F18" s="46" t="s">
        <v>1</v>
      </c>
      <c r="G18" s="47" t="s">
        <v>14</v>
      </c>
      <c r="H18" s="47" t="s">
        <v>15</v>
      </c>
      <c r="I18" s="47" t="s">
        <v>2</v>
      </c>
      <c r="J18" s="48" t="s">
        <v>16</v>
      </c>
      <c r="K18" s="46" t="s">
        <v>17</v>
      </c>
      <c r="L18" s="46" t="s">
        <v>18</v>
      </c>
      <c r="M18" s="47" t="s">
        <v>19</v>
      </c>
      <c r="N18" s="47" t="s">
        <v>20</v>
      </c>
      <c r="O18" s="47" t="s">
        <v>46</v>
      </c>
      <c r="P18" s="47" t="s">
        <v>21</v>
      </c>
      <c r="Q18" s="49" t="s">
        <v>22</v>
      </c>
      <c r="R18" s="50" t="s">
        <v>23</v>
      </c>
      <c r="S18" s="51" t="s">
        <v>24</v>
      </c>
      <c r="T18" s="52" t="s">
        <v>25</v>
      </c>
      <c r="U18" s="53"/>
      <c r="V18" s="54"/>
      <c r="W18" s="55" t="s">
        <v>26</v>
      </c>
      <c r="X18" s="56"/>
      <c r="Y18" s="57"/>
      <c r="Z18" s="58" t="s">
        <v>27</v>
      </c>
      <c r="AA18" s="59" t="s">
        <v>28</v>
      </c>
      <c r="AB18" s="60" t="s">
        <v>29</v>
      </c>
      <c r="AC18" s="60" t="s">
        <v>30</v>
      </c>
      <c r="AD18" s="61"/>
    </row>
    <row r="19" spans="2:30" s="1" customFormat="1" ht="16.5" customHeight="1" thickTop="1">
      <c r="B19" s="13"/>
      <c r="C19" s="62"/>
      <c r="D19" s="62"/>
      <c r="E19" s="62"/>
      <c r="F19" s="63"/>
      <c r="G19" s="62"/>
      <c r="H19" s="62"/>
      <c r="I19" s="62"/>
      <c r="J19" s="64"/>
      <c r="K19" s="342"/>
      <c r="L19" s="343"/>
      <c r="M19" s="65"/>
      <c r="N19" s="65"/>
      <c r="O19" s="62"/>
      <c r="P19" s="62"/>
      <c r="Q19" s="66"/>
      <c r="R19" s="67"/>
      <c r="S19" s="68"/>
      <c r="T19" s="69"/>
      <c r="U19" s="70"/>
      <c r="V19" s="70"/>
      <c r="W19" s="71"/>
      <c r="X19" s="71"/>
      <c r="Y19" s="71"/>
      <c r="Z19" s="72"/>
      <c r="AA19" s="73"/>
      <c r="AB19" s="62"/>
      <c r="AC19" s="74">
        <f>'LI-01 (3)'!AC41</f>
        <v>92639.87</v>
      </c>
      <c r="AD19" s="14"/>
    </row>
    <row r="20" spans="2:30" s="1" customFormat="1" ht="16.5" customHeight="1">
      <c r="B20" s="13"/>
      <c r="C20" s="75"/>
      <c r="D20" s="75"/>
      <c r="E20" s="75"/>
      <c r="F20" s="76"/>
      <c r="G20" s="76"/>
      <c r="H20" s="75"/>
      <c r="I20" s="75"/>
      <c r="J20" s="77"/>
      <c r="K20" s="355"/>
      <c r="L20" s="356"/>
      <c r="M20" s="79"/>
      <c r="N20" s="79"/>
      <c r="O20" s="75"/>
      <c r="P20" s="75"/>
      <c r="Q20" s="80"/>
      <c r="R20" s="81"/>
      <c r="S20" s="82"/>
      <c r="T20" s="83"/>
      <c r="U20" s="84"/>
      <c r="V20" s="84"/>
      <c r="W20" s="85"/>
      <c r="X20" s="85"/>
      <c r="Y20" s="85"/>
      <c r="Z20" s="86"/>
      <c r="AA20" s="87"/>
      <c r="AB20" s="75"/>
      <c r="AC20" s="88"/>
      <c r="AD20" s="14"/>
    </row>
    <row r="21" spans="2:30" s="1" customFormat="1" ht="16.5" customHeight="1">
      <c r="B21" s="13"/>
      <c r="C21" s="78">
        <v>60</v>
      </c>
      <c r="D21" s="78">
        <v>217903</v>
      </c>
      <c r="E21" s="78">
        <v>1544</v>
      </c>
      <c r="F21" s="76" t="s">
        <v>88</v>
      </c>
      <c r="G21" s="76">
        <v>132</v>
      </c>
      <c r="H21" s="89">
        <v>25</v>
      </c>
      <c r="I21" s="90" t="s">
        <v>66</v>
      </c>
      <c r="J21" s="91">
        <f aca="true" t="shared" si="0" ref="J21:J40">IF(G21=220,$G$14,IF(G21=132,$G$15,$G$16))*IF(H21&gt;25,H21,25)/100</f>
        <v>29.2295</v>
      </c>
      <c r="K21" s="355">
        <v>40204.37847222222</v>
      </c>
      <c r="L21" s="355">
        <v>40204.63263888889</v>
      </c>
      <c r="M21" s="93">
        <f aca="true" t="shared" si="1" ref="M21:M40">IF(F21="","",(L21-K21)*24)</f>
        <v>6.10000000015134</v>
      </c>
      <c r="N21" s="94">
        <f aca="true" t="shared" si="2" ref="N21:N40">IF(F21="","",ROUND((L21-K21)*24*60,0))</f>
        <v>366</v>
      </c>
      <c r="O21" s="95" t="s">
        <v>62</v>
      </c>
      <c r="P21" s="353"/>
      <c r="Q21" s="96">
        <f aca="true" t="shared" si="3" ref="Q21:Q40">IF(I21="A",$M$14,IF(I21="B",$M$15,$M$16))</f>
        <v>10</v>
      </c>
      <c r="R21" s="97">
        <f aca="true" t="shared" si="4" ref="R21:R40">IF(O21="P",ROUND(N21/60,2)*J21*Q21*0.01,"--")</f>
        <v>17.829995</v>
      </c>
      <c r="S21" s="98" t="str">
        <f aca="true" t="shared" si="5" ref="S21:S40">IF(O21="RP",ROUND(N21/60,2)*J21*Q21*0.01*P21/100,"--")</f>
        <v>--</v>
      </c>
      <c r="T21" s="99" t="str">
        <f aca="true" t="shared" si="6" ref="T21:T40">IF(O21="F",J21*Q21,"--")</f>
        <v>--</v>
      </c>
      <c r="U21" s="99" t="str">
        <f aca="true" t="shared" si="7" ref="U21:U40">IF(AND(N21&gt;10,O21="F"),J21*Q21*IF(N21&gt;180,3,ROUND((N21)/60,2)),"--")</f>
        <v>--</v>
      </c>
      <c r="V21" s="100" t="str">
        <f aca="true" t="shared" si="8" ref="V21:V40">IF(AND(O21="F",N21&gt;180),(ROUND(N21/60,2)-3)*J21*Q21*0.1,"--")</f>
        <v>--</v>
      </c>
      <c r="W21" s="101" t="str">
        <f aca="true" t="shared" si="9" ref="W21:W40">IF(O21="R",J21*Q21*P21/100,"--")</f>
        <v>--</v>
      </c>
      <c r="X21" s="101" t="str">
        <f aca="true" t="shared" si="10" ref="X21:X40">IF(AND(N21&gt;10,O21="R"),Q21*J21*P21/100*IF(N21&gt;180,3,ROUND((N21)/60,2)),"--")</f>
        <v>--</v>
      </c>
      <c r="Y21" s="102" t="str">
        <f aca="true" t="shared" si="11" ref="Y21:Y40">IF(AND(O21="R",N21&gt;180),(ROUND(N21/60,2)-3)*J21*Q21*0.1*P21/100,"--")</f>
        <v>--</v>
      </c>
      <c r="Z21" s="103" t="str">
        <f aca="true" t="shared" si="12" ref="Z21:Z40">IF(O21="RF",ROUND(N21/60,2)*J21*Q21*0.1,"--")</f>
        <v>--</v>
      </c>
      <c r="AA21" s="104" t="str">
        <f aca="true" t="shared" si="13" ref="AA21:AA40">IF(O21="RR",ROUND(N21/60,2)*J21*Q21*0.1*P21/100,"--")</f>
        <v>--</v>
      </c>
      <c r="AB21" s="354" t="s">
        <v>63</v>
      </c>
      <c r="AC21" s="105">
        <f aca="true" t="shared" si="14" ref="AC21:AC40">IF(F21="","",SUM(R21:AA21)*IF(AB21="SI",1,2))</f>
        <v>17.829995</v>
      </c>
      <c r="AD21" s="106"/>
    </row>
    <row r="22" spans="2:30" s="1" customFormat="1" ht="16.5" customHeight="1">
      <c r="B22" s="13"/>
      <c r="C22" s="78">
        <v>61</v>
      </c>
      <c r="D22" s="78">
        <v>217909</v>
      </c>
      <c r="E22" s="78">
        <v>1544</v>
      </c>
      <c r="F22" s="76" t="s">
        <v>88</v>
      </c>
      <c r="G22" s="76">
        <v>132</v>
      </c>
      <c r="H22" s="89">
        <v>25</v>
      </c>
      <c r="I22" s="90" t="s">
        <v>66</v>
      </c>
      <c r="J22" s="91">
        <f t="shared" si="0"/>
        <v>29.2295</v>
      </c>
      <c r="K22" s="355">
        <v>40205.39166666667</v>
      </c>
      <c r="L22" s="355">
        <v>40205.61597222222</v>
      </c>
      <c r="M22" s="93">
        <f t="shared" si="1"/>
        <v>5.383333333244082</v>
      </c>
      <c r="N22" s="94">
        <f t="shared" si="2"/>
        <v>323</v>
      </c>
      <c r="O22" s="95" t="s">
        <v>62</v>
      </c>
      <c r="P22" s="353"/>
      <c r="Q22" s="96">
        <f t="shared" si="3"/>
        <v>10</v>
      </c>
      <c r="R22" s="97">
        <f t="shared" si="4"/>
        <v>15.725471000000002</v>
      </c>
      <c r="S22" s="98" t="str">
        <f t="shared" si="5"/>
        <v>--</v>
      </c>
      <c r="T22" s="99" t="str">
        <f t="shared" si="6"/>
        <v>--</v>
      </c>
      <c r="U22" s="99" t="str">
        <f t="shared" si="7"/>
        <v>--</v>
      </c>
      <c r="V22" s="100" t="str">
        <f t="shared" si="8"/>
        <v>--</v>
      </c>
      <c r="W22" s="101" t="str">
        <f t="shared" si="9"/>
        <v>--</v>
      </c>
      <c r="X22" s="101" t="str">
        <f t="shared" si="10"/>
        <v>--</v>
      </c>
      <c r="Y22" s="102" t="str">
        <f t="shared" si="11"/>
        <v>--</v>
      </c>
      <c r="Z22" s="103" t="str">
        <f t="shared" si="12"/>
        <v>--</v>
      </c>
      <c r="AA22" s="104" t="str">
        <f t="shared" si="13"/>
        <v>--</v>
      </c>
      <c r="AB22" s="354" t="s">
        <v>63</v>
      </c>
      <c r="AC22" s="105">
        <f t="shared" si="14"/>
        <v>15.725471000000002</v>
      </c>
      <c r="AD22" s="106"/>
    </row>
    <row r="23" spans="2:30" s="1" customFormat="1" ht="16.5" customHeight="1">
      <c r="B23" s="13"/>
      <c r="C23" s="78">
        <v>62</v>
      </c>
      <c r="D23" s="78">
        <v>217911</v>
      </c>
      <c r="E23" s="78">
        <v>1544</v>
      </c>
      <c r="F23" s="76" t="s">
        <v>88</v>
      </c>
      <c r="G23" s="76">
        <v>132</v>
      </c>
      <c r="H23" s="89">
        <v>25</v>
      </c>
      <c r="I23" s="90" t="s">
        <v>66</v>
      </c>
      <c r="J23" s="91">
        <f t="shared" si="0"/>
        <v>29.2295</v>
      </c>
      <c r="K23" s="355">
        <v>40206.40902777778</v>
      </c>
      <c r="L23" s="355">
        <v>40206.603472222225</v>
      </c>
      <c r="M23" s="93">
        <f t="shared" si="1"/>
        <v>4.666666666686069</v>
      </c>
      <c r="N23" s="94">
        <f t="shared" si="2"/>
        <v>280</v>
      </c>
      <c r="O23" s="95" t="s">
        <v>62</v>
      </c>
      <c r="P23" s="353"/>
      <c r="Q23" s="96">
        <f t="shared" si="3"/>
        <v>10</v>
      </c>
      <c r="R23" s="97">
        <f t="shared" si="4"/>
        <v>13.6501765</v>
      </c>
      <c r="S23" s="98" t="str">
        <f t="shared" si="5"/>
        <v>--</v>
      </c>
      <c r="T23" s="99" t="str">
        <f t="shared" si="6"/>
        <v>--</v>
      </c>
      <c r="U23" s="99" t="str">
        <f t="shared" si="7"/>
        <v>--</v>
      </c>
      <c r="V23" s="100" t="str">
        <f t="shared" si="8"/>
        <v>--</v>
      </c>
      <c r="W23" s="101" t="str">
        <f t="shared" si="9"/>
        <v>--</v>
      </c>
      <c r="X23" s="101" t="str">
        <f t="shared" si="10"/>
        <v>--</v>
      </c>
      <c r="Y23" s="102" t="str">
        <f t="shared" si="11"/>
        <v>--</v>
      </c>
      <c r="Z23" s="103" t="str">
        <f t="shared" si="12"/>
        <v>--</v>
      </c>
      <c r="AA23" s="104" t="str">
        <f t="shared" si="13"/>
        <v>--</v>
      </c>
      <c r="AB23" s="354" t="s">
        <v>63</v>
      </c>
      <c r="AC23" s="105">
        <f t="shared" si="14"/>
        <v>13.6501765</v>
      </c>
      <c r="AD23" s="106"/>
    </row>
    <row r="24" spans="2:30" s="1" customFormat="1" ht="16.5" customHeight="1">
      <c r="B24" s="13"/>
      <c r="C24" s="78">
        <v>63</v>
      </c>
      <c r="D24" s="78">
        <v>217917</v>
      </c>
      <c r="E24" s="78">
        <v>1544</v>
      </c>
      <c r="F24" s="76" t="s">
        <v>88</v>
      </c>
      <c r="G24" s="76">
        <v>132</v>
      </c>
      <c r="H24" s="89">
        <v>25</v>
      </c>
      <c r="I24" s="90" t="s">
        <v>66</v>
      </c>
      <c r="J24" s="91">
        <f t="shared" si="0"/>
        <v>29.2295</v>
      </c>
      <c r="K24" s="355">
        <v>40207.41527777778</v>
      </c>
      <c r="L24" s="355">
        <v>40207.58472222222</v>
      </c>
      <c r="M24" s="93">
        <f t="shared" si="1"/>
        <v>4.066666666651145</v>
      </c>
      <c r="N24" s="94">
        <f t="shared" si="2"/>
        <v>244</v>
      </c>
      <c r="O24" s="95" t="s">
        <v>62</v>
      </c>
      <c r="P24" s="353"/>
      <c r="Q24" s="96">
        <f t="shared" si="3"/>
        <v>10</v>
      </c>
      <c r="R24" s="97">
        <f t="shared" si="4"/>
        <v>11.896406500000003</v>
      </c>
      <c r="S24" s="98" t="str">
        <f t="shared" si="5"/>
        <v>--</v>
      </c>
      <c r="T24" s="99" t="str">
        <f t="shared" si="6"/>
        <v>--</v>
      </c>
      <c r="U24" s="99" t="str">
        <f t="shared" si="7"/>
        <v>--</v>
      </c>
      <c r="V24" s="100" t="str">
        <f t="shared" si="8"/>
        <v>--</v>
      </c>
      <c r="W24" s="101" t="str">
        <f t="shared" si="9"/>
        <v>--</v>
      </c>
      <c r="X24" s="101" t="str">
        <f t="shared" si="10"/>
        <v>--</v>
      </c>
      <c r="Y24" s="102" t="str">
        <f t="shared" si="11"/>
        <v>--</v>
      </c>
      <c r="Z24" s="103" t="str">
        <f t="shared" si="12"/>
        <v>--</v>
      </c>
      <c r="AA24" s="104" t="str">
        <f t="shared" si="13"/>
        <v>--</v>
      </c>
      <c r="AB24" s="354" t="s">
        <v>63</v>
      </c>
      <c r="AC24" s="105">
        <f t="shared" si="14"/>
        <v>11.896406500000003</v>
      </c>
      <c r="AD24" s="106"/>
    </row>
    <row r="25" spans="2:30" s="1" customFormat="1" ht="16.5" customHeight="1">
      <c r="B25" s="13"/>
      <c r="C25" s="78">
        <v>64</v>
      </c>
      <c r="D25" s="78">
        <v>217931</v>
      </c>
      <c r="E25" s="78">
        <v>4965</v>
      </c>
      <c r="F25" s="76" t="s">
        <v>127</v>
      </c>
      <c r="G25" s="76">
        <v>132</v>
      </c>
      <c r="H25" s="89">
        <v>13.3</v>
      </c>
      <c r="I25" s="90" t="s">
        <v>66</v>
      </c>
      <c r="J25" s="91">
        <f t="shared" si="0"/>
        <v>29.2295</v>
      </c>
      <c r="K25" s="355">
        <v>40209.294444444444</v>
      </c>
      <c r="L25" s="355">
        <v>40209.45694444444</v>
      </c>
      <c r="M25" s="93">
        <f t="shared" si="1"/>
        <v>3.8999999999650754</v>
      </c>
      <c r="N25" s="94">
        <f t="shared" si="2"/>
        <v>234</v>
      </c>
      <c r="O25" s="95" t="s">
        <v>64</v>
      </c>
      <c r="P25" s="353"/>
      <c r="Q25" s="96">
        <f t="shared" si="3"/>
        <v>10</v>
      </c>
      <c r="R25" s="97" t="str">
        <f t="shared" si="4"/>
        <v>--</v>
      </c>
      <c r="S25" s="98" t="str">
        <f t="shared" si="5"/>
        <v>--</v>
      </c>
      <c r="T25" s="99">
        <f t="shared" si="6"/>
        <v>292.295</v>
      </c>
      <c r="U25" s="99">
        <f t="shared" si="7"/>
        <v>876.885</v>
      </c>
      <c r="V25" s="100">
        <f t="shared" si="8"/>
        <v>26.30655</v>
      </c>
      <c r="W25" s="101" t="str">
        <f t="shared" si="9"/>
        <v>--</v>
      </c>
      <c r="X25" s="101" t="str">
        <f t="shared" si="10"/>
        <v>--</v>
      </c>
      <c r="Y25" s="102" t="str">
        <f t="shared" si="11"/>
        <v>--</v>
      </c>
      <c r="Z25" s="103" t="str">
        <f t="shared" si="12"/>
        <v>--</v>
      </c>
      <c r="AA25" s="104" t="str">
        <f t="shared" si="13"/>
        <v>--</v>
      </c>
      <c r="AB25" s="354" t="s">
        <v>63</v>
      </c>
      <c r="AC25" s="105">
        <f t="shared" si="14"/>
        <v>1195.48655</v>
      </c>
      <c r="AD25" s="106"/>
    </row>
    <row r="26" spans="2:30" s="1" customFormat="1" ht="16.5" customHeight="1">
      <c r="B26" s="13"/>
      <c r="C26" s="78"/>
      <c r="D26" s="78"/>
      <c r="E26" s="78"/>
      <c r="F26" s="76"/>
      <c r="G26" s="76"/>
      <c r="H26" s="89"/>
      <c r="I26" s="90"/>
      <c r="J26" s="91">
        <f t="shared" si="0"/>
        <v>29.2295</v>
      </c>
      <c r="K26" s="355"/>
      <c r="L26" s="355"/>
      <c r="M26" s="93">
        <f t="shared" si="1"/>
      </c>
      <c r="N26" s="94">
        <f t="shared" si="2"/>
      </c>
      <c r="O26" s="92"/>
      <c r="P26" s="353">
        <f aca="true" t="shared" si="15" ref="P26:P40">IF(F26="","","--")</f>
      </c>
      <c r="Q26" s="96">
        <f t="shared" si="3"/>
        <v>10</v>
      </c>
      <c r="R26" s="97" t="str">
        <f t="shared" si="4"/>
        <v>--</v>
      </c>
      <c r="S26" s="98" t="str">
        <f t="shared" si="5"/>
        <v>--</v>
      </c>
      <c r="T26" s="99" t="str">
        <f t="shared" si="6"/>
        <v>--</v>
      </c>
      <c r="U26" s="99" t="str">
        <f t="shared" si="7"/>
        <v>--</v>
      </c>
      <c r="V26" s="100" t="str">
        <f t="shared" si="8"/>
        <v>--</v>
      </c>
      <c r="W26" s="101" t="str">
        <f t="shared" si="9"/>
        <v>--</v>
      </c>
      <c r="X26" s="101" t="str">
        <f t="shared" si="10"/>
        <v>--</v>
      </c>
      <c r="Y26" s="102" t="str">
        <f t="shared" si="11"/>
        <v>--</v>
      </c>
      <c r="Z26" s="103" t="str">
        <f t="shared" si="12"/>
        <v>--</v>
      </c>
      <c r="AA26" s="104" t="str">
        <f t="shared" si="13"/>
        <v>--</v>
      </c>
      <c r="AB26" s="354">
        <f aca="true" t="shared" si="16" ref="AB26:AB40">IF(F26="","","SI")</f>
      </c>
      <c r="AC26" s="105">
        <f t="shared" si="14"/>
      </c>
      <c r="AD26" s="106"/>
    </row>
    <row r="27" spans="2:30" s="1" customFormat="1" ht="16.5" customHeight="1">
      <c r="B27" s="13"/>
      <c r="C27" s="78"/>
      <c r="D27" s="78"/>
      <c r="E27" s="78"/>
      <c r="F27" s="76"/>
      <c r="G27" s="76"/>
      <c r="H27" s="89"/>
      <c r="I27" s="90"/>
      <c r="J27" s="91">
        <f t="shared" si="0"/>
        <v>29.2295</v>
      </c>
      <c r="K27" s="355"/>
      <c r="L27" s="355"/>
      <c r="M27" s="93">
        <f t="shared" si="1"/>
      </c>
      <c r="N27" s="94">
        <f t="shared" si="2"/>
      </c>
      <c r="O27" s="92"/>
      <c r="P27" s="353">
        <f t="shared" si="15"/>
      </c>
      <c r="Q27" s="96">
        <f t="shared" si="3"/>
        <v>10</v>
      </c>
      <c r="R27" s="97" t="str">
        <f t="shared" si="4"/>
        <v>--</v>
      </c>
      <c r="S27" s="98" t="str">
        <f t="shared" si="5"/>
        <v>--</v>
      </c>
      <c r="T27" s="99" t="str">
        <f t="shared" si="6"/>
        <v>--</v>
      </c>
      <c r="U27" s="99" t="str">
        <f t="shared" si="7"/>
        <v>--</v>
      </c>
      <c r="V27" s="100" t="str">
        <f t="shared" si="8"/>
        <v>--</v>
      </c>
      <c r="W27" s="101" t="str">
        <f t="shared" si="9"/>
        <v>--</v>
      </c>
      <c r="X27" s="101" t="str">
        <f t="shared" si="10"/>
        <v>--</v>
      </c>
      <c r="Y27" s="102" t="str">
        <f t="shared" si="11"/>
        <v>--</v>
      </c>
      <c r="Z27" s="103" t="str">
        <f t="shared" si="12"/>
        <v>--</v>
      </c>
      <c r="AA27" s="104" t="str">
        <f t="shared" si="13"/>
        <v>--</v>
      </c>
      <c r="AB27" s="354">
        <f t="shared" si="16"/>
      </c>
      <c r="AC27" s="105">
        <f t="shared" si="14"/>
      </c>
      <c r="AD27" s="106"/>
    </row>
    <row r="28" spans="2:30" s="1" customFormat="1" ht="16.5" customHeight="1">
      <c r="B28" s="13"/>
      <c r="C28" s="78"/>
      <c r="D28" s="78"/>
      <c r="E28" s="78"/>
      <c r="F28" s="76"/>
      <c r="G28" s="76"/>
      <c r="H28" s="89"/>
      <c r="I28" s="90"/>
      <c r="J28" s="91">
        <f t="shared" si="0"/>
        <v>29.2295</v>
      </c>
      <c r="K28" s="355"/>
      <c r="L28" s="355"/>
      <c r="M28" s="93">
        <f t="shared" si="1"/>
      </c>
      <c r="N28" s="94">
        <f t="shared" si="2"/>
      </c>
      <c r="O28" s="92"/>
      <c r="P28" s="353">
        <f t="shared" si="15"/>
      </c>
      <c r="Q28" s="96">
        <f t="shared" si="3"/>
        <v>10</v>
      </c>
      <c r="R28" s="97" t="str">
        <f t="shared" si="4"/>
        <v>--</v>
      </c>
      <c r="S28" s="98" t="str">
        <f t="shared" si="5"/>
        <v>--</v>
      </c>
      <c r="T28" s="99" t="str">
        <f t="shared" si="6"/>
        <v>--</v>
      </c>
      <c r="U28" s="99" t="str">
        <f t="shared" si="7"/>
        <v>--</v>
      </c>
      <c r="V28" s="100" t="str">
        <f t="shared" si="8"/>
        <v>--</v>
      </c>
      <c r="W28" s="101" t="str">
        <f t="shared" si="9"/>
        <v>--</v>
      </c>
      <c r="X28" s="101" t="str">
        <f t="shared" si="10"/>
        <v>--</v>
      </c>
      <c r="Y28" s="102" t="str">
        <f t="shared" si="11"/>
        <v>--</v>
      </c>
      <c r="Z28" s="103" t="str">
        <f t="shared" si="12"/>
        <v>--</v>
      </c>
      <c r="AA28" s="104" t="str">
        <f t="shared" si="13"/>
        <v>--</v>
      </c>
      <c r="AB28" s="354">
        <f t="shared" si="16"/>
      </c>
      <c r="AC28" s="105">
        <f t="shared" si="14"/>
      </c>
      <c r="AD28" s="106"/>
    </row>
    <row r="29" spans="2:30" s="1" customFormat="1" ht="16.5" customHeight="1">
      <c r="B29" s="13"/>
      <c r="C29" s="78"/>
      <c r="D29" s="78"/>
      <c r="E29" s="78"/>
      <c r="F29" s="76"/>
      <c r="G29" s="76"/>
      <c r="H29" s="89"/>
      <c r="I29" s="90"/>
      <c r="J29" s="91">
        <f t="shared" si="0"/>
        <v>29.2295</v>
      </c>
      <c r="K29" s="355"/>
      <c r="L29" s="355"/>
      <c r="M29" s="93">
        <f t="shared" si="1"/>
      </c>
      <c r="N29" s="94">
        <f t="shared" si="2"/>
      </c>
      <c r="O29" s="92"/>
      <c r="P29" s="353">
        <f t="shared" si="15"/>
      </c>
      <c r="Q29" s="96">
        <f t="shared" si="3"/>
        <v>10</v>
      </c>
      <c r="R29" s="97" t="str">
        <f t="shared" si="4"/>
        <v>--</v>
      </c>
      <c r="S29" s="98" t="str">
        <f t="shared" si="5"/>
        <v>--</v>
      </c>
      <c r="T29" s="99" t="str">
        <f t="shared" si="6"/>
        <v>--</v>
      </c>
      <c r="U29" s="99" t="str">
        <f t="shared" si="7"/>
        <v>--</v>
      </c>
      <c r="V29" s="100" t="str">
        <f t="shared" si="8"/>
        <v>--</v>
      </c>
      <c r="W29" s="101" t="str">
        <f t="shared" si="9"/>
        <v>--</v>
      </c>
      <c r="X29" s="101" t="str">
        <f t="shared" si="10"/>
        <v>--</v>
      </c>
      <c r="Y29" s="102" t="str">
        <f t="shared" si="11"/>
        <v>--</v>
      </c>
      <c r="Z29" s="103" t="str">
        <f t="shared" si="12"/>
        <v>--</v>
      </c>
      <c r="AA29" s="104" t="str">
        <f t="shared" si="13"/>
        <v>--</v>
      </c>
      <c r="AB29" s="354">
        <f t="shared" si="16"/>
      </c>
      <c r="AC29" s="105">
        <f t="shared" si="14"/>
      </c>
      <c r="AD29" s="106"/>
    </row>
    <row r="30" spans="2:30" s="1" customFormat="1" ht="16.5" customHeight="1">
      <c r="B30" s="13"/>
      <c r="C30" s="78"/>
      <c r="D30" s="78"/>
      <c r="E30" s="78"/>
      <c r="F30" s="76"/>
      <c r="G30" s="76"/>
      <c r="H30" s="89"/>
      <c r="I30" s="90"/>
      <c r="J30" s="91">
        <f t="shared" si="0"/>
        <v>29.2295</v>
      </c>
      <c r="K30" s="355"/>
      <c r="L30" s="355"/>
      <c r="M30" s="93">
        <f t="shared" si="1"/>
      </c>
      <c r="N30" s="94">
        <f t="shared" si="2"/>
      </c>
      <c r="O30" s="92"/>
      <c r="P30" s="353">
        <f t="shared" si="15"/>
      </c>
      <c r="Q30" s="96">
        <f t="shared" si="3"/>
        <v>10</v>
      </c>
      <c r="R30" s="97" t="str">
        <f t="shared" si="4"/>
        <v>--</v>
      </c>
      <c r="S30" s="98" t="str">
        <f t="shared" si="5"/>
        <v>--</v>
      </c>
      <c r="T30" s="99" t="str">
        <f t="shared" si="6"/>
        <v>--</v>
      </c>
      <c r="U30" s="99" t="str">
        <f t="shared" si="7"/>
        <v>--</v>
      </c>
      <c r="V30" s="100" t="str">
        <f t="shared" si="8"/>
        <v>--</v>
      </c>
      <c r="W30" s="101" t="str">
        <f t="shared" si="9"/>
        <v>--</v>
      </c>
      <c r="X30" s="101" t="str">
        <f t="shared" si="10"/>
        <v>--</v>
      </c>
      <c r="Y30" s="102" t="str">
        <f t="shared" si="11"/>
        <v>--</v>
      </c>
      <c r="Z30" s="103" t="str">
        <f t="shared" si="12"/>
        <v>--</v>
      </c>
      <c r="AA30" s="104" t="str">
        <f t="shared" si="13"/>
        <v>--</v>
      </c>
      <c r="AB30" s="354">
        <f t="shared" si="16"/>
      </c>
      <c r="AC30" s="105">
        <f t="shared" si="14"/>
      </c>
      <c r="AD30" s="106"/>
    </row>
    <row r="31" spans="2:30" s="1" customFormat="1" ht="16.5" customHeight="1">
      <c r="B31" s="13"/>
      <c r="C31" s="78"/>
      <c r="D31" s="78"/>
      <c r="E31" s="78"/>
      <c r="F31" s="76"/>
      <c r="G31" s="76"/>
      <c r="H31" s="89"/>
      <c r="I31" s="90"/>
      <c r="J31" s="91">
        <f t="shared" si="0"/>
        <v>29.2295</v>
      </c>
      <c r="K31" s="355"/>
      <c r="L31" s="355"/>
      <c r="M31" s="93">
        <f t="shared" si="1"/>
      </c>
      <c r="N31" s="94">
        <f t="shared" si="2"/>
      </c>
      <c r="O31" s="92"/>
      <c r="P31" s="353">
        <f t="shared" si="15"/>
      </c>
      <c r="Q31" s="96">
        <f t="shared" si="3"/>
        <v>10</v>
      </c>
      <c r="R31" s="97" t="str">
        <f t="shared" si="4"/>
        <v>--</v>
      </c>
      <c r="S31" s="98" t="str">
        <f t="shared" si="5"/>
        <v>--</v>
      </c>
      <c r="T31" s="99" t="str">
        <f t="shared" si="6"/>
        <v>--</v>
      </c>
      <c r="U31" s="99" t="str">
        <f t="shared" si="7"/>
        <v>--</v>
      </c>
      <c r="V31" s="100" t="str">
        <f t="shared" si="8"/>
        <v>--</v>
      </c>
      <c r="W31" s="101" t="str">
        <f t="shared" si="9"/>
        <v>--</v>
      </c>
      <c r="X31" s="101" t="str">
        <f t="shared" si="10"/>
        <v>--</v>
      </c>
      <c r="Y31" s="102" t="str">
        <f t="shared" si="11"/>
        <v>--</v>
      </c>
      <c r="Z31" s="103" t="str">
        <f t="shared" si="12"/>
        <v>--</v>
      </c>
      <c r="AA31" s="104" t="str">
        <f t="shared" si="13"/>
        <v>--</v>
      </c>
      <c r="AB31" s="354">
        <f t="shared" si="16"/>
      </c>
      <c r="AC31" s="105">
        <f t="shared" si="14"/>
      </c>
      <c r="AD31" s="106"/>
    </row>
    <row r="32" spans="2:30" s="1" customFormat="1" ht="16.5" customHeight="1">
      <c r="B32" s="13"/>
      <c r="C32" s="78"/>
      <c r="D32" s="78"/>
      <c r="E32" s="78"/>
      <c r="F32" s="76"/>
      <c r="G32" s="76"/>
      <c r="H32" s="89"/>
      <c r="I32" s="90"/>
      <c r="J32" s="91">
        <f t="shared" si="0"/>
        <v>29.2295</v>
      </c>
      <c r="K32" s="355"/>
      <c r="L32" s="355"/>
      <c r="M32" s="93">
        <f t="shared" si="1"/>
      </c>
      <c r="N32" s="94">
        <f t="shared" si="2"/>
      </c>
      <c r="O32" s="92"/>
      <c r="P32" s="353">
        <f t="shared" si="15"/>
      </c>
      <c r="Q32" s="96">
        <f t="shared" si="3"/>
        <v>10</v>
      </c>
      <c r="R32" s="97" t="str">
        <f t="shared" si="4"/>
        <v>--</v>
      </c>
      <c r="S32" s="98" t="str">
        <f t="shared" si="5"/>
        <v>--</v>
      </c>
      <c r="T32" s="99" t="str">
        <f t="shared" si="6"/>
        <v>--</v>
      </c>
      <c r="U32" s="99" t="str">
        <f t="shared" si="7"/>
        <v>--</v>
      </c>
      <c r="V32" s="100" t="str">
        <f t="shared" si="8"/>
        <v>--</v>
      </c>
      <c r="W32" s="101" t="str">
        <f t="shared" si="9"/>
        <v>--</v>
      </c>
      <c r="X32" s="101" t="str">
        <f t="shared" si="10"/>
        <v>--</v>
      </c>
      <c r="Y32" s="102" t="str">
        <f t="shared" si="11"/>
        <v>--</v>
      </c>
      <c r="Z32" s="103" t="str">
        <f t="shared" si="12"/>
        <v>--</v>
      </c>
      <c r="AA32" s="104" t="str">
        <f t="shared" si="13"/>
        <v>--</v>
      </c>
      <c r="AB32" s="354">
        <f t="shared" si="16"/>
      </c>
      <c r="AC32" s="105">
        <f t="shared" si="14"/>
      </c>
      <c r="AD32" s="106"/>
    </row>
    <row r="33" spans="2:30" s="1" customFormat="1" ht="16.5" customHeight="1">
      <c r="B33" s="13"/>
      <c r="C33" s="78"/>
      <c r="D33" s="78"/>
      <c r="E33" s="78"/>
      <c r="F33" s="76"/>
      <c r="G33" s="76"/>
      <c r="H33" s="89"/>
      <c r="I33" s="90"/>
      <c r="J33" s="91">
        <f t="shared" si="0"/>
        <v>29.2295</v>
      </c>
      <c r="K33" s="355"/>
      <c r="L33" s="355"/>
      <c r="M33" s="93">
        <f t="shared" si="1"/>
      </c>
      <c r="N33" s="94">
        <f t="shared" si="2"/>
      </c>
      <c r="O33" s="92"/>
      <c r="P33" s="353">
        <f t="shared" si="15"/>
      </c>
      <c r="Q33" s="96">
        <f t="shared" si="3"/>
        <v>10</v>
      </c>
      <c r="R33" s="97" t="str">
        <f t="shared" si="4"/>
        <v>--</v>
      </c>
      <c r="S33" s="98" t="str">
        <f t="shared" si="5"/>
        <v>--</v>
      </c>
      <c r="T33" s="99" t="str">
        <f t="shared" si="6"/>
        <v>--</v>
      </c>
      <c r="U33" s="99" t="str">
        <f t="shared" si="7"/>
        <v>--</v>
      </c>
      <c r="V33" s="100" t="str">
        <f t="shared" si="8"/>
        <v>--</v>
      </c>
      <c r="W33" s="101" t="str">
        <f t="shared" si="9"/>
        <v>--</v>
      </c>
      <c r="X33" s="101" t="str">
        <f t="shared" si="10"/>
        <v>--</v>
      </c>
      <c r="Y33" s="102" t="str">
        <f t="shared" si="11"/>
        <v>--</v>
      </c>
      <c r="Z33" s="103" t="str">
        <f t="shared" si="12"/>
        <v>--</v>
      </c>
      <c r="AA33" s="104" t="str">
        <f t="shared" si="13"/>
        <v>--</v>
      </c>
      <c r="AB33" s="354">
        <f t="shared" si="16"/>
      </c>
      <c r="AC33" s="105">
        <f t="shared" si="14"/>
      </c>
      <c r="AD33" s="106"/>
    </row>
    <row r="34" spans="2:30" s="1" customFormat="1" ht="16.5" customHeight="1">
      <c r="B34" s="107"/>
      <c r="C34" s="78"/>
      <c r="D34" s="78"/>
      <c r="E34" s="78"/>
      <c r="F34" s="76"/>
      <c r="G34" s="76"/>
      <c r="H34" s="89"/>
      <c r="I34" s="90"/>
      <c r="J34" s="91">
        <f t="shared" si="0"/>
        <v>29.2295</v>
      </c>
      <c r="K34" s="355"/>
      <c r="L34" s="355"/>
      <c r="M34" s="93">
        <f t="shared" si="1"/>
      </c>
      <c r="N34" s="94">
        <f t="shared" si="2"/>
      </c>
      <c r="O34" s="92"/>
      <c r="P34" s="353">
        <f t="shared" si="15"/>
      </c>
      <c r="Q34" s="96">
        <f t="shared" si="3"/>
        <v>10</v>
      </c>
      <c r="R34" s="97" t="str">
        <f t="shared" si="4"/>
        <v>--</v>
      </c>
      <c r="S34" s="98" t="str">
        <f t="shared" si="5"/>
        <v>--</v>
      </c>
      <c r="T34" s="99" t="str">
        <f t="shared" si="6"/>
        <v>--</v>
      </c>
      <c r="U34" s="99" t="str">
        <f t="shared" si="7"/>
        <v>--</v>
      </c>
      <c r="V34" s="100" t="str">
        <f t="shared" si="8"/>
        <v>--</v>
      </c>
      <c r="W34" s="101" t="str">
        <f t="shared" si="9"/>
        <v>--</v>
      </c>
      <c r="X34" s="101" t="str">
        <f t="shared" si="10"/>
        <v>--</v>
      </c>
      <c r="Y34" s="102" t="str">
        <f t="shared" si="11"/>
        <v>--</v>
      </c>
      <c r="Z34" s="103" t="str">
        <f t="shared" si="12"/>
        <v>--</v>
      </c>
      <c r="AA34" s="104" t="str">
        <f t="shared" si="13"/>
        <v>--</v>
      </c>
      <c r="AB34" s="354">
        <f t="shared" si="16"/>
      </c>
      <c r="AC34" s="105">
        <f t="shared" si="14"/>
      </c>
      <c r="AD34" s="106"/>
    </row>
    <row r="35" spans="2:30" s="1" customFormat="1" ht="16.5" customHeight="1">
      <c r="B35" s="107"/>
      <c r="C35" s="78"/>
      <c r="D35" s="78"/>
      <c r="E35" s="78"/>
      <c r="F35" s="76"/>
      <c r="G35" s="76"/>
      <c r="H35" s="89"/>
      <c r="I35" s="90"/>
      <c r="J35" s="91">
        <f t="shared" si="0"/>
        <v>29.2295</v>
      </c>
      <c r="K35" s="355"/>
      <c r="L35" s="355"/>
      <c r="M35" s="93">
        <f t="shared" si="1"/>
      </c>
      <c r="N35" s="94">
        <f t="shared" si="2"/>
      </c>
      <c r="O35" s="92"/>
      <c r="P35" s="353">
        <f t="shared" si="15"/>
      </c>
      <c r="Q35" s="96">
        <f t="shared" si="3"/>
        <v>10</v>
      </c>
      <c r="R35" s="97" t="str">
        <f t="shared" si="4"/>
        <v>--</v>
      </c>
      <c r="S35" s="98" t="str">
        <f t="shared" si="5"/>
        <v>--</v>
      </c>
      <c r="T35" s="99" t="str">
        <f t="shared" si="6"/>
        <v>--</v>
      </c>
      <c r="U35" s="99" t="str">
        <f t="shared" si="7"/>
        <v>--</v>
      </c>
      <c r="V35" s="100" t="str">
        <f t="shared" si="8"/>
        <v>--</v>
      </c>
      <c r="W35" s="101" t="str">
        <f t="shared" si="9"/>
        <v>--</v>
      </c>
      <c r="X35" s="101" t="str">
        <f t="shared" si="10"/>
        <v>--</v>
      </c>
      <c r="Y35" s="102" t="str">
        <f t="shared" si="11"/>
        <v>--</v>
      </c>
      <c r="Z35" s="103" t="str">
        <f t="shared" si="12"/>
        <v>--</v>
      </c>
      <c r="AA35" s="104" t="str">
        <f t="shared" si="13"/>
        <v>--</v>
      </c>
      <c r="AB35" s="354">
        <f t="shared" si="16"/>
      </c>
      <c r="AC35" s="105">
        <f t="shared" si="14"/>
      </c>
      <c r="AD35" s="106"/>
    </row>
    <row r="36" spans="2:30" s="1" customFormat="1" ht="16.5" customHeight="1">
      <c r="B36" s="107"/>
      <c r="C36" s="78"/>
      <c r="D36" s="78"/>
      <c r="E36" s="78"/>
      <c r="F36" s="76"/>
      <c r="G36" s="76"/>
      <c r="H36" s="89"/>
      <c r="I36" s="90"/>
      <c r="J36" s="91">
        <f t="shared" si="0"/>
        <v>29.2295</v>
      </c>
      <c r="K36" s="355"/>
      <c r="L36" s="355"/>
      <c r="M36" s="93">
        <f t="shared" si="1"/>
      </c>
      <c r="N36" s="94">
        <f t="shared" si="2"/>
      </c>
      <c r="O36" s="92"/>
      <c r="P36" s="353">
        <f t="shared" si="15"/>
      </c>
      <c r="Q36" s="96">
        <f t="shared" si="3"/>
        <v>10</v>
      </c>
      <c r="R36" s="97" t="str">
        <f t="shared" si="4"/>
        <v>--</v>
      </c>
      <c r="S36" s="98" t="str">
        <f t="shared" si="5"/>
        <v>--</v>
      </c>
      <c r="T36" s="99" t="str">
        <f t="shared" si="6"/>
        <v>--</v>
      </c>
      <c r="U36" s="99" t="str">
        <f t="shared" si="7"/>
        <v>--</v>
      </c>
      <c r="V36" s="100" t="str">
        <f t="shared" si="8"/>
        <v>--</v>
      </c>
      <c r="W36" s="101" t="str">
        <f t="shared" si="9"/>
        <v>--</v>
      </c>
      <c r="X36" s="101" t="str">
        <f t="shared" si="10"/>
        <v>--</v>
      </c>
      <c r="Y36" s="102" t="str">
        <f t="shared" si="11"/>
        <v>--</v>
      </c>
      <c r="Z36" s="103" t="str">
        <f t="shared" si="12"/>
        <v>--</v>
      </c>
      <c r="AA36" s="104" t="str">
        <f t="shared" si="13"/>
        <v>--</v>
      </c>
      <c r="AB36" s="354">
        <f t="shared" si="16"/>
      </c>
      <c r="AC36" s="105">
        <f t="shared" si="14"/>
      </c>
      <c r="AD36" s="106"/>
    </row>
    <row r="37" spans="2:30" s="1" customFormat="1" ht="16.5" customHeight="1">
      <c r="B37" s="107"/>
      <c r="C37" s="78"/>
      <c r="D37" s="78"/>
      <c r="E37" s="78"/>
      <c r="F37" s="76"/>
      <c r="G37" s="76"/>
      <c r="H37" s="89"/>
      <c r="I37" s="90"/>
      <c r="J37" s="91">
        <f t="shared" si="0"/>
        <v>29.2295</v>
      </c>
      <c r="K37" s="355"/>
      <c r="L37" s="355"/>
      <c r="M37" s="93">
        <f t="shared" si="1"/>
      </c>
      <c r="N37" s="94">
        <f t="shared" si="2"/>
      </c>
      <c r="O37" s="92"/>
      <c r="P37" s="353">
        <f t="shared" si="15"/>
      </c>
      <c r="Q37" s="96">
        <f t="shared" si="3"/>
        <v>10</v>
      </c>
      <c r="R37" s="97" t="str">
        <f t="shared" si="4"/>
        <v>--</v>
      </c>
      <c r="S37" s="98" t="str">
        <f t="shared" si="5"/>
        <v>--</v>
      </c>
      <c r="T37" s="99" t="str">
        <f t="shared" si="6"/>
        <v>--</v>
      </c>
      <c r="U37" s="99" t="str">
        <f t="shared" si="7"/>
        <v>--</v>
      </c>
      <c r="V37" s="100" t="str">
        <f t="shared" si="8"/>
        <v>--</v>
      </c>
      <c r="W37" s="101" t="str">
        <f t="shared" si="9"/>
        <v>--</v>
      </c>
      <c r="X37" s="101" t="str">
        <f t="shared" si="10"/>
        <v>--</v>
      </c>
      <c r="Y37" s="102" t="str">
        <f t="shared" si="11"/>
        <v>--</v>
      </c>
      <c r="Z37" s="103" t="str">
        <f t="shared" si="12"/>
        <v>--</v>
      </c>
      <c r="AA37" s="104" t="str">
        <f t="shared" si="13"/>
        <v>--</v>
      </c>
      <c r="AB37" s="354">
        <f t="shared" si="16"/>
      </c>
      <c r="AC37" s="105">
        <f t="shared" si="14"/>
      </c>
      <c r="AD37" s="106"/>
    </row>
    <row r="38" spans="2:30" s="1" customFormat="1" ht="16.5" customHeight="1">
      <c r="B38" s="107"/>
      <c r="C38" s="78"/>
      <c r="D38" s="78"/>
      <c r="E38" s="78"/>
      <c r="F38" s="76"/>
      <c r="G38" s="76"/>
      <c r="H38" s="89"/>
      <c r="I38" s="90"/>
      <c r="J38" s="91">
        <f t="shared" si="0"/>
        <v>29.2295</v>
      </c>
      <c r="K38" s="355"/>
      <c r="L38" s="355"/>
      <c r="M38" s="93">
        <f t="shared" si="1"/>
      </c>
      <c r="N38" s="94">
        <f t="shared" si="2"/>
      </c>
      <c r="O38" s="92"/>
      <c r="P38" s="353">
        <f t="shared" si="15"/>
      </c>
      <c r="Q38" s="96">
        <f t="shared" si="3"/>
        <v>10</v>
      </c>
      <c r="R38" s="97" t="str">
        <f t="shared" si="4"/>
        <v>--</v>
      </c>
      <c r="S38" s="98" t="str">
        <f t="shared" si="5"/>
        <v>--</v>
      </c>
      <c r="T38" s="99" t="str">
        <f t="shared" si="6"/>
        <v>--</v>
      </c>
      <c r="U38" s="99" t="str">
        <f t="shared" si="7"/>
        <v>--</v>
      </c>
      <c r="V38" s="100" t="str">
        <f t="shared" si="8"/>
        <v>--</v>
      </c>
      <c r="W38" s="101" t="str">
        <f t="shared" si="9"/>
        <v>--</v>
      </c>
      <c r="X38" s="101" t="str">
        <f t="shared" si="10"/>
        <v>--</v>
      </c>
      <c r="Y38" s="102" t="str">
        <f t="shared" si="11"/>
        <v>--</v>
      </c>
      <c r="Z38" s="103" t="str">
        <f t="shared" si="12"/>
        <v>--</v>
      </c>
      <c r="AA38" s="104" t="str">
        <f t="shared" si="13"/>
        <v>--</v>
      </c>
      <c r="AB38" s="354">
        <f t="shared" si="16"/>
      </c>
      <c r="AC38" s="105">
        <f t="shared" si="14"/>
      </c>
      <c r="AD38" s="106"/>
    </row>
    <row r="39" spans="2:30" s="1" customFormat="1" ht="16.5" customHeight="1">
      <c r="B39" s="107"/>
      <c r="C39" s="78"/>
      <c r="D39" s="78"/>
      <c r="E39" s="78"/>
      <c r="F39" s="76"/>
      <c r="G39" s="76"/>
      <c r="H39" s="89"/>
      <c r="I39" s="90"/>
      <c r="J39" s="91">
        <f t="shared" si="0"/>
        <v>29.2295</v>
      </c>
      <c r="K39" s="355"/>
      <c r="L39" s="355"/>
      <c r="M39" s="93">
        <f t="shared" si="1"/>
      </c>
      <c r="N39" s="94">
        <f t="shared" si="2"/>
      </c>
      <c r="O39" s="92"/>
      <c r="P39" s="353">
        <f t="shared" si="15"/>
      </c>
      <c r="Q39" s="96">
        <f t="shared" si="3"/>
        <v>10</v>
      </c>
      <c r="R39" s="97" t="str">
        <f t="shared" si="4"/>
        <v>--</v>
      </c>
      <c r="S39" s="98" t="str">
        <f t="shared" si="5"/>
        <v>--</v>
      </c>
      <c r="T39" s="99" t="str">
        <f t="shared" si="6"/>
        <v>--</v>
      </c>
      <c r="U39" s="99" t="str">
        <f t="shared" si="7"/>
        <v>--</v>
      </c>
      <c r="V39" s="100" t="str">
        <f t="shared" si="8"/>
        <v>--</v>
      </c>
      <c r="W39" s="101" t="str">
        <f t="shared" si="9"/>
        <v>--</v>
      </c>
      <c r="X39" s="101" t="str">
        <f t="shared" si="10"/>
        <v>--</v>
      </c>
      <c r="Y39" s="102" t="str">
        <f t="shared" si="11"/>
        <v>--</v>
      </c>
      <c r="Z39" s="103" t="str">
        <f t="shared" si="12"/>
        <v>--</v>
      </c>
      <c r="AA39" s="104" t="str">
        <f t="shared" si="13"/>
        <v>--</v>
      </c>
      <c r="AB39" s="354">
        <f t="shared" si="16"/>
      </c>
      <c r="AC39" s="105">
        <f t="shared" si="14"/>
      </c>
      <c r="AD39" s="106"/>
    </row>
    <row r="40" spans="2:30" s="1" customFormat="1" ht="16.5" customHeight="1">
      <c r="B40" s="107"/>
      <c r="C40" s="78"/>
      <c r="D40" s="78"/>
      <c r="E40" s="78"/>
      <c r="F40" s="76"/>
      <c r="G40" s="76"/>
      <c r="H40" s="89"/>
      <c r="I40" s="90"/>
      <c r="J40" s="91">
        <f t="shared" si="0"/>
        <v>29.2295</v>
      </c>
      <c r="K40" s="355"/>
      <c r="L40" s="355"/>
      <c r="M40" s="93">
        <f t="shared" si="1"/>
      </c>
      <c r="N40" s="94">
        <f t="shared" si="2"/>
      </c>
      <c r="O40" s="92"/>
      <c r="P40" s="353">
        <f t="shared" si="15"/>
      </c>
      <c r="Q40" s="96">
        <f t="shared" si="3"/>
        <v>10</v>
      </c>
      <c r="R40" s="97" t="str">
        <f t="shared" si="4"/>
        <v>--</v>
      </c>
      <c r="S40" s="98" t="str">
        <f t="shared" si="5"/>
        <v>--</v>
      </c>
      <c r="T40" s="99" t="str">
        <f t="shared" si="6"/>
        <v>--</v>
      </c>
      <c r="U40" s="99" t="str">
        <f t="shared" si="7"/>
        <v>--</v>
      </c>
      <c r="V40" s="100" t="str">
        <f t="shared" si="8"/>
        <v>--</v>
      </c>
      <c r="W40" s="101" t="str">
        <f t="shared" si="9"/>
        <v>--</v>
      </c>
      <c r="X40" s="101" t="str">
        <f t="shared" si="10"/>
        <v>--</v>
      </c>
      <c r="Y40" s="102" t="str">
        <f t="shared" si="11"/>
        <v>--</v>
      </c>
      <c r="Z40" s="103" t="str">
        <f t="shared" si="12"/>
        <v>--</v>
      </c>
      <c r="AA40" s="104" t="str">
        <f t="shared" si="13"/>
        <v>--</v>
      </c>
      <c r="AB40" s="354">
        <f t="shared" si="16"/>
      </c>
      <c r="AC40" s="105">
        <f t="shared" si="14"/>
      </c>
      <c r="AD40" s="106"/>
    </row>
    <row r="41" spans="2:30" s="1" customFormat="1" ht="16.5" customHeight="1" thickBot="1">
      <c r="B41" s="13"/>
      <c r="C41" s="108"/>
      <c r="D41" s="108"/>
      <c r="E41" s="108"/>
      <c r="F41" s="271"/>
      <c r="G41" s="272"/>
      <c r="H41" s="273"/>
      <c r="I41" s="273"/>
      <c r="J41" s="110"/>
      <c r="K41" s="344"/>
      <c r="L41" s="344"/>
      <c r="M41" s="109"/>
      <c r="N41" s="109"/>
      <c r="O41" s="273"/>
      <c r="P41" s="274"/>
      <c r="Q41" s="275"/>
      <c r="R41" s="276"/>
      <c r="S41" s="277"/>
      <c r="T41" s="278"/>
      <c r="U41" s="279"/>
      <c r="V41" s="279"/>
      <c r="W41" s="280"/>
      <c r="X41" s="280"/>
      <c r="Y41" s="280"/>
      <c r="Z41" s="281"/>
      <c r="AA41" s="282"/>
      <c r="AB41" s="283"/>
      <c r="AC41" s="111"/>
      <c r="AD41" s="106"/>
    </row>
    <row r="42" spans="2:30" s="1" customFormat="1" ht="16.5" customHeight="1" thickBot="1" thickTop="1">
      <c r="B42" s="13"/>
      <c r="C42" s="112" t="s">
        <v>47</v>
      </c>
      <c r="D42" s="357" t="s">
        <v>134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7" ref="R42:AA42">SUM(R19:R41)</f>
        <v>59.10204900000001</v>
      </c>
      <c r="S42" s="119">
        <f t="shared" si="17"/>
        <v>0</v>
      </c>
      <c r="T42" s="120">
        <f t="shared" si="17"/>
        <v>292.295</v>
      </c>
      <c r="U42" s="120">
        <f t="shared" si="17"/>
        <v>876.885</v>
      </c>
      <c r="V42" s="120">
        <f t="shared" si="17"/>
        <v>26.30655</v>
      </c>
      <c r="W42" s="121">
        <f t="shared" si="17"/>
        <v>0</v>
      </c>
      <c r="X42" s="121">
        <f t="shared" si="17"/>
        <v>0</v>
      </c>
      <c r="Y42" s="121">
        <f t="shared" si="17"/>
        <v>0</v>
      </c>
      <c r="Z42" s="122">
        <f t="shared" si="17"/>
        <v>0</v>
      </c>
      <c r="AA42" s="123">
        <f t="shared" si="17"/>
        <v>0</v>
      </c>
      <c r="AB42" s="124"/>
      <c r="AC42" s="346">
        <f>ROUND(SUM(AC19:AC41),2)</f>
        <v>93894.46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75" zoomScaleNormal="75" zoomScalePageLayoutView="0" workbookViewId="0" topLeftCell="A1">
      <selection activeCell="R30" sqref="R30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259"/>
    </row>
    <row r="2" spans="2:30" s="3" customFormat="1" ht="26.25">
      <c r="B2" s="15" t="str">
        <f>'TOT-0110'!B2</f>
        <v>ANEXO I al Memorandum D.T.E.E. N°  672  / 2016            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6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1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1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1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'TOT-0110'!B14</f>
        <v>Desde el 01 al 31 de enero de 2010</v>
      </c>
      <c r="C14" s="27"/>
      <c r="D14" s="27"/>
      <c r="E14" s="27"/>
      <c r="F14" s="166"/>
      <c r="G14" s="166"/>
      <c r="H14" s="166"/>
      <c r="I14" s="166"/>
      <c r="J14" s="166"/>
      <c r="K14" s="28"/>
      <c r="L14" s="28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260">
        <v>0.408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60*'TOT-0110'!B13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350">
        <v>3</v>
      </c>
      <c r="D18" s="350">
        <v>4</v>
      </c>
      <c r="E18" s="350">
        <v>5</v>
      </c>
      <c r="F18" s="350">
        <v>6</v>
      </c>
      <c r="G18" s="350">
        <v>7</v>
      </c>
      <c r="H18" s="350">
        <v>8</v>
      </c>
      <c r="I18" s="350">
        <v>9</v>
      </c>
      <c r="J18" s="350">
        <v>10</v>
      </c>
      <c r="K18" s="350">
        <v>11</v>
      </c>
      <c r="L18" s="350">
        <v>12</v>
      </c>
      <c r="M18" s="350">
        <v>13</v>
      </c>
      <c r="N18" s="350">
        <v>14</v>
      </c>
      <c r="O18" s="350">
        <v>15</v>
      </c>
      <c r="P18" s="350">
        <v>16</v>
      </c>
      <c r="Q18" s="350">
        <v>17</v>
      </c>
      <c r="R18" s="350">
        <v>18</v>
      </c>
      <c r="S18" s="350">
        <v>19</v>
      </c>
      <c r="T18" s="350">
        <v>20</v>
      </c>
      <c r="U18" s="350">
        <v>21</v>
      </c>
      <c r="V18" s="350">
        <v>22</v>
      </c>
      <c r="W18" s="350">
        <v>23</v>
      </c>
      <c r="X18" s="350">
        <v>24</v>
      </c>
      <c r="Y18" s="350">
        <v>25</v>
      </c>
      <c r="Z18" s="350">
        <v>26</v>
      </c>
      <c r="AA18" s="350">
        <v>27</v>
      </c>
      <c r="AB18" s="350">
        <v>28</v>
      </c>
      <c r="AC18" s="350">
        <v>29</v>
      </c>
      <c r="AD18" s="158"/>
    </row>
    <row r="19" spans="2:30" s="178" customFormat="1" ht="34.5" customHeight="1" thickBot="1" thickTop="1">
      <c r="B19" s="179"/>
      <c r="C19" s="348" t="s">
        <v>13</v>
      </c>
      <c r="D19" s="348" t="s">
        <v>59</v>
      </c>
      <c r="E19" s="348" t="s">
        <v>60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7" t="s">
        <v>46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342"/>
      <c r="L20" s="343"/>
      <c r="M20" s="199"/>
      <c r="N20" s="199"/>
      <c r="O20" s="197"/>
      <c r="P20" s="197"/>
      <c r="Q20" s="197"/>
      <c r="R20" s="197"/>
      <c r="S20" s="73"/>
      <c r="T20" s="71"/>
      <c r="U20" s="200"/>
      <c r="V20" s="201"/>
      <c r="W20" s="202"/>
      <c r="X20" s="203"/>
      <c r="Y20" s="204"/>
      <c r="Z20" s="205"/>
      <c r="AA20" s="206"/>
      <c r="AB20" s="197"/>
      <c r="AC20" s="207"/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355"/>
      <c r="L21" s="356"/>
      <c r="M21" s="212"/>
      <c r="N21" s="212"/>
      <c r="O21" s="210"/>
      <c r="P21" s="210"/>
      <c r="Q21" s="210"/>
      <c r="R21" s="210"/>
      <c r="S21" s="87"/>
      <c r="T21" s="85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65</v>
      </c>
      <c r="D22" s="208">
        <v>216789</v>
      </c>
      <c r="E22" s="208">
        <v>2649</v>
      </c>
      <c r="F22" s="76" t="s">
        <v>89</v>
      </c>
      <c r="G22" s="78" t="s">
        <v>90</v>
      </c>
      <c r="H22" s="221">
        <v>15</v>
      </c>
      <c r="I22" s="222" t="s">
        <v>91</v>
      </c>
      <c r="J22" s="223">
        <f aca="true" t="shared" si="0" ref="J22:J40">H22*$I$16</f>
        <v>6.119999999999999</v>
      </c>
      <c r="K22" s="355">
        <v>40180.325694444444</v>
      </c>
      <c r="L22" s="355">
        <v>40180.46111111111</v>
      </c>
      <c r="M22" s="224">
        <f aca="true" t="shared" si="1" ref="M22:M40">IF(F22="","",(L22-K22)*24)</f>
        <v>3.2499999999417923</v>
      </c>
      <c r="N22" s="225">
        <f aca="true" t="shared" si="2" ref="N22:N40">IF(F22="","",ROUND((L22-K22)*24*60,0))</f>
        <v>195</v>
      </c>
      <c r="O22" s="226" t="s">
        <v>62</v>
      </c>
      <c r="P22" s="351" t="str">
        <f aca="true" t="shared" si="3" ref="P22:P40">IF(F22="","",IF(OR(O22="P",O22="RP"),"--","NO"))</f>
        <v>--</v>
      </c>
      <c r="Q22" s="352"/>
      <c r="R22" s="351" t="str">
        <f aca="true" t="shared" si="4" ref="R22:R40">IF(F22="","","NO")</f>
        <v>NO</v>
      </c>
      <c r="S22" s="104">
        <f aca="true" t="shared" si="5" ref="S22:S40">$I$17*IF(OR(O22="P",O22="RP"),0.1,1)*IF(R22="SI",1,0.1)</f>
        <v>0.6000000000000001</v>
      </c>
      <c r="T22" s="227">
        <f aca="true" t="shared" si="6" ref="T22:T40">IF(O22="P",J22*S22*ROUND(N22/60,2),"--")</f>
        <v>11.934000000000001</v>
      </c>
      <c r="U22" s="228" t="str">
        <f aca="true" t="shared" si="7" ref="U22:U40">IF(O22="RP",J22*S22*ROUND(N22/60,2)*Q22/100,"--")</f>
        <v>--</v>
      </c>
      <c r="V22" s="229" t="str">
        <f aca="true" t="shared" si="8" ref="V22:V40">IF(AND(O22="F",P22="NO"),J22*S22,"--")</f>
        <v>--</v>
      </c>
      <c r="W22" s="230" t="str">
        <f aca="true" t="shared" si="9" ref="W22:W40">IF(O22="F",J22*S22*ROUND(N22/60,2),"--")</f>
        <v>--</v>
      </c>
      <c r="X22" s="231" t="str">
        <f aca="true" t="shared" si="10" ref="X22:X40">IF(AND(O22="R",P22="NO"),J22*S22*Q22/100,"--")</f>
        <v>--</v>
      </c>
      <c r="Y22" s="232" t="str">
        <f aca="true" t="shared" si="11" ref="Y22:Y40">IF(O22="R",J22*S22*ROUND(N22/60,2)*Q22/100,"--")</f>
        <v>--</v>
      </c>
      <c r="Z22" s="233" t="str">
        <f aca="true" t="shared" si="12" ref="Z22:Z40">IF(O22="RF",J22*S22*ROUND(N22/60,2),"--")</f>
        <v>--</v>
      </c>
      <c r="AA22" s="234" t="str">
        <f aca="true" t="shared" si="13" ref="AA22:AA40">IF(O22="RR",J22*S22*ROUND(N22/60,2)*Q22/100,"--")</f>
        <v>--</v>
      </c>
      <c r="AB22" s="351" t="s">
        <v>63</v>
      </c>
      <c r="AC22" s="235">
        <f aca="true" t="shared" si="14" ref="AC22:AC40">IF(F22="","",SUM(T22:AA22)*IF(AB22="SI",1,2)*IF(AND(Q22&lt;&gt;"",O22="RF"),Q22/100,1))</f>
        <v>11.934000000000001</v>
      </c>
      <c r="AD22" s="236"/>
    </row>
    <row r="23" spans="2:30" s="1" customFormat="1" ht="16.5" customHeight="1">
      <c r="B23" s="157"/>
      <c r="C23" s="208">
        <v>66</v>
      </c>
      <c r="D23" s="208">
        <v>216791</v>
      </c>
      <c r="E23" s="208">
        <v>4418</v>
      </c>
      <c r="F23" s="76" t="s">
        <v>128</v>
      </c>
      <c r="G23" s="78" t="s">
        <v>129</v>
      </c>
      <c r="H23" s="221">
        <v>30</v>
      </c>
      <c r="I23" s="89" t="s">
        <v>91</v>
      </c>
      <c r="J23" s="223">
        <f t="shared" si="0"/>
        <v>12.239999999999998</v>
      </c>
      <c r="K23" s="355">
        <v>40180.717361111114</v>
      </c>
      <c r="L23" s="355">
        <v>40180.74166666667</v>
      </c>
      <c r="M23" s="224">
        <f t="shared" si="1"/>
        <v>0.5833333333139308</v>
      </c>
      <c r="N23" s="225">
        <f t="shared" si="2"/>
        <v>35</v>
      </c>
      <c r="O23" s="226" t="s">
        <v>64</v>
      </c>
      <c r="P23" s="351" t="str">
        <f t="shared" si="3"/>
        <v>NO</v>
      </c>
      <c r="Q23" s="352"/>
      <c r="R23" s="351" t="s">
        <v>63</v>
      </c>
      <c r="S23" s="104">
        <f t="shared" si="5"/>
        <v>60</v>
      </c>
      <c r="T23" s="227" t="str">
        <f t="shared" si="6"/>
        <v>--</v>
      </c>
      <c r="U23" s="228" t="str">
        <f t="shared" si="7"/>
        <v>--</v>
      </c>
      <c r="V23" s="229">
        <f t="shared" si="8"/>
        <v>734.3999999999999</v>
      </c>
      <c r="W23" s="230">
        <f t="shared" si="9"/>
        <v>425.9519999999999</v>
      </c>
      <c r="X23" s="231" t="str">
        <f t="shared" si="10"/>
        <v>--</v>
      </c>
      <c r="Y23" s="232" t="str">
        <f t="shared" si="11"/>
        <v>--</v>
      </c>
      <c r="Z23" s="233" t="str">
        <f t="shared" si="12"/>
        <v>--</v>
      </c>
      <c r="AA23" s="234" t="str">
        <f t="shared" si="13"/>
        <v>--</v>
      </c>
      <c r="AB23" s="351" t="s">
        <v>63</v>
      </c>
      <c r="AC23" s="235">
        <f t="shared" si="14"/>
        <v>1160.3519999999999</v>
      </c>
      <c r="AD23" s="236"/>
    </row>
    <row r="24" spans="2:30" s="1" customFormat="1" ht="16.5" customHeight="1">
      <c r="B24" s="157"/>
      <c r="C24" s="208">
        <v>67</v>
      </c>
      <c r="D24" s="208">
        <v>217074</v>
      </c>
      <c r="E24" s="208">
        <v>2404</v>
      </c>
      <c r="F24" s="76" t="s">
        <v>92</v>
      </c>
      <c r="G24" s="78" t="s">
        <v>90</v>
      </c>
      <c r="H24" s="221">
        <v>10</v>
      </c>
      <c r="I24" s="222" t="s">
        <v>91</v>
      </c>
      <c r="J24" s="223">
        <f t="shared" si="0"/>
        <v>4.08</v>
      </c>
      <c r="K24" s="355">
        <v>40182.13263888889</v>
      </c>
      <c r="L24" s="355">
        <v>40182.166666666664</v>
      </c>
      <c r="M24" s="224">
        <f t="shared" si="1"/>
        <v>0.8166666665347293</v>
      </c>
      <c r="N24" s="225">
        <f t="shared" si="2"/>
        <v>49</v>
      </c>
      <c r="O24" s="226" t="s">
        <v>64</v>
      </c>
      <c r="P24" s="351" t="str">
        <f t="shared" si="3"/>
        <v>NO</v>
      </c>
      <c r="Q24" s="352"/>
      <c r="R24" s="351" t="s">
        <v>63</v>
      </c>
      <c r="S24" s="104">
        <f t="shared" si="5"/>
        <v>60</v>
      </c>
      <c r="T24" s="227" t="str">
        <f t="shared" si="6"/>
        <v>--</v>
      </c>
      <c r="U24" s="228" t="str">
        <f t="shared" si="7"/>
        <v>--</v>
      </c>
      <c r="V24" s="229">
        <f t="shared" si="8"/>
        <v>244.8</v>
      </c>
      <c r="W24" s="230">
        <f t="shared" si="9"/>
        <v>200.736</v>
      </c>
      <c r="X24" s="231" t="str">
        <f t="shared" si="10"/>
        <v>--</v>
      </c>
      <c r="Y24" s="232" t="str">
        <f t="shared" si="11"/>
        <v>--</v>
      </c>
      <c r="Z24" s="233" t="str">
        <f t="shared" si="12"/>
        <v>--</v>
      </c>
      <c r="AA24" s="234" t="str">
        <f t="shared" si="13"/>
        <v>--</v>
      </c>
      <c r="AB24" s="351" t="s">
        <v>63</v>
      </c>
      <c r="AC24" s="235">
        <f t="shared" si="14"/>
        <v>445.536</v>
      </c>
      <c r="AD24" s="158"/>
    </row>
    <row r="25" spans="2:30" s="368" customFormat="1" ht="16.5" customHeight="1">
      <c r="B25" s="360"/>
      <c r="C25" s="369">
        <v>68</v>
      </c>
      <c r="D25" s="369">
        <v>217081</v>
      </c>
      <c r="E25" s="369">
        <v>2496</v>
      </c>
      <c r="F25" s="362" t="s">
        <v>93</v>
      </c>
      <c r="G25" s="361" t="s">
        <v>96</v>
      </c>
      <c r="H25" s="370">
        <v>40</v>
      </c>
      <c r="I25" s="371" t="s">
        <v>91</v>
      </c>
      <c r="J25" s="372">
        <f t="shared" si="0"/>
        <v>16.32</v>
      </c>
      <c r="K25" s="363">
        <v>40183.115277777775</v>
      </c>
      <c r="L25" s="363">
        <v>40183.180555555555</v>
      </c>
      <c r="M25" s="364">
        <f t="shared" si="1"/>
        <v>1.5666666667093523</v>
      </c>
      <c r="N25" s="373">
        <f t="shared" si="2"/>
        <v>94</v>
      </c>
      <c r="O25" s="374" t="s">
        <v>64</v>
      </c>
      <c r="P25" s="375" t="str">
        <f t="shared" si="3"/>
        <v>NO</v>
      </c>
      <c r="Q25" s="365"/>
      <c r="R25" s="375" t="s">
        <v>63</v>
      </c>
      <c r="S25" s="367">
        <f t="shared" si="5"/>
        <v>60</v>
      </c>
      <c r="T25" s="366" t="str">
        <f t="shared" si="6"/>
        <v>--</v>
      </c>
      <c r="U25" s="376" t="str">
        <f t="shared" si="7"/>
        <v>--</v>
      </c>
      <c r="V25" s="377">
        <f t="shared" si="8"/>
        <v>979.2</v>
      </c>
      <c r="W25" s="378">
        <f t="shared" si="9"/>
        <v>1537.344</v>
      </c>
      <c r="X25" s="379" t="str">
        <f t="shared" si="10"/>
        <v>--</v>
      </c>
      <c r="Y25" s="380" t="str">
        <f t="shared" si="11"/>
        <v>--</v>
      </c>
      <c r="Z25" s="381" t="str">
        <f t="shared" si="12"/>
        <v>--</v>
      </c>
      <c r="AA25" s="382" t="str">
        <f t="shared" si="13"/>
        <v>--</v>
      </c>
      <c r="AB25" s="375" t="s">
        <v>63</v>
      </c>
      <c r="AC25" s="383">
        <f t="shared" si="14"/>
        <v>2516.544</v>
      </c>
      <c r="AD25" s="384"/>
    </row>
    <row r="26" spans="2:30" s="368" customFormat="1" ht="16.5" customHeight="1">
      <c r="B26" s="360"/>
      <c r="C26" s="369" t="s">
        <v>139</v>
      </c>
      <c r="D26" s="369">
        <v>217081</v>
      </c>
      <c r="E26" s="369">
        <v>2496</v>
      </c>
      <c r="F26" s="362" t="s">
        <v>93</v>
      </c>
      <c r="G26" s="361" t="s">
        <v>96</v>
      </c>
      <c r="H26" s="370">
        <v>40</v>
      </c>
      <c r="I26" s="371" t="s">
        <v>91</v>
      </c>
      <c r="J26" s="372">
        <f>H26*$I$16</f>
        <v>16.32</v>
      </c>
      <c r="K26" s="363">
        <v>40183.180555555555</v>
      </c>
      <c r="L26" s="363">
        <v>40183.50069444445</v>
      </c>
      <c r="M26" s="364">
        <f>IF(F26="","",(L26-K26)*24)</f>
        <v>7.683333333407063</v>
      </c>
      <c r="N26" s="373">
        <f>IF(F26="","",ROUND((L26-K26)*24*60,0))</f>
        <v>461</v>
      </c>
      <c r="O26" s="374" t="s">
        <v>140</v>
      </c>
      <c r="P26" s="375" t="str">
        <f>IF(F26="","",IF(OR(O26="P",O26="RP"),"--","NO"))</f>
        <v>NO</v>
      </c>
      <c r="Q26" s="365"/>
      <c r="R26" s="375" t="s">
        <v>141</v>
      </c>
      <c r="S26" s="367">
        <f>$I$17*IF(OR(O26="P",O26="RP"),0.1,1)*IF(R26="SI",1,0.1)</f>
        <v>6</v>
      </c>
      <c r="T26" s="366" t="str">
        <f>IF(O26="P",J26*S26*ROUND(N26/60,2),"--")</f>
        <v>--</v>
      </c>
      <c r="U26" s="376" t="str">
        <f>IF(O26="RP",J26*S26*ROUND(N26/60,2)*Q26/100,"--")</f>
        <v>--</v>
      </c>
      <c r="V26" s="377" t="str">
        <f>IF(AND(O26="F",P26="NO"),J26*S26,"--")</f>
        <v>--</v>
      </c>
      <c r="W26" s="378" t="str">
        <f>IF(O26="F",J26*S26*ROUND(N26/60,2),"--")</f>
        <v>--</v>
      </c>
      <c r="X26" s="379" t="str">
        <f>IF(AND(O26="R",P26="NO"),J26*S26*Q26/100,"--")</f>
        <v>--</v>
      </c>
      <c r="Y26" s="380" t="str">
        <f>IF(O26="R",J26*S26*ROUND(N26/60,2)*Q26/100,"--")</f>
        <v>--</v>
      </c>
      <c r="Z26" s="381">
        <f>IF(O26="RF",J26*S26*ROUND(N26/60,2),"--")</f>
        <v>752.0255999999999</v>
      </c>
      <c r="AA26" s="382" t="str">
        <f>IF(O26="RR",J26*S26*ROUND(N26/60,2)*Q26/100,"--")</f>
        <v>--</v>
      </c>
      <c r="AB26" s="375" t="s">
        <v>63</v>
      </c>
      <c r="AC26" s="383">
        <f>IF(F26="","",SUM(T26:AA26)*IF(AB26="SI",1,2)*IF(AND(Q26&lt;&gt;"",O26="RF"),Q26/100,1))</f>
        <v>752.0255999999999</v>
      </c>
      <c r="AD26" s="384"/>
    </row>
    <row r="27" spans="2:30" s="1" customFormat="1" ht="16.5" customHeight="1">
      <c r="B27" s="157"/>
      <c r="C27" s="208">
        <v>69</v>
      </c>
      <c r="D27" s="208">
        <v>217084</v>
      </c>
      <c r="E27" s="208">
        <v>2329</v>
      </c>
      <c r="F27" s="76" t="s">
        <v>95</v>
      </c>
      <c r="G27" s="78" t="s">
        <v>96</v>
      </c>
      <c r="H27" s="221">
        <v>10</v>
      </c>
      <c r="I27" s="222" t="s">
        <v>97</v>
      </c>
      <c r="J27" s="223">
        <f t="shared" si="0"/>
        <v>4.08</v>
      </c>
      <c r="K27" s="355">
        <v>40183.353472222225</v>
      </c>
      <c r="L27" s="355">
        <v>40183.39097222222</v>
      </c>
      <c r="M27" s="224">
        <f t="shared" si="1"/>
        <v>0.8999999999650754</v>
      </c>
      <c r="N27" s="225">
        <f t="shared" si="2"/>
        <v>54</v>
      </c>
      <c r="O27" s="226" t="s">
        <v>62</v>
      </c>
      <c r="P27" s="351" t="str">
        <f t="shared" si="3"/>
        <v>--</v>
      </c>
      <c r="Q27" s="352"/>
      <c r="R27" s="351" t="str">
        <f t="shared" si="4"/>
        <v>NO</v>
      </c>
      <c r="S27" s="104">
        <f t="shared" si="5"/>
        <v>0.6000000000000001</v>
      </c>
      <c r="T27" s="227">
        <f t="shared" si="6"/>
        <v>2.2032000000000003</v>
      </c>
      <c r="U27" s="228" t="str">
        <f t="shared" si="7"/>
        <v>--</v>
      </c>
      <c r="V27" s="229" t="str">
        <f t="shared" si="8"/>
        <v>--</v>
      </c>
      <c r="W27" s="230" t="str">
        <f t="shared" si="9"/>
        <v>--</v>
      </c>
      <c r="X27" s="231" t="str">
        <f t="shared" si="10"/>
        <v>--</v>
      </c>
      <c r="Y27" s="232" t="str">
        <f t="shared" si="11"/>
        <v>--</v>
      </c>
      <c r="Z27" s="233" t="str">
        <f t="shared" si="12"/>
        <v>--</v>
      </c>
      <c r="AA27" s="234" t="str">
        <f t="shared" si="13"/>
        <v>--</v>
      </c>
      <c r="AB27" s="351" t="s">
        <v>63</v>
      </c>
      <c r="AC27" s="235">
        <f t="shared" si="14"/>
        <v>2.2032000000000003</v>
      </c>
      <c r="AD27" s="158"/>
    </row>
    <row r="28" spans="2:30" s="368" customFormat="1" ht="16.5" customHeight="1">
      <c r="B28" s="360"/>
      <c r="C28" s="369">
        <v>70</v>
      </c>
      <c r="D28" s="369">
        <v>217086</v>
      </c>
      <c r="E28" s="369">
        <v>2188</v>
      </c>
      <c r="F28" s="362" t="s">
        <v>98</v>
      </c>
      <c r="G28" s="361" t="s">
        <v>99</v>
      </c>
      <c r="H28" s="370">
        <v>5</v>
      </c>
      <c r="I28" s="371" t="s">
        <v>100</v>
      </c>
      <c r="J28" s="372">
        <f t="shared" si="0"/>
        <v>2.04</v>
      </c>
      <c r="K28" s="363">
        <v>40183.4</v>
      </c>
      <c r="L28" s="363">
        <v>40183.419444444444</v>
      </c>
      <c r="M28" s="364">
        <f t="shared" si="1"/>
        <v>0.46666666661622</v>
      </c>
      <c r="N28" s="373">
        <f t="shared" si="2"/>
        <v>28</v>
      </c>
      <c r="O28" s="374" t="s">
        <v>64</v>
      </c>
      <c r="P28" s="375" t="str">
        <f t="shared" si="3"/>
        <v>NO</v>
      </c>
      <c r="Q28" s="365"/>
      <c r="R28" s="375" t="s">
        <v>63</v>
      </c>
      <c r="S28" s="367">
        <f t="shared" si="5"/>
        <v>60</v>
      </c>
      <c r="T28" s="366" t="str">
        <f t="shared" si="6"/>
        <v>--</v>
      </c>
      <c r="U28" s="376" t="str">
        <f t="shared" si="7"/>
        <v>--</v>
      </c>
      <c r="V28" s="377">
        <f t="shared" si="8"/>
        <v>122.4</v>
      </c>
      <c r="W28" s="378">
        <f t="shared" si="9"/>
        <v>57.528</v>
      </c>
      <c r="X28" s="379" t="str">
        <f t="shared" si="10"/>
        <v>--</v>
      </c>
      <c r="Y28" s="380" t="str">
        <f t="shared" si="11"/>
        <v>--</v>
      </c>
      <c r="Z28" s="381" t="str">
        <f t="shared" si="12"/>
        <v>--</v>
      </c>
      <c r="AA28" s="382" t="str">
        <f t="shared" si="13"/>
        <v>--</v>
      </c>
      <c r="AB28" s="375" t="s">
        <v>63</v>
      </c>
      <c r="AC28" s="383">
        <f t="shared" si="14"/>
        <v>179.928</v>
      </c>
      <c r="AD28" s="384"/>
    </row>
    <row r="29" spans="2:30" s="368" customFormat="1" ht="16.5" customHeight="1">
      <c r="B29" s="360"/>
      <c r="C29" s="369" t="s">
        <v>142</v>
      </c>
      <c r="D29" s="369">
        <v>217086</v>
      </c>
      <c r="E29" s="369">
        <v>2188</v>
      </c>
      <c r="F29" s="362" t="s">
        <v>98</v>
      </c>
      <c r="G29" s="361" t="s">
        <v>99</v>
      </c>
      <c r="H29" s="370">
        <v>5</v>
      </c>
      <c r="I29" s="371" t="s">
        <v>100</v>
      </c>
      <c r="J29" s="372">
        <f>H29*$I$16</f>
        <v>2.04</v>
      </c>
      <c r="K29" s="363">
        <v>40183.419444444444</v>
      </c>
      <c r="L29" s="363">
        <v>40183.55347222222</v>
      </c>
      <c r="M29" s="364">
        <f>IF(F29="","",(L29-K29)*24)</f>
        <v>3.2166666666744277</v>
      </c>
      <c r="N29" s="373">
        <f>IF(F29="","",ROUND((L29-K29)*24*60,0))</f>
        <v>193</v>
      </c>
      <c r="O29" s="374" t="s">
        <v>140</v>
      </c>
      <c r="P29" s="375" t="str">
        <f>IF(F29="","",IF(OR(O29="P",O29="RP"),"--","NO"))</f>
        <v>NO</v>
      </c>
      <c r="Q29" s="365"/>
      <c r="R29" s="375" t="s">
        <v>141</v>
      </c>
      <c r="S29" s="367">
        <f>$I$17*IF(OR(O29="P",O29="RP"),0.1,1)*IF(R29="SI",1,0.1)</f>
        <v>6</v>
      </c>
      <c r="T29" s="366" t="str">
        <f>IF(O29="P",J29*S29*ROUND(N29/60,2),"--")</f>
        <v>--</v>
      </c>
      <c r="U29" s="376" t="str">
        <f>IF(O29="RP",J29*S29*ROUND(N29/60,2)*Q29/100,"--")</f>
        <v>--</v>
      </c>
      <c r="V29" s="377" t="str">
        <f>IF(AND(O29="F",P29="NO"),J29*S29,"--")</f>
        <v>--</v>
      </c>
      <c r="W29" s="378" t="str">
        <f>IF(O29="F",J29*S29*ROUND(N29/60,2),"--")</f>
        <v>--</v>
      </c>
      <c r="X29" s="379" t="str">
        <f>IF(AND(O29="R",P29="NO"),J29*S29*Q29/100,"--")</f>
        <v>--</v>
      </c>
      <c r="Y29" s="380" t="str">
        <f>IF(O29="R",J29*S29*ROUND(N29/60,2)*Q29/100,"--")</f>
        <v>--</v>
      </c>
      <c r="Z29" s="381">
        <f>IF(O29="RF",J29*S29*ROUND(N29/60,2),"--")</f>
        <v>39.412800000000004</v>
      </c>
      <c r="AA29" s="382" t="str">
        <f>IF(O29="RR",J29*S29*ROUND(N29/60,2)*Q29/100,"--")</f>
        <v>--</v>
      </c>
      <c r="AB29" s="375" t="s">
        <v>141</v>
      </c>
      <c r="AC29" s="383">
        <f>IF(F29="","",SUM(T29:AA29)*IF(AB29="SI",1,2)*IF(AND(Q29&lt;&gt;"",O29="RF"),Q29/100,1))</f>
        <v>78.82560000000001</v>
      </c>
      <c r="AD29" s="384"/>
    </row>
    <row r="30" spans="2:30" s="1" customFormat="1" ht="16.5" customHeight="1">
      <c r="B30" s="157"/>
      <c r="C30" s="208">
        <v>71</v>
      </c>
      <c r="D30" s="208">
        <v>217094</v>
      </c>
      <c r="E30" s="208">
        <v>4832</v>
      </c>
      <c r="F30" s="76" t="s">
        <v>130</v>
      </c>
      <c r="G30" s="78" t="s">
        <v>96</v>
      </c>
      <c r="H30" s="221">
        <v>30</v>
      </c>
      <c r="I30" s="89" t="s">
        <v>91</v>
      </c>
      <c r="J30" s="223">
        <f t="shared" si="0"/>
        <v>12.239999999999998</v>
      </c>
      <c r="K30" s="355">
        <v>40183.450694444444</v>
      </c>
      <c r="L30" s="355">
        <v>40183.486805555556</v>
      </c>
      <c r="M30" s="224">
        <f t="shared" si="1"/>
        <v>0.8666666666977108</v>
      </c>
      <c r="N30" s="225">
        <f t="shared" si="2"/>
        <v>52</v>
      </c>
      <c r="O30" s="226" t="s">
        <v>62</v>
      </c>
      <c r="P30" s="351" t="str">
        <f t="shared" si="3"/>
        <v>--</v>
      </c>
      <c r="Q30" s="352"/>
      <c r="R30" s="351" t="str">
        <f t="shared" si="4"/>
        <v>NO</v>
      </c>
      <c r="S30" s="104">
        <f t="shared" si="5"/>
        <v>0.6000000000000001</v>
      </c>
      <c r="T30" s="227">
        <f t="shared" si="6"/>
        <v>6.38928</v>
      </c>
      <c r="U30" s="228" t="str">
        <f t="shared" si="7"/>
        <v>--</v>
      </c>
      <c r="V30" s="229" t="str">
        <f t="shared" si="8"/>
        <v>--</v>
      </c>
      <c r="W30" s="230" t="str">
        <f t="shared" si="9"/>
        <v>--</v>
      </c>
      <c r="X30" s="231" t="str">
        <f t="shared" si="10"/>
        <v>--</v>
      </c>
      <c r="Y30" s="232" t="str">
        <f t="shared" si="11"/>
        <v>--</v>
      </c>
      <c r="Z30" s="233" t="str">
        <f t="shared" si="12"/>
        <v>--</v>
      </c>
      <c r="AA30" s="234" t="str">
        <f t="shared" si="13"/>
        <v>--</v>
      </c>
      <c r="AB30" s="351" t="s">
        <v>63</v>
      </c>
      <c r="AC30" s="235">
        <f t="shared" si="14"/>
        <v>6.38928</v>
      </c>
      <c r="AD30" s="158"/>
    </row>
    <row r="31" spans="2:30" s="1" customFormat="1" ht="16.5" customHeight="1">
      <c r="B31" s="157"/>
      <c r="C31" s="208">
        <v>72</v>
      </c>
      <c r="D31" s="208">
        <v>217129</v>
      </c>
      <c r="E31" s="208">
        <v>3454</v>
      </c>
      <c r="F31" s="76" t="s">
        <v>101</v>
      </c>
      <c r="G31" s="78" t="s">
        <v>94</v>
      </c>
      <c r="H31" s="221">
        <v>30</v>
      </c>
      <c r="I31" s="222" t="s">
        <v>91</v>
      </c>
      <c r="J31" s="223">
        <f t="shared" si="0"/>
        <v>12.239999999999998</v>
      </c>
      <c r="K31" s="355">
        <v>40183.8875</v>
      </c>
      <c r="L31" s="355">
        <v>40183.902083333334</v>
      </c>
      <c r="M31" s="224">
        <f t="shared" si="1"/>
        <v>0.35000000009313226</v>
      </c>
      <c r="N31" s="225">
        <f t="shared" si="2"/>
        <v>21</v>
      </c>
      <c r="O31" s="226" t="s">
        <v>64</v>
      </c>
      <c r="P31" s="351" t="str">
        <f t="shared" si="3"/>
        <v>NO</v>
      </c>
      <c r="Q31" s="352"/>
      <c r="R31" s="351" t="s">
        <v>63</v>
      </c>
      <c r="S31" s="104">
        <f t="shared" si="5"/>
        <v>60</v>
      </c>
      <c r="T31" s="227" t="str">
        <f t="shared" si="6"/>
        <v>--</v>
      </c>
      <c r="U31" s="228" t="str">
        <f t="shared" si="7"/>
        <v>--</v>
      </c>
      <c r="V31" s="229">
        <f t="shared" si="8"/>
        <v>734.3999999999999</v>
      </c>
      <c r="W31" s="230">
        <f t="shared" si="9"/>
        <v>257.03999999999996</v>
      </c>
      <c r="X31" s="231" t="str">
        <f t="shared" si="10"/>
        <v>--</v>
      </c>
      <c r="Y31" s="232" t="str">
        <f t="shared" si="11"/>
        <v>--</v>
      </c>
      <c r="Z31" s="233" t="str">
        <f t="shared" si="12"/>
        <v>--</v>
      </c>
      <c r="AA31" s="234" t="str">
        <f t="shared" si="13"/>
        <v>--</v>
      </c>
      <c r="AB31" s="351" t="s">
        <v>63</v>
      </c>
      <c r="AC31" s="235">
        <f t="shared" si="14"/>
        <v>991.4399999999998</v>
      </c>
      <c r="AD31" s="158"/>
    </row>
    <row r="32" spans="2:30" s="1" customFormat="1" ht="16.5" customHeight="1">
      <c r="B32" s="157"/>
      <c r="C32" s="208">
        <v>73</v>
      </c>
      <c r="D32" s="208">
        <v>217133</v>
      </c>
      <c r="E32" s="208">
        <v>4676</v>
      </c>
      <c r="F32" s="76" t="s">
        <v>131</v>
      </c>
      <c r="G32" s="78" t="s">
        <v>96</v>
      </c>
      <c r="H32" s="221">
        <v>30</v>
      </c>
      <c r="I32" s="89" t="s">
        <v>91</v>
      </c>
      <c r="J32" s="223">
        <f t="shared" si="0"/>
        <v>12.239999999999998</v>
      </c>
      <c r="K32" s="355">
        <v>40184.20416666667</v>
      </c>
      <c r="L32" s="355">
        <v>40184.231944444444</v>
      </c>
      <c r="M32" s="224">
        <f t="shared" si="1"/>
        <v>0.6666666665696539</v>
      </c>
      <c r="N32" s="225">
        <f t="shared" si="2"/>
        <v>40</v>
      </c>
      <c r="O32" s="226" t="s">
        <v>64</v>
      </c>
      <c r="P32" s="351" t="str">
        <f t="shared" si="3"/>
        <v>NO</v>
      </c>
      <c r="Q32" s="352"/>
      <c r="R32" s="351" t="s">
        <v>63</v>
      </c>
      <c r="S32" s="104">
        <f t="shared" si="5"/>
        <v>60</v>
      </c>
      <c r="T32" s="227" t="str">
        <f t="shared" si="6"/>
        <v>--</v>
      </c>
      <c r="U32" s="228" t="str">
        <f t="shared" si="7"/>
        <v>--</v>
      </c>
      <c r="V32" s="229">
        <f t="shared" si="8"/>
        <v>734.3999999999999</v>
      </c>
      <c r="W32" s="230">
        <f t="shared" si="9"/>
        <v>492.04799999999994</v>
      </c>
      <c r="X32" s="231" t="str">
        <f t="shared" si="10"/>
        <v>--</v>
      </c>
      <c r="Y32" s="232" t="str">
        <f t="shared" si="11"/>
        <v>--</v>
      </c>
      <c r="Z32" s="233" t="str">
        <f t="shared" si="12"/>
        <v>--</v>
      </c>
      <c r="AA32" s="234" t="str">
        <f t="shared" si="13"/>
        <v>--</v>
      </c>
      <c r="AB32" s="351" t="s">
        <v>63</v>
      </c>
      <c r="AC32" s="235">
        <f t="shared" si="14"/>
        <v>1226.4479999999999</v>
      </c>
      <c r="AD32" s="158"/>
    </row>
    <row r="33" spans="2:30" s="368" customFormat="1" ht="16.5" customHeight="1">
      <c r="B33" s="360"/>
      <c r="C33" s="369">
        <v>74</v>
      </c>
      <c r="D33" s="369">
        <v>217140</v>
      </c>
      <c r="E33" s="369">
        <v>3086</v>
      </c>
      <c r="F33" s="362" t="s">
        <v>102</v>
      </c>
      <c r="G33" s="361" t="s">
        <v>90</v>
      </c>
      <c r="H33" s="370">
        <v>10</v>
      </c>
      <c r="I33" s="371" t="s">
        <v>91</v>
      </c>
      <c r="J33" s="372">
        <f t="shared" si="0"/>
        <v>4.08</v>
      </c>
      <c r="K33" s="363">
        <v>40184.90416666667</v>
      </c>
      <c r="L33" s="363">
        <v>40184.91875</v>
      </c>
      <c r="M33" s="364">
        <f t="shared" si="1"/>
        <v>0.3499999999185093</v>
      </c>
      <c r="N33" s="373">
        <f t="shared" si="2"/>
        <v>21</v>
      </c>
      <c r="O33" s="374" t="s">
        <v>64</v>
      </c>
      <c r="P33" s="375" t="str">
        <f t="shared" si="3"/>
        <v>NO</v>
      </c>
      <c r="Q33" s="365"/>
      <c r="R33" s="375" t="s">
        <v>63</v>
      </c>
      <c r="S33" s="367">
        <f t="shared" si="5"/>
        <v>60</v>
      </c>
      <c r="T33" s="366" t="str">
        <f t="shared" si="6"/>
        <v>--</v>
      </c>
      <c r="U33" s="376" t="str">
        <f t="shared" si="7"/>
        <v>--</v>
      </c>
      <c r="V33" s="377">
        <f t="shared" si="8"/>
        <v>244.8</v>
      </c>
      <c r="W33" s="378">
        <f t="shared" si="9"/>
        <v>85.67999999999999</v>
      </c>
      <c r="X33" s="379" t="str">
        <f t="shared" si="10"/>
        <v>--</v>
      </c>
      <c r="Y33" s="380" t="str">
        <f t="shared" si="11"/>
        <v>--</v>
      </c>
      <c r="Z33" s="381" t="str">
        <f t="shared" si="12"/>
        <v>--</v>
      </c>
      <c r="AA33" s="382" t="str">
        <f t="shared" si="13"/>
        <v>--</v>
      </c>
      <c r="AB33" s="375" t="s">
        <v>63</v>
      </c>
      <c r="AC33" s="383">
        <f t="shared" si="14"/>
        <v>330.48</v>
      </c>
      <c r="AD33" s="384"/>
    </row>
    <row r="34" spans="2:30" s="368" customFormat="1" ht="16.5" customHeight="1">
      <c r="B34" s="360"/>
      <c r="C34" s="369" t="s">
        <v>143</v>
      </c>
      <c r="D34" s="369">
        <v>217140</v>
      </c>
      <c r="E34" s="369">
        <v>3086</v>
      </c>
      <c r="F34" s="362" t="s">
        <v>102</v>
      </c>
      <c r="G34" s="361" t="s">
        <v>90</v>
      </c>
      <c r="H34" s="370">
        <v>10</v>
      </c>
      <c r="I34" s="371" t="s">
        <v>91</v>
      </c>
      <c r="J34" s="372">
        <f>H34*$I$16</f>
        <v>4.08</v>
      </c>
      <c r="K34" s="363">
        <v>40184.91875</v>
      </c>
      <c r="L34" s="363">
        <v>40185.69236111111</v>
      </c>
      <c r="M34" s="364">
        <f>IF(F34="","",(L34-K34)*24)</f>
        <v>18.56666666676756</v>
      </c>
      <c r="N34" s="373">
        <f>IF(F34="","",ROUND((L34-K34)*24*60,0))</f>
        <v>1114</v>
      </c>
      <c r="O34" s="374" t="s">
        <v>140</v>
      </c>
      <c r="P34" s="375" t="str">
        <f>IF(F34="","",IF(OR(O34="P",O34="RP"),"--","NO"))</f>
        <v>NO</v>
      </c>
      <c r="Q34" s="365"/>
      <c r="R34" s="375" t="s">
        <v>141</v>
      </c>
      <c r="S34" s="367">
        <f>$I$17*IF(OR(O34="P",O34="RP"),0.1,1)*IF(R34="SI",1,0.1)</f>
        <v>6</v>
      </c>
      <c r="T34" s="366" t="str">
        <f>IF(O34="P",J34*S34*ROUND(N34/60,2),"--")</f>
        <v>--</v>
      </c>
      <c r="U34" s="376" t="str">
        <f>IF(O34="RP",J34*S34*ROUND(N34/60,2)*Q34/100,"--")</f>
        <v>--</v>
      </c>
      <c r="V34" s="377" t="str">
        <f>IF(AND(O34="F",P34="NO"),J34*S34,"--")</f>
        <v>--</v>
      </c>
      <c r="W34" s="378" t="str">
        <f>IF(O34="F",J34*S34*ROUND(N34/60,2),"--")</f>
        <v>--</v>
      </c>
      <c r="X34" s="379" t="str">
        <f>IF(AND(O34="R",P34="NO"),J34*S34*Q34/100,"--")</f>
        <v>--</v>
      </c>
      <c r="Y34" s="380" t="str">
        <f>IF(O34="R",J34*S34*ROUND(N34/60,2)*Q34/100,"--")</f>
        <v>--</v>
      </c>
      <c r="Z34" s="381">
        <f>IF(O34="RF",J34*S34*ROUND(N34/60,2),"--")</f>
        <v>454.59360000000004</v>
      </c>
      <c r="AA34" s="382" t="str">
        <f>IF(O34="RR",J34*S34*ROUND(N34/60,2)*Q34/100,"--")</f>
        <v>--</v>
      </c>
      <c r="AB34" s="375" t="s">
        <v>63</v>
      </c>
      <c r="AC34" s="383">
        <f>IF(F34="","",SUM(T34:AA34)*IF(AB34="SI",1,2)*IF(AND(Q34&lt;&gt;"",O34="RF"),Q34/100,1))</f>
        <v>454.59360000000004</v>
      </c>
      <c r="AD34" s="384"/>
    </row>
    <row r="35" spans="2:30" s="1" customFormat="1" ht="16.5" customHeight="1">
      <c r="B35" s="157"/>
      <c r="C35" s="208">
        <v>75</v>
      </c>
      <c r="D35" s="208">
        <v>217141</v>
      </c>
      <c r="E35" s="208">
        <v>2296</v>
      </c>
      <c r="F35" s="76" t="s">
        <v>103</v>
      </c>
      <c r="G35" s="78" t="s">
        <v>104</v>
      </c>
      <c r="H35" s="221">
        <v>30</v>
      </c>
      <c r="I35" s="222" t="s">
        <v>91</v>
      </c>
      <c r="J35" s="223">
        <f t="shared" si="0"/>
        <v>12.239999999999998</v>
      </c>
      <c r="K35" s="355">
        <v>40185.36597222222</v>
      </c>
      <c r="L35" s="355">
        <v>40185.385416666664</v>
      </c>
      <c r="M35" s="224">
        <f t="shared" si="1"/>
        <v>0.46666666661622</v>
      </c>
      <c r="N35" s="225">
        <f t="shared" si="2"/>
        <v>28</v>
      </c>
      <c r="O35" s="226" t="s">
        <v>62</v>
      </c>
      <c r="P35" s="351" t="str">
        <f t="shared" si="3"/>
        <v>--</v>
      </c>
      <c r="Q35" s="352"/>
      <c r="R35" s="351" t="str">
        <f t="shared" si="4"/>
        <v>NO</v>
      </c>
      <c r="S35" s="104">
        <f t="shared" si="5"/>
        <v>0.6000000000000001</v>
      </c>
      <c r="T35" s="227">
        <f t="shared" si="6"/>
        <v>3.45168</v>
      </c>
      <c r="U35" s="228" t="str">
        <f t="shared" si="7"/>
        <v>--</v>
      </c>
      <c r="V35" s="229" t="str">
        <f t="shared" si="8"/>
        <v>--</v>
      </c>
      <c r="W35" s="230" t="str">
        <f t="shared" si="9"/>
        <v>--</v>
      </c>
      <c r="X35" s="231" t="str">
        <f t="shared" si="10"/>
        <v>--</v>
      </c>
      <c r="Y35" s="232" t="str">
        <f t="shared" si="11"/>
        <v>--</v>
      </c>
      <c r="Z35" s="233" t="str">
        <f t="shared" si="12"/>
        <v>--</v>
      </c>
      <c r="AA35" s="234" t="str">
        <f t="shared" si="13"/>
        <v>--</v>
      </c>
      <c r="AB35" s="351" t="s">
        <v>63</v>
      </c>
      <c r="AC35" s="235">
        <f t="shared" si="14"/>
        <v>3.45168</v>
      </c>
      <c r="AD35" s="158"/>
    </row>
    <row r="36" spans="2:30" s="1" customFormat="1" ht="16.5" customHeight="1">
      <c r="B36" s="157"/>
      <c r="C36" s="208">
        <v>76</v>
      </c>
      <c r="D36" s="208">
        <v>217142</v>
      </c>
      <c r="E36" s="208">
        <v>2331</v>
      </c>
      <c r="F36" s="76" t="s">
        <v>95</v>
      </c>
      <c r="G36" s="78" t="s">
        <v>99</v>
      </c>
      <c r="H36" s="221">
        <v>15</v>
      </c>
      <c r="I36" s="222" t="s">
        <v>91</v>
      </c>
      <c r="J36" s="223">
        <f t="shared" si="0"/>
        <v>6.119999999999999</v>
      </c>
      <c r="K36" s="355">
        <v>40185.36944444444</v>
      </c>
      <c r="L36" s="355">
        <v>40185.39791666667</v>
      </c>
      <c r="M36" s="224">
        <f t="shared" si="1"/>
        <v>0.6833333334652707</v>
      </c>
      <c r="N36" s="225">
        <f t="shared" si="2"/>
        <v>41</v>
      </c>
      <c r="O36" s="226" t="s">
        <v>62</v>
      </c>
      <c r="P36" s="351" t="str">
        <f t="shared" si="3"/>
        <v>--</v>
      </c>
      <c r="Q36" s="352"/>
      <c r="R36" s="351" t="str">
        <f t="shared" si="4"/>
        <v>NO</v>
      </c>
      <c r="S36" s="104">
        <f t="shared" si="5"/>
        <v>0.6000000000000001</v>
      </c>
      <c r="T36" s="227">
        <f t="shared" si="6"/>
        <v>2.49696</v>
      </c>
      <c r="U36" s="228" t="str">
        <f t="shared" si="7"/>
        <v>--</v>
      </c>
      <c r="V36" s="229" t="str">
        <f t="shared" si="8"/>
        <v>--</v>
      </c>
      <c r="W36" s="230" t="str">
        <f t="shared" si="9"/>
        <v>--</v>
      </c>
      <c r="X36" s="231" t="str">
        <f t="shared" si="10"/>
        <v>--</v>
      </c>
      <c r="Y36" s="232" t="str">
        <f t="shared" si="11"/>
        <v>--</v>
      </c>
      <c r="Z36" s="233" t="str">
        <f t="shared" si="12"/>
        <v>--</v>
      </c>
      <c r="AA36" s="234" t="str">
        <f t="shared" si="13"/>
        <v>--</v>
      </c>
      <c r="AB36" s="351" t="s">
        <v>63</v>
      </c>
      <c r="AC36" s="235">
        <f t="shared" si="14"/>
        <v>2.49696</v>
      </c>
      <c r="AD36" s="158"/>
    </row>
    <row r="37" spans="2:30" s="1" customFormat="1" ht="16.5" customHeight="1">
      <c r="B37" s="157"/>
      <c r="C37" s="208">
        <v>77</v>
      </c>
      <c r="D37" s="208">
        <v>217145</v>
      </c>
      <c r="E37" s="208">
        <v>2404</v>
      </c>
      <c r="F37" s="76" t="s">
        <v>92</v>
      </c>
      <c r="G37" s="78" t="s">
        <v>90</v>
      </c>
      <c r="H37" s="221">
        <v>10</v>
      </c>
      <c r="I37" s="222" t="s">
        <v>91</v>
      </c>
      <c r="J37" s="223">
        <f t="shared" si="0"/>
        <v>4.08</v>
      </c>
      <c r="K37" s="355">
        <v>40186.30416666667</v>
      </c>
      <c r="L37" s="355">
        <v>40186.48263888889</v>
      </c>
      <c r="M37" s="224">
        <f t="shared" si="1"/>
        <v>4.283333333325572</v>
      </c>
      <c r="N37" s="225">
        <f t="shared" si="2"/>
        <v>257</v>
      </c>
      <c r="O37" s="226" t="s">
        <v>62</v>
      </c>
      <c r="P37" s="351" t="str">
        <f t="shared" si="3"/>
        <v>--</v>
      </c>
      <c r="Q37" s="352"/>
      <c r="R37" s="351" t="str">
        <f t="shared" si="4"/>
        <v>NO</v>
      </c>
      <c r="S37" s="104">
        <f t="shared" si="5"/>
        <v>0.6000000000000001</v>
      </c>
      <c r="T37" s="227">
        <f t="shared" si="6"/>
        <v>10.477440000000003</v>
      </c>
      <c r="U37" s="228" t="str">
        <f t="shared" si="7"/>
        <v>--</v>
      </c>
      <c r="V37" s="229" t="str">
        <f t="shared" si="8"/>
        <v>--</v>
      </c>
      <c r="W37" s="230" t="str">
        <f t="shared" si="9"/>
        <v>--</v>
      </c>
      <c r="X37" s="231" t="str">
        <f t="shared" si="10"/>
        <v>--</v>
      </c>
      <c r="Y37" s="232" t="str">
        <f t="shared" si="11"/>
        <v>--</v>
      </c>
      <c r="Z37" s="233" t="str">
        <f t="shared" si="12"/>
        <v>--</v>
      </c>
      <c r="AA37" s="234" t="str">
        <f t="shared" si="13"/>
        <v>--</v>
      </c>
      <c r="AB37" s="351" t="s">
        <v>63</v>
      </c>
      <c r="AC37" s="235">
        <f t="shared" si="14"/>
        <v>10.477440000000003</v>
      </c>
      <c r="AD37" s="158"/>
    </row>
    <row r="38" spans="2:30" s="1" customFormat="1" ht="16.5" customHeight="1">
      <c r="B38" s="157"/>
      <c r="C38" s="208">
        <v>78</v>
      </c>
      <c r="D38" s="208">
        <v>217147</v>
      </c>
      <c r="E38" s="208">
        <v>4963</v>
      </c>
      <c r="F38" s="76" t="s">
        <v>128</v>
      </c>
      <c r="G38" s="78" t="s">
        <v>96</v>
      </c>
      <c r="H38" s="221">
        <v>30</v>
      </c>
      <c r="I38" s="89" t="s">
        <v>91</v>
      </c>
      <c r="J38" s="223">
        <f t="shared" si="0"/>
        <v>12.239999999999998</v>
      </c>
      <c r="K38" s="355">
        <v>40186.39513888889</v>
      </c>
      <c r="L38" s="355">
        <v>40186.427777777775</v>
      </c>
      <c r="M38" s="224">
        <f t="shared" si="1"/>
        <v>0.7833333332673647</v>
      </c>
      <c r="N38" s="225">
        <f t="shared" si="2"/>
        <v>47</v>
      </c>
      <c r="O38" s="226" t="s">
        <v>62</v>
      </c>
      <c r="P38" s="351" t="str">
        <f t="shared" si="3"/>
        <v>--</v>
      </c>
      <c r="Q38" s="352"/>
      <c r="R38" s="351" t="str">
        <f t="shared" si="4"/>
        <v>NO</v>
      </c>
      <c r="S38" s="104">
        <f t="shared" si="5"/>
        <v>0.6000000000000001</v>
      </c>
      <c r="T38" s="227">
        <f t="shared" si="6"/>
        <v>5.72832</v>
      </c>
      <c r="U38" s="228" t="str">
        <f t="shared" si="7"/>
        <v>--</v>
      </c>
      <c r="V38" s="229" t="str">
        <f t="shared" si="8"/>
        <v>--</v>
      </c>
      <c r="W38" s="230" t="str">
        <f t="shared" si="9"/>
        <v>--</v>
      </c>
      <c r="X38" s="231" t="str">
        <f t="shared" si="10"/>
        <v>--</v>
      </c>
      <c r="Y38" s="232" t="str">
        <f t="shared" si="11"/>
        <v>--</v>
      </c>
      <c r="Z38" s="233" t="str">
        <f t="shared" si="12"/>
        <v>--</v>
      </c>
      <c r="AA38" s="234" t="str">
        <f t="shared" si="13"/>
        <v>--</v>
      </c>
      <c r="AB38" s="351" t="s">
        <v>63</v>
      </c>
      <c r="AC38" s="235">
        <f t="shared" si="14"/>
        <v>5.72832</v>
      </c>
      <c r="AD38" s="158"/>
    </row>
    <row r="39" spans="2:30" s="1" customFormat="1" ht="16.5" customHeight="1">
      <c r="B39" s="157"/>
      <c r="C39" s="208">
        <v>82</v>
      </c>
      <c r="D39" s="208">
        <v>217457</v>
      </c>
      <c r="E39" s="208">
        <v>2188</v>
      </c>
      <c r="F39" s="76" t="s">
        <v>98</v>
      </c>
      <c r="G39" s="78" t="s">
        <v>99</v>
      </c>
      <c r="H39" s="221">
        <v>5</v>
      </c>
      <c r="I39" s="222" t="s">
        <v>100</v>
      </c>
      <c r="J39" s="223">
        <f t="shared" si="0"/>
        <v>2.04</v>
      </c>
      <c r="K39" s="355">
        <v>40191.42083333333</v>
      </c>
      <c r="L39" s="355">
        <v>40191.60555555556</v>
      </c>
      <c r="M39" s="224">
        <f t="shared" si="1"/>
        <v>4.433333333465271</v>
      </c>
      <c r="N39" s="225">
        <f t="shared" si="2"/>
        <v>266</v>
      </c>
      <c r="O39" s="226" t="s">
        <v>62</v>
      </c>
      <c r="P39" s="351" t="str">
        <f t="shared" si="3"/>
        <v>--</v>
      </c>
      <c r="Q39" s="352"/>
      <c r="R39" s="351" t="str">
        <f t="shared" si="4"/>
        <v>NO</v>
      </c>
      <c r="S39" s="104">
        <f t="shared" si="5"/>
        <v>0.6000000000000001</v>
      </c>
      <c r="T39" s="227">
        <f t="shared" si="6"/>
        <v>5.422320000000001</v>
      </c>
      <c r="U39" s="228" t="str">
        <f t="shared" si="7"/>
        <v>--</v>
      </c>
      <c r="V39" s="229" t="str">
        <f t="shared" si="8"/>
        <v>--</v>
      </c>
      <c r="W39" s="230" t="str">
        <f t="shared" si="9"/>
        <v>--</v>
      </c>
      <c r="X39" s="231" t="str">
        <f t="shared" si="10"/>
        <v>--</v>
      </c>
      <c r="Y39" s="232" t="str">
        <f t="shared" si="11"/>
        <v>--</v>
      </c>
      <c r="Z39" s="233" t="str">
        <f t="shared" si="12"/>
        <v>--</v>
      </c>
      <c r="AA39" s="234" t="str">
        <f t="shared" si="13"/>
        <v>--</v>
      </c>
      <c r="AB39" s="351" t="s">
        <v>63</v>
      </c>
      <c r="AC39" s="235">
        <f t="shared" si="14"/>
        <v>5.422320000000001</v>
      </c>
      <c r="AD39" s="158"/>
    </row>
    <row r="40" spans="2:30" s="1" customFormat="1" ht="16.5" customHeight="1">
      <c r="B40" s="157"/>
      <c r="C40" s="208"/>
      <c r="D40" s="208"/>
      <c r="E40" s="208"/>
      <c r="F40" s="76"/>
      <c r="G40" s="78"/>
      <c r="H40" s="221"/>
      <c r="I40" s="222"/>
      <c r="J40" s="223">
        <f t="shared" si="0"/>
        <v>0</v>
      </c>
      <c r="K40" s="355"/>
      <c r="L40" s="355"/>
      <c r="M40" s="224">
        <f t="shared" si="1"/>
      </c>
      <c r="N40" s="225">
        <f t="shared" si="2"/>
      </c>
      <c r="O40" s="226"/>
      <c r="P40" s="351">
        <f t="shared" si="3"/>
      </c>
      <c r="Q40" s="352">
        <f>IF(F40="","","--")</f>
      </c>
      <c r="R40" s="351">
        <f t="shared" si="4"/>
      </c>
      <c r="S40" s="104">
        <f t="shared" si="5"/>
        <v>6</v>
      </c>
      <c r="T40" s="227" t="str">
        <f t="shared" si="6"/>
        <v>--</v>
      </c>
      <c r="U40" s="228" t="str">
        <f t="shared" si="7"/>
        <v>--</v>
      </c>
      <c r="V40" s="229" t="str">
        <f t="shared" si="8"/>
        <v>--</v>
      </c>
      <c r="W40" s="230" t="str">
        <f t="shared" si="9"/>
        <v>--</v>
      </c>
      <c r="X40" s="231" t="str">
        <f t="shared" si="10"/>
        <v>--</v>
      </c>
      <c r="Y40" s="232" t="str">
        <f t="shared" si="11"/>
        <v>--</v>
      </c>
      <c r="Z40" s="233" t="str">
        <f t="shared" si="12"/>
        <v>--</v>
      </c>
      <c r="AA40" s="234" t="str">
        <f t="shared" si="13"/>
        <v>--</v>
      </c>
      <c r="AB40" s="351">
        <f>IF(F40="","","SI")</f>
      </c>
      <c r="AC40" s="235">
        <f t="shared" si="14"/>
      </c>
      <c r="AD40" s="158"/>
    </row>
    <row r="41" spans="2:30" s="1" customFormat="1" ht="16.5" customHeight="1" thickBot="1">
      <c r="B41" s="157"/>
      <c r="C41" s="261"/>
      <c r="D41" s="261"/>
      <c r="E41" s="261"/>
      <c r="F41" s="261"/>
      <c r="G41" s="261"/>
      <c r="H41" s="261"/>
      <c r="I41" s="261"/>
      <c r="J41" s="238"/>
      <c r="K41" s="344"/>
      <c r="L41" s="344"/>
      <c r="M41" s="237"/>
      <c r="N41" s="237"/>
      <c r="O41" s="261"/>
      <c r="P41" s="261"/>
      <c r="Q41" s="261"/>
      <c r="R41" s="261"/>
      <c r="S41" s="262"/>
      <c r="T41" s="263"/>
      <c r="U41" s="264"/>
      <c r="V41" s="265"/>
      <c r="W41" s="266"/>
      <c r="X41" s="267"/>
      <c r="Y41" s="268"/>
      <c r="Z41" s="269"/>
      <c r="AA41" s="270"/>
      <c r="AB41" s="261"/>
      <c r="AC41" s="239"/>
      <c r="AD41" s="158"/>
    </row>
    <row r="42" spans="2:30" s="1" customFormat="1" ht="16.5" customHeight="1" thickBot="1" thickTop="1">
      <c r="B42" s="157"/>
      <c r="C42" s="112" t="s">
        <v>47</v>
      </c>
      <c r="D42" s="357" t="s">
        <v>134</v>
      </c>
      <c r="E42" s="128"/>
      <c r="F42" s="1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40">
        <f>SUM(T20:T41)</f>
        <v>48.1032</v>
      </c>
      <c r="U42" s="241">
        <f>SUM(U20:U41)</f>
        <v>0</v>
      </c>
      <c r="V42" s="242">
        <f>SUM(V20:V41)</f>
        <v>3794.3999999999996</v>
      </c>
      <c r="W42" s="243">
        <f>SUM(W22:W41)</f>
        <v>3056.3279999999995</v>
      </c>
      <c r="X42" s="244">
        <f>SUM(X20:X41)</f>
        <v>0</v>
      </c>
      <c r="Y42" s="244">
        <f>SUM(Y22:Y41)</f>
        <v>0</v>
      </c>
      <c r="Z42" s="245">
        <f>SUM(Z20:Z41)</f>
        <v>1246.0320000000002</v>
      </c>
      <c r="AA42" s="246">
        <f>SUM(AA22:AA41)</f>
        <v>0</v>
      </c>
      <c r="AB42" s="247"/>
      <c r="AC42" s="347">
        <f>ROUND(SUM(AC20:AC41),2)</f>
        <v>8184.28</v>
      </c>
      <c r="AD42" s="158"/>
    </row>
    <row r="43" spans="2:30" s="126" customFormat="1" ht="9.75" thickTop="1">
      <c r="B43" s="248"/>
      <c r="C43" s="128"/>
      <c r="D43" s="128"/>
      <c r="E43" s="128"/>
      <c r="F43" s="12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50"/>
      <c r="U43" s="250"/>
      <c r="V43" s="250"/>
      <c r="W43" s="250"/>
      <c r="X43" s="250"/>
      <c r="Y43" s="250"/>
      <c r="Z43" s="250"/>
      <c r="AA43" s="250"/>
      <c r="AB43" s="249"/>
      <c r="AC43" s="251"/>
      <c r="AD43" s="252"/>
    </row>
    <row r="44" spans="2:30" s="1" customFormat="1" ht="16.5" customHeight="1" thickBot="1">
      <c r="B44" s="253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5"/>
    </row>
    <row r="45" spans="2:30" ht="16.5" customHeight="1" thickTop="1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3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259"/>
    </row>
    <row r="2" spans="2:30" s="3" customFormat="1" ht="26.25">
      <c r="B2" s="15" t="str">
        <f>'TOT-0110'!B2</f>
        <v>ANEXO I al Memorandum D.T.E.E. N°  672  / 2016            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6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1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1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1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'TOT-0110'!B14</f>
        <v>Desde el 01 al 31 de enero de 2010</v>
      </c>
      <c r="C14" s="27"/>
      <c r="D14" s="27"/>
      <c r="E14" s="27"/>
      <c r="F14" s="166"/>
      <c r="G14" s="166"/>
      <c r="H14" s="166"/>
      <c r="I14" s="166"/>
      <c r="J14" s="166"/>
      <c r="K14" s="28"/>
      <c r="L14" s="28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260">
        <v>0.408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60*'TOT-0110'!B13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350">
        <v>3</v>
      </c>
      <c r="D18" s="350">
        <v>4</v>
      </c>
      <c r="E18" s="350">
        <v>5</v>
      </c>
      <c r="F18" s="350">
        <v>6</v>
      </c>
      <c r="G18" s="350">
        <v>7</v>
      </c>
      <c r="H18" s="350">
        <v>8</v>
      </c>
      <c r="I18" s="350">
        <v>9</v>
      </c>
      <c r="J18" s="350">
        <v>10</v>
      </c>
      <c r="K18" s="350">
        <v>11</v>
      </c>
      <c r="L18" s="350">
        <v>12</v>
      </c>
      <c r="M18" s="350">
        <v>13</v>
      </c>
      <c r="N18" s="350">
        <v>14</v>
      </c>
      <c r="O18" s="350">
        <v>15</v>
      </c>
      <c r="P18" s="350">
        <v>16</v>
      </c>
      <c r="Q18" s="350">
        <v>17</v>
      </c>
      <c r="R18" s="350">
        <v>18</v>
      </c>
      <c r="S18" s="350">
        <v>19</v>
      </c>
      <c r="T18" s="350">
        <v>20</v>
      </c>
      <c r="U18" s="350">
        <v>21</v>
      </c>
      <c r="V18" s="350">
        <v>22</v>
      </c>
      <c r="W18" s="350">
        <v>23</v>
      </c>
      <c r="X18" s="350">
        <v>24</v>
      </c>
      <c r="Y18" s="350">
        <v>25</v>
      </c>
      <c r="Z18" s="350">
        <v>26</v>
      </c>
      <c r="AA18" s="350">
        <v>27</v>
      </c>
      <c r="AB18" s="350">
        <v>28</v>
      </c>
      <c r="AC18" s="350">
        <v>29</v>
      </c>
      <c r="AD18" s="158"/>
    </row>
    <row r="19" spans="2:30" s="178" customFormat="1" ht="34.5" customHeight="1" thickBot="1" thickTop="1">
      <c r="B19" s="179"/>
      <c r="C19" s="348" t="s">
        <v>13</v>
      </c>
      <c r="D19" s="348" t="s">
        <v>59</v>
      </c>
      <c r="E19" s="348" t="s">
        <v>60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7" t="s">
        <v>46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342"/>
      <c r="L20" s="343"/>
      <c r="M20" s="199"/>
      <c r="N20" s="199"/>
      <c r="O20" s="197"/>
      <c r="P20" s="197"/>
      <c r="Q20" s="197"/>
      <c r="R20" s="197"/>
      <c r="S20" s="73"/>
      <c r="T20" s="71"/>
      <c r="U20" s="200"/>
      <c r="V20" s="201"/>
      <c r="W20" s="202"/>
      <c r="X20" s="203"/>
      <c r="Y20" s="204"/>
      <c r="Z20" s="205"/>
      <c r="AA20" s="206"/>
      <c r="AB20" s="197"/>
      <c r="AC20" s="207">
        <f>'T-01 (1)'!AC42</f>
        <v>8184.28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355"/>
      <c r="L21" s="356"/>
      <c r="M21" s="212"/>
      <c r="N21" s="212"/>
      <c r="O21" s="210"/>
      <c r="P21" s="210"/>
      <c r="Q21" s="210"/>
      <c r="R21" s="210"/>
      <c r="S21" s="87"/>
      <c r="T21" s="85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84</v>
      </c>
      <c r="D22" s="208">
        <v>217460</v>
      </c>
      <c r="E22" s="208">
        <v>4890</v>
      </c>
      <c r="F22" s="76" t="s">
        <v>132</v>
      </c>
      <c r="G22" s="78" t="s">
        <v>96</v>
      </c>
      <c r="H22" s="221">
        <v>15</v>
      </c>
      <c r="I22" s="89" t="s">
        <v>91</v>
      </c>
      <c r="J22" s="223">
        <f aca="true" t="shared" si="0" ref="J22:J42">H22*$I$16</f>
        <v>6.119999999999999</v>
      </c>
      <c r="K22" s="355">
        <v>40192.34166666667</v>
      </c>
      <c r="L22" s="355">
        <v>40192.55694444444</v>
      </c>
      <c r="M22" s="224">
        <f aca="true" t="shared" si="1" ref="M22:M42">IF(F22="","",(L22-K22)*24)</f>
        <v>5.166666666569654</v>
      </c>
      <c r="N22" s="225">
        <f aca="true" t="shared" si="2" ref="N22:N42">IF(F22="","",ROUND((L22-K22)*24*60,0))</f>
        <v>310</v>
      </c>
      <c r="O22" s="226" t="s">
        <v>62</v>
      </c>
      <c r="P22" s="351" t="str">
        <f aca="true" t="shared" si="3" ref="P22:P42">IF(F22="","",IF(OR(O22="P",O22="RP"),"--","NO"))</f>
        <v>--</v>
      </c>
      <c r="Q22" s="352"/>
      <c r="R22" s="351" t="str">
        <f aca="true" t="shared" si="4" ref="R22:R42">IF(F22="","","NO")</f>
        <v>NO</v>
      </c>
      <c r="S22" s="104">
        <f aca="true" t="shared" si="5" ref="S22:S42">$I$17*IF(OR(O22="P",O22="RP"),0.1,1)*IF(R22="SI",1,0.1)</f>
        <v>0.6000000000000001</v>
      </c>
      <c r="T22" s="227">
        <f aca="true" t="shared" si="6" ref="T22:T42">IF(O22="P",J22*S22*ROUND(N22/60,2),"--")</f>
        <v>18.98424</v>
      </c>
      <c r="U22" s="228" t="str">
        <f aca="true" t="shared" si="7" ref="U22:U42">IF(O22="RP",J22*S22*ROUND(N22/60,2)*Q22/100,"--")</f>
        <v>--</v>
      </c>
      <c r="V22" s="229" t="str">
        <f aca="true" t="shared" si="8" ref="V22:V42">IF(AND(O22="F",P22="NO"),J22*S22,"--")</f>
        <v>--</v>
      </c>
      <c r="W22" s="230" t="str">
        <f aca="true" t="shared" si="9" ref="W22:W42">IF(O22="F",J22*S22*ROUND(N22/60,2),"--")</f>
        <v>--</v>
      </c>
      <c r="X22" s="231" t="str">
        <f aca="true" t="shared" si="10" ref="X22:X42">IF(AND(O22="R",P22="NO"),J22*S22*Q22/100,"--")</f>
        <v>--</v>
      </c>
      <c r="Y22" s="232" t="str">
        <f aca="true" t="shared" si="11" ref="Y22:Y42">IF(O22="R",J22*S22*ROUND(N22/60,2)*Q22/100,"--")</f>
        <v>--</v>
      </c>
      <c r="Z22" s="233" t="str">
        <f aca="true" t="shared" si="12" ref="Z22:Z42">IF(O22="RF",J22*S22*ROUND(N22/60,2),"--")</f>
        <v>--</v>
      </c>
      <c r="AA22" s="234" t="str">
        <f aca="true" t="shared" si="13" ref="AA22:AA42">IF(O22="RR",J22*S22*ROUND(N22/60,2)*Q22/100,"--")</f>
        <v>--</v>
      </c>
      <c r="AB22" s="351" t="s">
        <v>63</v>
      </c>
      <c r="AC22" s="235">
        <f aca="true" t="shared" si="14" ref="AC22:AC42">IF(F22="","",SUM(T22:AA22)*IF(AB22="SI",1,2)*IF(AND(Q22&lt;&gt;"",O22="RF"),Q22/100,1))</f>
        <v>18.98424</v>
      </c>
      <c r="AD22" s="236"/>
    </row>
    <row r="23" spans="2:30" s="1" customFormat="1" ht="16.5" customHeight="1">
      <c r="B23" s="157"/>
      <c r="C23" s="208">
        <v>85</v>
      </c>
      <c r="D23" s="208">
        <v>217463</v>
      </c>
      <c r="E23" s="208">
        <v>4573</v>
      </c>
      <c r="F23" s="76" t="s">
        <v>95</v>
      </c>
      <c r="G23" s="78" t="s">
        <v>94</v>
      </c>
      <c r="H23" s="221">
        <v>30</v>
      </c>
      <c r="I23" s="222" t="s">
        <v>91</v>
      </c>
      <c r="J23" s="223">
        <f t="shared" si="0"/>
        <v>12.239999999999998</v>
      </c>
      <c r="K23" s="355">
        <v>40192.3625</v>
      </c>
      <c r="L23" s="355">
        <v>40192.40138888889</v>
      </c>
      <c r="M23" s="224">
        <f t="shared" si="1"/>
        <v>0.93333333323244</v>
      </c>
      <c r="N23" s="225">
        <f t="shared" si="2"/>
        <v>56</v>
      </c>
      <c r="O23" s="226" t="s">
        <v>62</v>
      </c>
      <c r="P23" s="351" t="str">
        <f t="shared" si="3"/>
        <v>--</v>
      </c>
      <c r="Q23" s="352"/>
      <c r="R23" s="351" t="str">
        <f t="shared" si="4"/>
        <v>NO</v>
      </c>
      <c r="S23" s="104">
        <f t="shared" si="5"/>
        <v>0.6000000000000001</v>
      </c>
      <c r="T23" s="227">
        <f t="shared" si="6"/>
        <v>6.82992</v>
      </c>
      <c r="U23" s="228" t="str">
        <f t="shared" si="7"/>
        <v>--</v>
      </c>
      <c r="V23" s="229" t="str">
        <f t="shared" si="8"/>
        <v>--</v>
      </c>
      <c r="W23" s="230" t="str">
        <f t="shared" si="9"/>
        <v>--</v>
      </c>
      <c r="X23" s="231" t="str">
        <f t="shared" si="10"/>
        <v>--</v>
      </c>
      <c r="Y23" s="232" t="str">
        <f t="shared" si="11"/>
        <v>--</v>
      </c>
      <c r="Z23" s="233" t="str">
        <f t="shared" si="12"/>
        <v>--</v>
      </c>
      <c r="AA23" s="234" t="str">
        <f t="shared" si="13"/>
        <v>--</v>
      </c>
      <c r="AB23" s="351" t="s">
        <v>63</v>
      </c>
      <c r="AC23" s="235">
        <f t="shared" si="14"/>
        <v>6.82992</v>
      </c>
      <c r="AD23" s="236"/>
    </row>
    <row r="24" spans="2:30" s="1" customFormat="1" ht="16.5" customHeight="1">
      <c r="B24" s="157"/>
      <c r="C24" s="208">
        <v>86</v>
      </c>
      <c r="D24" s="208">
        <v>217464</v>
      </c>
      <c r="E24" s="208">
        <v>2188</v>
      </c>
      <c r="F24" s="76" t="s">
        <v>98</v>
      </c>
      <c r="G24" s="78" t="s">
        <v>99</v>
      </c>
      <c r="H24" s="221">
        <v>5</v>
      </c>
      <c r="I24" s="222" t="s">
        <v>100</v>
      </c>
      <c r="J24" s="223">
        <f t="shared" si="0"/>
        <v>2.04</v>
      </c>
      <c r="K24" s="355">
        <v>40192.37986111111</v>
      </c>
      <c r="L24" s="355">
        <v>40192.51875</v>
      </c>
      <c r="M24" s="224">
        <f t="shared" si="1"/>
        <v>3.3333333333721384</v>
      </c>
      <c r="N24" s="225">
        <f t="shared" si="2"/>
        <v>200</v>
      </c>
      <c r="O24" s="226" t="s">
        <v>62</v>
      </c>
      <c r="P24" s="351" t="str">
        <f t="shared" si="3"/>
        <v>--</v>
      </c>
      <c r="Q24" s="352"/>
      <c r="R24" s="351" t="str">
        <f t="shared" si="4"/>
        <v>NO</v>
      </c>
      <c r="S24" s="104">
        <f t="shared" si="5"/>
        <v>0.6000000000000001</v>
      </c>
      <c r="T24" s="227">
        <f t="shared" si="6"/>
        <v>4.075920000000001</v>
      </c>
      <c r="U24" s="228" t="str">
        <f t="shared" si="7"/>
        <v>--</v>
      </c>
      <c r="V24" s="229" t="str">
        <f t="shared" si="8"/>
        <v>--</v>
      </c>
      <c r="W24" s="230" t="str">
        <f t="shared" si="9"/>
        <v>--</v>
      </c>
      <c r="X24" s="231" t="str">
        <f t="shared" si="10"/>
        <v>--</v>
      </c>
      <c r="Y24" s="232" t="str">
        <f t="shared" si="11"/>
        <v>--</v>
      </c>
      <c r="Z24" s="233" t="str">
        <f t="shared" si="12"/>
        <v>--</v>
      </c>
      <c r="AA24" s="234" t="str">
        <f t="shared" si="13"/>
        <v>--</v>
      </c>
      <c r="AB24" s="351" t="s">
        <v>63</v>
      </c>
      <c r="AC24" s="235">
        <f t="shared" si="14"/>
        <v>4.075920000000001</v>
      </c>
      <c r="AD24" s="158"/>
    </row>
    <row r="25" spans="2:30" s="1" customFormat="1" ht="16.5" customHeight="1">
      <c r="B25" s="157"/>
      <c r="C25" s="208">
        <v>87</v>
      </c>
      <c r="D25" s="208">
        <v>217470</v>
      </c>
      <c r="E25" s="208">
        <v>2297</v>
      </c>
      <c r="F25" s="76" t="s">
        <v>103</v>
      </c>
      <c r="G25" s="78" t="s">
        <v>106</v>
      </c>
      <c r="H25" s="221">
        <v>30</v>
      </c>
      <c r="I25" s="222" t="s">
        <v>91</v>
      </c>
      <c r="J25" s="223">
        <f t="shared" si="0"/>
        <v>12.239999999999998</v>
      </c>
      <c r="K25" s="355">
        <v>40193.35833333333</v>
      </c>
      <c r="L25" s="355">
        <v>40193.47152777778</v>
      </c>
      <c r="M25" s="224">
        <f t="shared" si="1"/>
        <v>2.716666666790843</v>
      </c>
      <c r="N25" s="225">
        <f t="shared" si="2"/>
        <v>163</v>
      </c>
      <c r="O25" s="226" t="s">
        <v>62</v>
      </c>
      <c r="P25" s="351" t="str">
        <f t="shared" si="3"/>
        <v>--</v>
      </c>
      <c r="Q25" s="352"/>
      <c r="R25" s="351" t="str">
        <f t="shared" si="4"/>
        <v>NO</v>
      </c>
      <c r="S25" s="104">
        <f t="shared" si="5"/>
        <v>0.6000000000000001</v>
      </c>
      <c r="T25" s="227">
        <f t="shared" si="6"/>
        <v>19.97568</v>
      </c>
      <c r="U25" s="228" t="str">
        <f t="shared" si="7"/>
        <v>--</v>
      </c>
      <c r="V25" s="229" t="str">
        <f t="shared" si="8"/>
        <v>--</v>
      </c>
      <c r="W25" s="230" t="str">
        <f t="shared" si="9"/>
        <v>--</v>
      </c>
      <c r="X25" s="231" t="str">
        <f t="shared" si="10"/>
        <v>--</v>
      </c>
      <c r="Y25" s="232" t="str">
        <f t="shared" si="11"/>
        <v>--</v>
      </c>
      <c r="Z25" s="233" t="str">
        <f t="shared" si="12"/>
        <v>--</v>
      </c>
      <c r="AA25" s="234" t="str">
        <f t="shared" si="13"/>
        <v>--</v>
      </c>
      <c r="AB25" s="351" t="s">
        <v>63</v>
      </c>
      <c r="AC25" s="235">
        <f t="shared" si="14"/>
        <v>19.97568</v>
      </c>
      <c r="AD25" s="158"/>
    </row>
    <row r="26" spans="2:30" s="1" customFormat="1" ht="16.5" customHeight="1">
      <c r="B26" s="157"/>
      <c r="C26" s="208">
        <v>88</v>
      </c>
      <c r="D26" s="208">
        <v>217472</v>
      </c>
      <c r="E26" s="208">
        <v>2465</v>
      </c>
      <c r="F26" s="76" t="s">
        <v>105</v>
      </c>
      <c r="G26" s="78" t="s">
        <v>96</v>
      </c>
      <c r="H26" s="221">
        <v>20</v>
      </c>
      <c r="I26" s="222" t="s">
        <v>91</v>
      </c>
      <c r="J26" s="223">
        <f t="shared" si="0"/>
        <v>8.16</v>
      </c>
      <c r="K26" s="355">
        <v>40193.444444444445</v>
      </c>
      <c r="L26" s="355">
        <v>40193.61319444444</v>
      </c>
      <c r="M26" s="224">
        <f t="shared" si="1"/>
        <v>4.049999999930151</v>
      </c>
      <c r="N26" s="225">
        <f t="shared" si="2"/>
        <v>243</v>
      </c>
      <c r="O26" s="226" t="s">
        <v>62</v>
      </c>
      <c r="P26" s="351" t="str">
        <f t="shared" si="3"/>
        <v>--</v>
      </c>
      <c r="Q26" s="352"/>
      <c r="R26" s="351" t="str">
        <f t="shared" si="4"/>
        <v>NO</v>
      </c>
      <c r="S26" s="104">
        <f t="shared" si="5"/>
        <v>0.6000000000000001</v>
      </c>
      <c r="T26" s="227">
        <f t="shared" si="6"/>
        <v>19.8288</v>
      </c>
      <c r="U26" s="228" t="str">
        <f t="shared" si="7"/>
        <v>--</v>
      </c>
      <c r="V26" s="229" t="str">
        <f t="shared" si="8"/>
        <v>--</v>
      </c>
      <c r="W26" s="230" t="str">
        <f t="shared" si="9"/>
        <v>--</v>
      </c>
      <c r="X26" s="231" t="str">
        <f t="shared" si="10"/>
        <v>--</v>
      </c>
      <c r="Y26" s="232" t="str">
        <f t="shared" si="11"/>
        <v>--</v>
      </c>
      <c r="Z26" s="233" t="str">
        <f t="shared" si="12"/>
        <v>--</v>
      </c>
      <c r="AA26" s="234" t="str">
        <f t="shared" si="13"/>
        <v>--</v>
      </c>
      <c r="AB26" s="351" t="s">
        <v>63</v>
      </c>
      <c r="AC26" s="235">
        <f t="shared" si="14"/>
        <v>19.8288</v>
      </c>
      <c r="AD26" s="158"/>
    </row>
    <row r="27" spans="2:30" s="1" customFormat="1" ht="16.5" customHeight="1">
      <c r="B27" s="157"/>
      <c r="C27" s="208">
        <v>89</v>
      </c>
      <c r="D27" s="208">
        <v>217476</v>
      </c>
      <c r="E27" s="208">
        <v>2172</v>
      </c>
      <c r="F27" s="76" t="s">
        <v>102</v>
      </c>
      <c r="G27" s="78" t="s">
        <v>107</v>
      </c>
      <c r="H27" s="221">
        <v>150</v>
      </c>
      <c r="I27" s="222" t="s">
        <v>133</v>
      </c>
      <c r="J27" s="223">
        <f t="shared" si="0"/>
        <v>61.199999999999996</v>
      </c>
      <c r="K27" s="355">
        <v>40195.31180555555</v>
      </c>
      <c r="L27" s="355">
        <v>40195.62291666667</v>
      </c>
      <c r="M27" s="224">
        <f t="shared" si="1"/>
        <v>7.466666666732635</v>
      </c>
      <c r="N27" s="225">
        <f t="shared" si="2"/>
        <v>448</v>
      </c>
      <c r="O27" s="226" t="s">
        <v>62</v>
      </c>
      <c r="P27" s="351" t="str">
        <f t="shared" si="3"/>
        <v>--</v>
      </c>
      <c r="Q27" s="352"/>
      <c r="R27" s="351" t="str">
        <f t="shared" si="4"/>
        <v>NO</v>
      </c>
      <c r="S27" s="104">
        <f t="shared" si="5"/>
        <v>0.6000000000000001</v>
      </c>
      <c r="T27" s="227">
        <f t="shared" si="6"/>
        <v>274.2984</v>
      </c>
      <c r="U27" s="228" t="str">
        <f t="shared" si="7"/>
        <v>--</v>
      </c>
      <c r="V27" s="229" t="str">
        <f t="shared" si="8"/>
        <v>--</v>
      </c>
      <c r="W27" s="230" t="str">
        <f t="shared" si="9"/>
        <v>--</v>
      </c>
      <c r="X27" s="231" t="str">
        <f t="shared" si="10"/>
        <v>--</v>
      </c>
      <c r="Y27" s="232" t="str">
        <f t="shared" si="11"/>
        <v>--</v>
      </c>
      <c r="Z27" s="233" t="str">
        <f t="shared" si="12"/>
        <v>--</v>
      </c>
      <c r="AA27" s="234" t="str">
        <f t="shared" si="13"/>
        <v>--</v>
      </c>
      <c r="AB27" s="351" t="s">
        <v>63</v>
      </c>
      <c r="AC27" s="235">
        <f t="shared" si="14"/>
        <v>274.2984</v>
      </c>
      <c r="AD27" s="158"/>
    </row>
    <row r="28" spans="2:30" s="1" customFormat="1" ht="16.5" customHeight="1">
      <c r="B28" s="157"/>
      <c r="C28" s="208">
        <v>90</v>
      </c>
      <c r="D28" s="208">
        <v>217731</v>
      </c>
      <c r="E28" s="208">
        <v>3550</v>
      </c>
      <c r="F28" s="76" t="s">
        <v>108</v>
      </c>
      <c r="G28" s="78" t="s">
        <v>94</v>
      </c>
      <c r="H28" s="221">
        <v>40</v>
      </c>
      <c r="I28" s="222" t="s">
        <v>91</v>
      </c>
      <c r="J28" s="223">
        <f t="shared" si="0"/>
        <v>16.32</v>
      </c>
      <c r="K28" s="355">
        <v>40197.43541666667</v>
      </c>
      <c r="L28" s="355">
        <v>40197.604166666664</v>
      </c>
      <c r="M28" s="224">
        <f t="shared" si="1"/>
        <v>4.049999999930151</v>
      </c>
      <c r="N28" s="225">
        <f t="shared" si="2"/>
        <v>243</v>
      </c>
      <c r="O28" s="226" t="s">
        <v>62</v>
      </c>
      <c r="P28" s="351" t="str">
        <f t="shared" si="3"/>
        <v>--</v>
      </c>
      <c r="Q28" s="352"/>
      <c r="R28" s="351" t="str">
        <f t="shared" si="4"/>
        <v>NO</v>
      </c>
      <c r="S28" s="104">
        <f t="shared" si="5"/>
        <v>0.6000000000000001</v>
      </c>
      <c r="T28" s="227">
        <f t="shared" si="6"/>
        <v>39.6576</v>
      </c>
      <c r="U28" s="228" t="str">
        <f t="shared" si="7"/>
        <v>--</v>
      </c>
      <c r="V28" s="229" t="str">
        <f t="shared" si="8"/>
        <v>--</v>
      </c>
      <c r="W28" s="230" t="str">
        <f t="shared" si="9"/>
        <v>--</v>
      </c>
      <c r="X28" s="231" t="str">
        <f t="shared" si="10"/>
        <v>--</v>
      </c>
      <c r="Y28" s="232" t="str">
        <f t="shared" si="11"/>
        <v>--</v>
      </c>
      <c r="Z28" s="233" t="str">
        <f t="shared" si="12"/>
        <v>--</v>
      </c>
      <c r="AA28" s="234" t="str">
        <f t="shared" si="13"/>
        <v>--</v>
      </c>
      <c r="AB28" s="351" t="s">
        <v>63</v>
      </c>
      <c r="AC28" s="235">
        <f t="shared" si="14"/>
        <v>39.6576</v>
      </c>
      <c r="AD28" s="158"/>
    </row>
    <row r="29" spans="2:30" s="1" customFormat="1" ht="16.5" customHeight="1">
      <c r="B29" s="157"/>
      <c r="C29" s="208">
        <v>91</v>
      </c>
      <c r="D29" s="208">
        <v>217732</v>
      </c>
      <c r="E29" s="208">
        <v>2468</v>
      </c>
      <c r="F29" s="76" t="s">
        <v>109</v>
      </c>
      <c r="G29" s="78" t="s">
        <v>96</v>
      </c>
      <c r="H29" s="221">
        <v>15</v>
      </c>
      <c r="I29" s="222" t="s">
        <v>91</v>
      </c>
      <c r="J29" s="223">
        <f t="shared" si="0"/>
        <v>6.119999999999999</v>
      </c>
      <c r="K29" s="355">
        <v>40197.49513888889</v>
      </c>
      <c r="L29" s="355">
        <v>40197.57638888889</v>
      </c>
      <c r="M29" s="224">
        <f t="shared" si="1"/>
        <v>1.9500000000698492</v>
      </c>
      <c r="N29" s="225">
        <f t="shared" si="2"/>
        <v>117</v>
      </c>
      <c r="O29" s="226" t="s">
        <v>64</v>
      </c>
      <c r="P29" s="351" t="str">
        <f t="shared" si="3"/>
        <v>NO</v>
      </c>
      <c r="Q29" s="352"/>
      <c r="R29" s="351" t="s">
        <v>63</v>
      </c>
      <c r="S29" s="104">
        <f t="shared" si="5"/>
        <v>60</v>
      </c>
      <c r="T29" s="227" t="str">
        <f t="shared" si="6"/>
        <v>--</v>
      </c>
      <c r="U29" s="228" t="str">
        <f t="shared" si="7"/>
        <v>--</v>
      </c>
      <c r="V29" s="229">
        <f t="shared" si="8"/>
        <v>367.19999999999993</v>
      </c>
      <c r="W29" s="230">
        <f t="shared" si="9"/>
        <v>716.0399999999998</v>
      </c>
      <c r="X29" s="231" t="str">
        <f t="shared" si="10"/>
        <v>--</v>
      </c>
      <c r="Y29" s="232" t="str">
        <f t="shared" si="11"/>
        <v>--</v>
      </c>
      <c r="Z29" s="233" t="str">
        <f t="shared" si="12"/>
        <v>--</v>
      </c>
      <c r="AA29" s="234" t="str">
        <f t="shared" si="13"/>
        <v>--</v>
      </c>
      <c r="AB29" s="351" t="s">
        <v>63</v>
      </c>
      <c r="AC29" s="235">
        <f t="shared" si="14"/>
        <v>1083.2399999999998</v>
      </c>
      <c r="AD29" s="158"/>
    </row>
    <row r="30" spans="2:30" s="1" customFormat="1" ht="16.5" customHeight="1">
      <c r="B30" s="157"/>
      <c r="C30" s="208">
        <v>92</v>
      </c>
      <c r="D30" s="208">
        <v>217741</v>
      </c>
      <c r="E30" s="208">
        <v>3550</v>
      </c>
      <c r="F30" s="76" t="s">
        <v>108</v>
      </c>
      <c r="G30" s="78" t="s">
        <v>94</v>
      </c>
      <c r="H30" s="221">
        <v>40</v>
      </c>
      <c r="I30" s="222" t="s">
        <v>91</v>
      </c>
      <c r="J30" s="223">
        <f t="shared" si="0"/>
        <v>16.32</v>
      </c>
      <c r="K30" s="355">
        <v>40198.39791666667</v>
      </c>
      <c r="L30" s="355">
        <v>40198.603472222225</v>
      </c>
      <c r="M30" s="224">
        <f t="shared" si="1"/>
        <v>4.933333333348855</v>
      </c>
      <c r="N30" s="225">
        <f t="shared" si="2"/>
        <v>296</v>
      </c>
      <c r="O30" s="226" t="s">
        <v>62</v>
      </c>
      <c r="P30" s="351" t="str">
        <f t="shared" si="3"/>
        <v>--</v>
      </c>
      <c r="Q30" s="352"/>
      <c r="R30" s="351" t="str">
        <f t="shared" si="4"/>
        <v>NO</v>
      </c>
      <c r="S30" s="104">
        <f t="shared" si="5"/>
        <v>0.6000000000000001</v>
      </c>
      <c r="T30" s="227">
        <f t="shared" si="6"/>
        <v>48.27456000000001</v>
      </c>
      <c r="U30" s="228" t="str">
        <f t="shared" si="7"/>
        <v>--</v>
      </c>
      <c r="V30" s="229" t="str">
        <f t="shared" si="8"/>
        <v>--</v>
      </c>
      <c r="W30" s="230" t="str">
        <f t="shared" si="9"/>
        <v>--</v>
      </c>
      <c r="X30" s="231" t="str">
        <f t="shared" si="10"/>
        <v>--</v>
      </c>
      <c r="Y30" s="232" t="str">
        <f t="shared" si="11"/>
        <v>--</v>
      </c>
      <c r="Z30" s="233" t="str">
        <f t="shared" si="12"/>
        <v>--</v>
      </c>
      <c r="AA30" s="234" t="str">
        <f t="shared" si="13"/>
        <v>--</v>
      </c>
      <c r="AB30" s="351" t="s">
        <v>63</v>
      </c>
      <c r="AC30" s="235">
        <f t="shared" si="14"/>
        <v>48.27456000000001</v>
      </c>
      <c r="AD30" s="158"/>
    </row>
    <row r="31" spans="2:30" s="1" customFormat="1" ht="16.5" customHeight="1">
      <c r="B31" s="157"/>
      <c r="C31" s="208">
        <v>93</v>
      </c>
      <c r="D31" s="208">
        <v>217744</v>
      </c>
      <c r="E31" s="208">
        <v>4284</v>
      </c>
      <c r="F31" s="76" t="s">
        <v>109</v>
      </c>
      <c r="G31" s="78" t="s">
        <v>94</v>
      </c>
      <c r="H31" s="221">
        <v>30</v>
      </c>
      <c r="I31" s="222" t="s">
        <v>91</v>
      </c>
      <c r="J31" s="223">
        <f t="shared" si="0"/>
        <v>12.239999999999998</v>
      </c>
      <c r="K31" s="355">
        <v>40199.23055555556</v>
      </c>
      <c r="L31" s="355">
        <v>40199.26944444444</v>
      </c>
      <c r="M31" s="224">
        <f t="shared" si="1"/>
        <v>0.93333333323244</v>
      </c>
      <c r="N31" s="225">
        <f t="shared" si="2"/>
        <v>56</v>
      </c>
      <c r="O31" s="226" t="s">
        <v>62</v>
      </c>
      <c r="P31" s="351" t="str">
        <f t="shared" si="3"/>
        <v>--</v>
      </c>
      <c r="Q31" s="352"/>
      <c r="R31" s="351" t="str">
        <f t="shared" si="4"/>
        <v>NO</v>
      </c>
      <c r="S31" s="104">
        <f t="shared" si="5"/>
        <v>0.6000000000000001</v>
      </c>
      <c r="T31" s="227">
        <f t="shared" si="6"/>
        <v>6.82992</v>
      </c>
      <c r="U31" s="228" t="str">
        <f t="shared" si="7"/>
        <v>--</v>
      </c>
      <c r="V31" s="229" t="str">
        <f t="shared" si="8"/>
        <v>--</v>
      </c>
      <c r="W31" s="230" t="str">
        <f t="shared" si="9"/>
        <v>--</v>
      </c>
      <c r="X31" s="231" t="str">
        <f t="shared" si="10"/>
        <v>--</v>
      </c>
      <c r="Y31" s="232" t="str">
        <f t="shared" si="11"/>
        <v>--</v>
      </c>
      <c r="Z31" s="233" t="str">
        <f t="shared" si="12"/>
        <v>--</v>
      </c>
      <c r="AA31" s="234" t="str">
        <f t="shared" si="13"/>
        <v>--</v>
      </c>
      <c r="AB31" s="351" t="s">
        <v>63</v>
      </c>
      <c r="AC31" s="235">
        <f t="shared" si="14"/>
        <v>6.82992</v>
      </c>
      <c r="AD31" s="158"/>
    </row>
    <row r="32" spans="2:30" s="1" customFormat="1" ht="16.5" customHeight="1">
      <c r="B32" s="157"/>
      <c r="C32" s="208">
        <v>94</v>
      </c>
      <c r="D32" s="208">
        <v>217745</v>
      </c>
      <c r="E32" s="208">
        <v>4420</v>
      </c>
      <c r="F32" s="76" t="s">
        <v>110</v>
      </c>
      <c r="G32" s="78" t="s">
        <v>111</v>
      </c>
      <c r="H32" s="221">
        <v>30</v>
      </c>
      <c r="I32" s="222" t="s">
        <v>91</v>
      </c>
      <c r="J32" s="223">
        <f t="shared" si="0"/>
        <v>12.239999999999998</v>
      </c>
      <c r="K32" s="355">
        <v>40199.34027777778</v>
      </c>
      <c r="L32" s="355">
        <v>40199.572916666664</v>
      </c>
      <c r="M32" s="224">
        <f t="shared" si="1"/>
        <v>5.5833333331975155</v>
      </c>
      <c r="N32" s="225">
        <f t="shared" si="2"/>
        <v>335</v>
      </c>
      <c r="O32" s="226" t="s">
        <v>62</v>
      </c>
      <c r="P32" s="351" t="str">
        <f t="shared" si="3"/>
        <v>--</v>
      </c>
      <c r="Q32" s="352"/>
      <c r="R32" s="351" t="str">
        <f t="shared" si="4"/>
        <v>NO</v>
      </c>
      <c r="S32" s="104">
        <f t="shared" si="5"/>
        <v>0.6000000000000001</v>
      </c>
      <c r="T32" s="227">
        <f t="shared" si="6"/>
        <v>40.97952</v>
      </c>
      <c r="U32" s="228" t="str">
        <f t="shared" si="7"/>
        <v>--</v>
      </c>
      <c r="V32" s="229" t="str">
        <f t="shared" si="8"/>
        <v>--</v>
      </c>
      <c r="W32" s="230" t="str">
        <f t="shared" si="9"/>
        <v>--</v>
      </c>
      <c r="X32" s="231" t="str">
        <f t="shared" si="10"/>
        <v>--</v>
      </c>
      <c r="Y32" s="232" t="str">
        <f t="shared" si="11"/>
        <v>--</v>
      </c>
      <c r="Z32" s="233" t="str">
        <f t="shared" si="12"/>
        <v>--</v>
      </c>
      <c r="AA32" s="234" t="str">
        <f t="shared" si="13"/>
        <v>--</v>
      </c>
      <c r="AB32" s="351" t="s">
        <v>63</v>
      </c>
      <c r="AC32" s="235">
        <f t="shared" si="14"/>
        <v>40.97952</v>
      </c>
      <c r="AD32" s="158"/>
    </row>
    <row r="33" spans="2:30" s="1" customFormat="1" ht="16.5" customHeight="1">
      <c r="B33" s="157"/>
      <c r="C33" s="208">
        <v>95</v>
      </c>
      <c r="D33" s="208">
        <v>217748</v>
      </c>
      <c r="E33" s="208">
        <v>2649</v>
      </c>
      <c r="F33" s="76" t="s">
        <v>89</v>
      </c>
      <c r="G33" s="78" t="s">
        <v>90</v>
      </c>
      <c r="H33" s="221">
        <v>15</v>
      </c>
      <c r="I33" s="222" t="s">
        <v>91</v>
      </c>
      <c r="J33" s="223">
        <f t="shared" si="0"/>
        <v>6.119999999999999</v>
      </c>
      <c r="K33" s="355">
        <v>40199.34583333333</v>
      </c>
      <c r="L33" s="355">
        <v>40199.67847222222</v>
      </c>
      <c r="M33" s="224">
        <f t="shared" si="1"/>
        <v>7.983333333337214</v>
      </c>
      <c r="N33" s="225">
        <f t="shared" si="2"/>
        <v>479</v>
      </c>
      <c r="O33" s="226" t="s">
        <v>62</v>
      </c>
      <c r="P33" s="351" t="str">
        <f t="shared" si="3"/>
        <v>--</v>
      </c>
      <c r="Q33" s="352"/>
      <c r="R33" s="351" t="str">
        <f t="shared" si="4"/>
        <v>NO</v>
      </c>
      <c r="S33" s="104">
        <f t="shared" si="5"/>
        <v>0.6000000000000001</v>
      </c>
      <c r="T33" s="227">
        <f t="shared" si="6"/>
        <v>29.302560000000003</v>
      </c>
      <c r="U33" s="228" t="str">
        <f t="shared" si="7"/>
        <v>--</v>
      </c>
      <c r="V33" s="229" t="str">
        <f t="shared" si="8"/>
        <v>--</v>
      </c>
      <c r="W33" s="230" t="str">
        <f t="shared" si="9"/>
        <v>--</v>
      </c>
      <c r="X33" s="231" t="str">
        <f t="shared" si="10"/>
        <v>--</v>
      </c>
      <c r="Y33" s="232" t="str">
        <f t="shared" si="11"/>
        <v>--</v>
      </c>
      <c r="Z33" s="233" t="str">
        <f t="shared" si="12"/>
        <v>--</v>
      </c>
      <c r="AA33" s="234" t="str">
        <f t="shared" si="13"/>
        <v>--</v>
      </c>
      <c r="AB33" s="351" t="s">
        <v>63</v>
      </c>
      <c r="AC33" s="235">
        <f t="shared" si="14"/>
        <v>29.302560000000003</v>
      </c>
      <c r="AD33" s="158"/>
    </row>
    <row r="34" spans="2:30" s="368" customFormat="1" ht="16.5" customHeight="1">
      <c r="B34" s="360"/>
      <c r="C34" s="369">
        <v>96</v>
      </c>
      <c r="D34" s="369">
        <v>217751</v>
      </c>
      <c r="E34" s="369">
        <v>2496</v>
      </c>
      <c r="F34" s="362" t="s">
        <v>93</v>
      </c>
      <c r="G34" s="361" t="s">
        <v>96</v>
      </c>
      <c r="H34" s="370">
        <v>40</v>
      </c>
      <c r="I34" s="371" t="s">
        <v>91</v>
      </c>
      <c r="J34" s="372">
        <f t="shared" si="0"/>
        <v>16.32</v>
      </c>
      <c r="K34" s="363">
        <v>40199.59652777778</v>
      </c>
      <c r="L34" s="363">
        <v>40199.64375</v>
      </c>
      <c r="M34" s="364">
        <f t="shared" si="1"/>
        <v>1.133333333360497</v>
      </c>
      <c r="N34" s="373">
        <f t="shared" si="2"/>
        <v>68</v>
      </c>
      <c r="O34" s="374" t="s">
        <v>64</v>
      </c>
      <c r="P34" s="375" t="str">
        <f t="shared" si="3"/>
        <v>NO</v>
      </c>
      <c r="Q34" s="365"/>
      <c r="R34" s="375" t="s">
        <v>63</v>
      </c>
      <c r="S34" s="367">
        <f t="shared" si="5"/>
        <v>60</v>
      </c>
      <c r="T34" s="366" t="str">
        <f t="shared" si="6"/>
        <v>--</v>
      </c>
      <c r="U34" s="376" t="str">
        <f t="shared" si="7"/>
        <v>--</v>
      </c>
      <c r="V34" s="377">
        <f t="shared" si="8"/>
        <v>979.2</v>
      </c>
      <c r="W34" s="378">
        <f t="shared" si="9"/>
        <v>1106.4959999999999</v>
      </c>
      <c r="X34" s="379" t="str">
        <f t="shared" si="10"/>
        <v>--</v>
      </c>
      <c r="Y34" s="380" t="str">
        <f t="shared" si="11"/>
        <v>--</v>
      </c>
      <c r="Z34" s="381" t="str">
        <f t="shared" si="12"/>
        <v>--</v>
      </c>
      <c r="AA34" s="382" t="str">
        <f t="shared" si="13"/>
        <v>--</v>
      </c>
      <c r="AB34" s="375" t="s">
        <v>63</v>
      </c>
      <c r="AC34" s="383">
        <f t="shared" si="14"/>
        <v>2085.696</v>
      </c>
      <c r="AD34" s="384"/>
    </row>
    <row r="35" spans="2:30" s="368" customFormat="1" ht="16.5" customHeight="1">
      <c r="B35" s="360"/>
      <c r="C35" s="369" t="s">
        <v>144</v>
      </c>
      <c r="D35" s="369">
        <v>217751</v>
      </c>
      <c r="E35" s="369">
        <v>2496</v>
      </c>
      <c r="F35" s="362" t="s">
        <v>93</v>
      </c>
      <c r="G35" s="361" t="s">
        <v>96</v>
      </c>
      <c r="H35" s="370">
        <v>40</v>
      </c>
      <c r="I35" s="371" t="s">
        <v>91</v>
      </c>
      <c r="J35" s="372">
        <f>H35*$I$16</f>
        <v>16.32</v>
      </c>
      <c r="K35" s="363">
        <v>40199.64375</v>
      </c>
      <c r="L35" s="363">
        <v>40199.888194444444</v>
      </c>
      <c r="M35" s="364">
        <f>IF(F35="","",(L35-K35)*24)</f>
        <v>5.866666666581295</v>
      </c>
      <c r="N35" s="373">
        <f>IF(F35="","",ROUND((L35-K35)*24*60,0))</f>
        <v>352</v>
      </c>
      <c r="O35" s="374" t="s">
        <v>140</v>
      </c>
      <c r="P35" s="375" t="str">
        <f>IF(F35="","",IF(OR(O35="P",O35="RP"),"--","NO"))</f>
        <v>NO</v>
      </c>
      <c r="Q35" s="365"/>
      <c r="R35" s="375" t="s">
        <v>141</v>
      </c>
      <c r="S35" s="367">
        <f>$I$17*IF(OR(O35="P",O35="RP"),0.1,1)*IF(R35="SI",1,0.1)</f>
        <v>6</v>
      </c>
      <c r="T35" s="366" t="str">
        <f>IF(O35="P",J35*S35*ROUND(N35/60,2),"--")</f>
        <v>--</v>
      </c>
      <c r="U35" s="376" t="str">
        <f>IF(O35="RP",J35*S35*ROUND(N35/60,2)*Q35/100,"--")</f>
        <v>--</v>
      </c>
      <c r="V35" s="377" t="str">
        <f>IF(AND(O35="F",P35="NO"),J35*S35,"--")</f>
        <v>--</v>
      </c>
      <c r="W35" s="378" t="str">
        <f>IF(O35="F",J35*S35*ROUND(N35/60,2),"--")</f>
        <v>--</v>
      </c>
      <c r="X35" s="379" t="str">
        <f>IF(AND(O35="R",P35="NO"),J35*S35*Q35/100,"--")</f>
        <v>--</v>
      </c>
      <c r="Y35" s="380" t="str">
        <f>IF(O35="R",J35*S35*ROUND(N35/60,2)*Q35/100,"--")</f>
        <v>--</v>
      </c>
      <c r="Z35" s="381">
        <f>IF(O35="RF",J35*S35*ROUND(N35/60,2),"--")</f>
        <v>574.7904</v>
      </c>
      <c r="AA35" s="382" t="str">
        <f>IF(O35="RR",J35*S35*ROUND(N35/60,2)*Q35/100,"--")</f>
        <v>--</v>
      </c>
      <c r="AB35" s="375" t="s">
        <v>63</v>
      </c>
      <c r="AC35" s="383">
        <f>IF(F35="","",SUM(T35:AA35)*IF(AB35="SI",1,2)*IF(AND(Q35&lt;&gt;"",O35="RF"),Q35/100,1))</f>
        <v>574.7904</v>
      </c>
      <c r="AD35" s="384"/>
    </row>
    <row r="36" spans="2:30" s="1" customFormat="1" ht="16.5" customHeight="1">
      <c r="B36" s="157"/>
      <c r="C36" s="208">
        <v>97</v>
      </c>
      <c r="D36" s="208">
        <v>217754</v>
      </c>
      <c r="E36" s="208">
        <v>2468</v>
      </c>
      <c r="F36" s="76" t="s">
        <v>109</v>
      </c>
      <c r="G36" s="78" t="s">
        <v>96</v>
      </c>
      <c r="H36" s="221">
        <v>15</v>
      </c>
      <c r="I36" s="222" t="s">
        <v>91</v>
      </c>
      <c r="J36" s="223">
        <f t="shared" si="0"/>
        <v>6.119999999999999</v>
      </c>
      <c r="K36" s="355">
        <v>40200.21944444445</v>
      </c>
      <c r="L36" s="355">
        <v>40200.26458333333</v>
      </c>
      <c r="M36" s="224">
        <f t="shared" si="1"/>
        <v>1.0833333331975155</v>
      </c>
      <c r="N36" s="225">
        <f t="shared" si="2"/>
        <v>65</v>
      </c>
      <c r="O36" s="226" t="s">
        <v>62</v>
      </c>
      <c r="P36" s="351" t="str">
        <f t="shared" si="3"/>
        <v>--</v>
      </c>
      <c r="Q36" s="352"/>
      <c r="R36" s="351" t="str">
        <f t="shared" si="4"/>
        <v>NO</v>
      </c>
      <c r="S36" s="104">
        <f t="shared" si="5"/>
        <v>0.6000000000000001</v>
      </c>
      <c r="T36" s="227">
        <f t="shared" si="6"/>
        <v>3.9657600000000004</v>
      </c>
      <c r="U36" s="228" t="str">
        <f t="shared" si="7"/>
        <v>--</v>
      </c>
      <c r="V36" s="229" t="str">
        <f t="shared" si="8"/>
        <v>--</v>
      </c>
      <c r="W36" s="230" t="str">
        <f t="shared" si="9"/>
        <v>--</v>
      </c>
      <c r="X36" s="231" t="str">
        <f t="shared" si="10"/>
        <v>--</v>
      </c>
      <c r="Y36" s="232" t="str">
        <f t="shared" si="11"/>
        <v>--</v>
      </c>
      <c r="Z36" s="233" t="str">
        <f t="shared" si="12"/>
        <v>--</v>
      </c>
      <c r="AA36" s="234" t="str">
        <f t="shared" si="13"/>
        <v>--</v>
      </c>
      <c r="AB36" s="351" t="s">
        <v>63</v>
      </c>
      <c r="AC36" s="235">
        <f t="shared" si="14"/>
        <v>3.9657600000000004</v>
      </c>
      <c r="AD36" s="158"/>
    </row>
    <row r="37" spans="2:30" s="1" customFormat="1" ht="16.5" customHeight="1">
      <c r="B37" s="157"/>
      <c r="C37" s="208">
        <v>98</v>
      </c>
      <c r="D37" s="208">
        <v>217756</v>
      </c>
      <c r="E37" s="208">
        <v>3086</v>
      </c>
      <c r="F37" s="76" t="s">
        <v>102</v>
      </c>
      <c r="G37" s="78" t="s">
        <v>90</v>
      </c>
      <c r="H37" s="221">
        <v>10</v>
      </c>
      <c r="I37" s="222" t="s">
        <v>91</v>
      </c>
      <c r="J37" s="223">
        <f t="shared" si="0"/>
        <v>4.08</v>
      </c>
      <c r="K37" s="355">
        <v>40200.302777777775</v>
      </c>
      <c r="L37" s="355">
        <v>40200.36736111111</v>
      </c>
      <c r="M37" s="224">
        <f t="shared" si="1"/>
        <v>1.5499999999883585</v>
      </c>
      <c r="N37" s="225">
        <f t="shared" si="2"/>
        <v>93</v>
      </c>
      <c r="O37" s="226" t="s">
        <v>62</v>
      </c>
      <c r="P37" s="351" t="str">
        <f t="shared" si="3"/>
        <v>--</v>
      </c>
      <c r="Q37" s="352"/>
      <c r="R37" s="351" t="str">
        <f t="shared" si="4"/>
        <v>NO</v>
      </c>
      <c r="S37" s="104">
        <f t="shared" si="5"/>
        <v>0.6000000000000001</v>
      </c>
      <c r="T37" s="227">
        <f t="shared" si="6"/>
        <v>3.794400000000001</v>
      </c>
      <c r="U37" s="228" t="str">
        <f t="shared" si="7"/>
        <v>--</v>
      </c>
      <c r="V37" s="229" t="str">
        <f t="shared" si="8"/>
        <v>--</v>
      </c>
      <c r="W37" s="230" t="str">
        <f t="shared" si="9"/>
        <v>--</v>
      </c>
      <c r="X37" s="231" t="str">
        <f t="shared" si="10"/>
        <v>--</v>
      </c>
      <c r="Y37" s="232" t="str">
        <f t="shared" si="11"/>
        <v>--</v>
      </c>
      <c r="Z37" s="233" t="str">
        <f t="shared" si="12"/>
        <v>--</v>
      </c>
      <c r="AA37" s="234" t="str">
        <f t="shared" si="13"/>
        <v>--</v>
      </c>
      <c r="AB37" s="351" t="s">
        <v>63</v>
      </c>
      <c r="AC37" s="235">
        <f t="shared" si="14"/>
        <v>3.794400000000001</v>
      </c>
      <c r="AD37" s="158"/>
    </row>
    <row r="38" spans="2:30" s="1" customFormat="1" ht="16.5" customHeight="1">
      <c r="B38" s="157"/>
      <c r="C38" s="208">
        <v>99</v>
      </c>
      <c r="D38" s="208">
        <v>217758</v>
      </c>
      <c r="E38" s="208">
        <v>2329</v>
      </c>
      <c r="F38" s="76" t="s">
        <v>95</v>
      </c>
      <c r="G38" s="78" t="s">
        <v>96</v>
      </c>
      <c r="H38" s="221">
        <v>10</v>
      </c>
      <c r="I38" s="222" t="s">
        <v>97</v>
      </c>
      <c r="J38" s="223">
        <f t="shared" si="0"/>
        <v>4.08</v>
      </c>
      <c r="K38" s="355">
        <v>40200.38125</v>
      </c>
      <c r="L38" s="355">
        <v>40200.39375</v>
      </c>
      <c r="M38" s="224">
        <f t="shared" si="1"/>
        <v>0.3000000001047738</v>
      </c>
      <c r="N38" s="225">
        <f t="shared" si="2"/>
        <v>18</v>
      </c>
      <c r="O38" s="226" t="s">
        <v>62</v>
      </c>
      <c r="P38" s="351" t="str">
        <f t="shared" si="3"/>
        <v>--</v>
      </c>
      <c r="Q38" s="352"/>
      <c r="R38" s="351" t="str">
        <f t="shared" si="4"/>
        <v>NO</v>
      </c>
      <c r="S38" s="104">
        <f t="shared" si="5"/>
        <v>0.6000000000000001</v>
      </c>
      <c r="T38" s="227">
        <f t="shared" si="6"/>
        <v>0.7344</v>
      </c>
      <c r="U38" s="228" t="str">
        <f t="shared" si="7"/>
        <v>--</v>
      </c>
      <c r="V38" s="229" t="str">
        <f t="shared" si="8"/>
        <v>--</v>
      </c>
      <c r="W38" s="230" t="str">
        <f t="shared" si="9"/>
        <v>--</v>
      </c>
      <c r="X38" s="231" t="str">
        <f t="shared" si="10"/>
        <v>--</v>
      </c>
      <c r="Y38" s="232" t="str">
        <f t="shared" si="11"/>
        <v>--</v>
      </c>
      <c r="Z38" s="233" t="str">
        <f t="shared" si="12"/>
        <v>--</v>
      </c>
      <c r="AA38" s="234" t="str">
        <f t="shared" si="13"/>
        <v>--</v>
      </c>
      <c r="AB38" s="351" t="s">
        <v>63</v>
      </c>
      <c r="AC38" s="235">
        <f t="shared" si="14"/>
        <v>0.7344</v>
      </c>
      <c r="AD38" s="158"/>
    </row>
    <row r="39" spans="2:30" s="1" customFormat="1" ht="16.5" customHeight="1">
      <c r="B39" s="157"/>
      <c r="C39" s="208">
        <v>100</v>
      </c>
      <c r="D39" s="208">
        <v>217892</v>
      </c>
      <c r="E39" s="208">
        <v>2431</v>
      </c>
      <c r="F39" s="76" t="s">
        <v>112</v>
      </c>
      <c r="G39" s="78" t="s">
        <v>99</v>
      </c>
      <c r="H39" s="221">
        <v>40</v>
      </c>
      <c r="I39" s="222" t="s">
        <v>97</v>
      </c>
      <c r="J39" s="223">
        <f t="shared" si="0"/>
        <v>16.32</v>
      </c>
      <c r="K39" s="355">
        <v>40203.21666666667</v>
      </c>
      <c r="L39" s="355">
        <v>40203.27013888889</v>
      </c>
      <c r="M39" s="224">
        <f t="shared" si="1"/>
        <v>1.2833333333255723</v>
      </c>
      <c r="N39" s="225">
        <f t="shared" si="2"/>
        <v>77</v>
      </c>
      <c r="O39" s="226" t="s">
        <v>62</v>
      </c>
      <c r="P39" s="351" t="str">
        <f t="shared" si="3"/>
        <v>--</v>
      </c>
      <c r="Q39" s="352"/>
      <c r="R39" s="351" t="str">
        <f t="shared" si="4"/>
        <v>NO</v>
      </c>
      <c r="S39" s="104">
        <f t="shared" si="5"/>
        <v>0.6000000000000001</v>
      </c>
      <c r="T39" s="227">
        <f t="shared" si="6"/>
        <v>12.533760000000003</v>
      </c>
      <c r="U39" s="228" t="str">
        <f t="shared" si="7"/>
        <v>--</v>
      </c>
      <c r="V39" s="229" t="str">
        <f t="shared" si="8"/>
        <v>--</v>
      </c>
      <c r="W39" s="230" t="str">
        <f t="shared" si="9"/>
        <v>--</v>
      </c>
      <c r="X39" s="231" t="str">
        <f t="shared" si="10"/>
        <v>--</v>
      </c>
      <c r="Y39" s="232" t="str">
        <f t="shared" si="11"/>
        <v>--</v>
      </c>
      <c r="Z39" s="233" t="str">
        <f t="shared" si="12"/>
        <v>--</v>
      </c>
      <c r="AA39" s="234" t="str">
        <f t="shared" si="13"/>
        <v>--</v>
      </c>
      <c r="AB39" s="351" t="s">
        <v>63</v>
      </c>
      <c r="AC39" s="235">
        <f t="shared" si="14"/>
        <v>12.533760000000003</v>
      </c>
      <c r="AD39" s="158"/>
    </row>
    <row r="40" spans="2:30" s="1" customFormat="1" ht="16.5" customHeight="1">
      <c r="B40" s="157"/>
      <c r="C40" s="208">
        <v>101</v>
      </c>
      <c r="D40" s="208">
        <v>217895</v>
      </c>
      <c r="E40" s="208">
        <v>2430</v>
      </c>
      <c r="F40" s="76" t="s">
        <v>112</v>
      </c>
      <c r="G40" s="78" t="s">
        <v>94</v>
      </c>
      <c r="H40" s="221">
        <v>15</v>
      </c>
      <c r="I40" s="222" t="s">
        <v>91</v>
      </c>
      <c r="J40" s="223">
        <f t="shared" si="0"/>
        <v>6.119999999999999</v>
      </c>
      <c r="K40" s="355">
        <v>40204.20972222222</v>
      </c>
      <c r="L40" s="355">
        <v>40204.245833333334</v>
      </c>
      <c r="M40" s="224">
        <f t="shared" si="1"/>
        <v>0.8666666666977108</v>
      </c>
      <c r="N40" s="225">
        <f t="shared" si="2"/>
        <v>52</v>
      </c>
      <c r="O40" s="226" t="s">
        <v>62</v>
      </c>
      <c r="P40" s="351" t="str">
        <f t="shared" si="3"/>
        <v>--</v>
      </c>
      <c r="Q40" s="352"/>
      <c r="R40" s="351" t="str">
        <f t="shared" si="4"/>
        <v>NO</v>
      </c>
      <c r="S40" s="104">
        <f t="shared" si="5"/>
        <v>0.6000000000000001</v>
      </c>
      <c r="T40" s="227">
        <f t="shared" si="6"/>
        <v>3.19464</v>
      </c>
      <c r="U40" s="228" t="str">
        <f t="shared" si="7"/>
        <v>--</v>
      </c>
      <c r="V40" s="229" t="str">
        <f t="shared" si="8"/>
        <v>--</v>
      </c>
      <c r="W40" s="230" t="str">
        <f t="shared" si="9"/>
        <v>--</v>
      </c>
      <c r="X40" s="231" t="str">
        <f t="shared" si="10"/>
        <v>--</v>
      </c>
      <c r="Y40" s="232" t="str">
        <f t="shared" si="11"/>
        <v>--</v>
      </c>
      <c r="Z40" s="233" t="str">
        <f t="shared" si="12"/>
        <v>--</v>
      </c>
      <c r="AA40" s="234" t="str">
        <f t="shared" si="13"/>
        <v>--</v>
      </c>
      <c r="AB40" s="351" t="s">
        <v>63</v>
      </c>
      <c r="AC40" s="235">
        <f t="shared" si="14"/>
        <v>3.19464</v>
      </c>
      <c r="AD40" s="158"/>
    </row>
    <row r="41" spans="2:30" s="1" customFormat="1" ht="16.5" customHeight="1">
      <c r="B41" s="157"/>
      <c r="C41" s="208">
        <v>102</v>
      </c>
      <c r="D41" s="208">
        <v>217897</v>
      </c>
      <c r="E41" s="208">
        <v>2488</v>
      </c>
      <c r="F41" s="76" t="s">
        <v>113</v>
      </c>
      <c r="G41" s="78" t="s">
        <v>96</v>
      </c>
      <c r="H41" s="221">
        <v>15</v>
      </c>
      <c r="I41" s="222" t="s">
        <v>91</v>
      </c>
      <c r="J41" s="223">
        <f t="shared" si="0"/>
        <v>6.119999999999999</v>
      </c>
      <c r="K41" s="355">
        <v>40204.325694444444</v>
      </c>
      <c r="L41" s="355">
        <v>40204.33819444444</v>
      </c>
      <c r="M41" s="224">
        <f t="shared" si="1"/>
        <v>0.2999999999301508</v>
      </c>
      <c r="N41" s="225">
        <f t="shared" si="2"/>
        <v>18</v>
      </c>
      <c r="O41" s="226" t="s">
        <v>64</v>
      </c>
      <c r="P41" s="351" t="str">
        <f t="shared" si="3"/>
        <v>NO</v>
      </c>
      <c r="Q41" s="352"/>
      <c r="R41" s="351" t="s">
        <v>63</v>
      </c>
      <c r="S41" s="104">
        <f t="shared" si="5"/>
        <v>60</v>
      </c>
      <c r="T41" s="227" t="str">
        <f t="shared" si="6"/>
        <v>--</v>
      </c>
      <c r="U41" s="228" t="str">
        <f t="shared" si="7"/>
        <v>--</v>
      </c>
      <c r="V41" s="229">
        <f t="shared" si="8"/>
        <v>367.19999999999993</v>
      </c>
      <c r="W41" s="230">
        <f t="shared" si="9"/>
        <v>110.15999999999998</v>
      </c>
      <c r="X41" s="231" t="str">
        <f t="shared" si="10"/>
        <v>--</v>
      </c>
      <c r="Y41" s="232" t="str">
        <f t="shared" si="11"/>
        <v>--</v>
      </c>
      <c r="Z41" s="233" t="str">
        <f t="shared" si="12"/>
        <v>--</v>
      </c>
      <c r="AA41" s="234" t="str">
        <f t="shared" si="13"/>
        <v>--</v>
      </c>
      <c r="AB41" s="351" t="s">
        <v>63</v>
      </c>
      <c r="AC41" s="235">
        <f t="shared" si="14"/>
        <v>477.3599999999999</v>
      </c>
      <c r="AD41" s="158"/>
    </row>
    <row r="42" spans="2:30" s="1" customFormat="1" ht="16.5" customHeight="1">
      <c r="B42" s="157"/>
      <c r="C42" s="208">
        <v>103</v>
      </c>
      <c r="D42" s="208">
        <v>217905</v>
      </c>
      <c r="E42" s="208">
        <v>2488</v>
      </c>
      <c r="F42" s="76" t="s">
        <v>113</v>
      </c>
      <c r="G42" s="78" t="s">
        <v>96</v>
      </c>
      <c r="H42" s="221">
        <v>15</v>
      </c>
      <c r="I42" s="222" t="s">
        <v>91</v>
      </c>
      <c r="J42" s="223">
        <f t="shared" si="0"/>
        <v>6.119999999999999</v>
      </c>
      <c r="K42" s="355">
        <v>40205.25555555556</v>
      </c>
      <c r="L42" s="355">
        <v>40205.27847222222</v>
      </c>
      <c r="M42" s="224">
        <f t="shared" si="1"/>
        <v>0.5499999998719431</v>
      </c>
      <c r="N42" s="225">
        <f t="shared" si="2"/>
        <v>33</v>
      </c>
      <c r="O42" s="226" t="s">
        <v>62</v>
      </c>
      <c r="P42" s="351" t="str">
        <f t="shared" si="3"/>
        <v>--</v>
      </c>
      <c r="Q42" s="352"/>
      <c r="R42" s="351" t="str">
        <f t="shared" si="4"/>
        <v>NO</v>
      </c>
      <c r="S42" s="104">
        <f t="shared" si="5"/>
        <v>0.6000000000000001</v>
      </c>
      <c r="T42" s="227">
        <f t="shared" si="6"/>
        <v>2.0196</v>
      </c>
      <c r="U42" s="228" t="str">
        <f t="shared" si="7"/>
        <v>--</v>
      </c>
      <c r="V42" s="229" t="str">
        <f t="shared" si="8"/>
        <v>--</v>
      </c>
      <c r="W42" s="230" t="str">
        <f t="shared" si="9"/>
        <v>--</v>
      </c>
      <c r="X42" s="231" t="str">
        <f t="shared" si="10"/>
        <v>--</v>
      </c>
      <c r="Y42" s="232" t="str">
        <f t="shared" si="11"/>
        <v>--</v>
      </c>
      <c r="Z42" s="233" t="str">
        <f t="shared" si="12"/>
        <v>--</v>
      </c>
      <c r="AA42" s="234" t="str">
        <f t="shared" si="13"/>
        <v>--</v>
      </c>
      <c r="AB42" s="351" t="s">
        <v>63</v>
      </c>
      <c r="AC42" s="235">
        <f t="shared" si="14"/>
        <v>2.0196</v>
      </c>
      <c r="AD42" s="158"/>
    </row>
    <row r="43" spans="2:30" s="1" customFormat="1" ht="16.5" customHeight="1" thickBot="1">
      <c r="B43" s="157"/>
      <c r="C43" s="261"/>
      <c r="D43" s="261"/>
      <c r="E43" s="261"/>
      <c r="F43" s="261"/>
      <c r="G43" s="261"/>
      <c r="H43" s="261"/>
      <c r="I43" s="261"/>
      <c r="J43" s="238"/>
      <c r="K43" s="344"/>
      <c r="L43" s="344"/>
      <c r="M43" s="237"/>
      <c r="N43" s="237"/>
      <c r="O43" s="261"/>
      <c r="P43" s="261"/>
      <c r="Q43" s="261"/>
      <c r="R43" s="261"/>
      <c r="S43" s="262"/>
      <c r="T43" s="263"/>
      <c r="U43" s="264"/>
      <c r="V43" s="265"/>
      <c r="W43" s="266"/>
      <c r="X43" s="267"/>
      <c r="Y43" s="268"/>
      <c r="Z43" s="269"/>
      <c r="AA43" s="270"/>
      <c r="AB43" s="261"/>
      <c r="AC43" s="239"/>
      <c r="AD43" s="158"/>
    </row>
    <row r="44" spans="2:30" s="1" customFormat="1" ht="16.5" customHeight="1" thickBot="1" thickTop="1">
      <c r="B44" s="157"/>
      <c r="C44" s="112" t="s">
        <v>47</v>
      </c>
      <c r="D44" s="357" t="s">
        <v>134</v>
      </c>
      <c r="E44" s="128"/>
      <c r="F44" s="1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0">
        <f>SUM(T20:T43)</f>
        <v>535.2796800000002</v>
      </c>
      <c r="U44" s="241">
        <f>SUM(U20:U43)</f>
        <v>0</v>
      </c>
      <c r="V44" s="242">
        <f>SUM(V20:V43)</f>
        <v>1713.6</v>
      </c>
      <c r="W44" s="243">
        <f>SUM(W22:W43)</f>
        <v>1932.6959999999997</v>
      </c>
      <c r="X44" s="244">
        <f>SUM(X20:X43)</f>
        <v>0</v>
      </c>
      <c r="Y44" s="244">
        <f>SUM(Y22:Y43)</f>
        <v>0</v>
      </c>
      <c r="Z44" s="245">
        <f>SUM(Z20:Z43)</f>
        <v>574.7904</v>
      </c>
      <c r="AA44" s="246">
        <f>SUM(AA22:AA43)</f>
        <v>0</v>
      </c>
      <c r="AB44" s="247"/>
      <c r="AC44" s="347">
        <f>ROUND(SUM(AC20:AC43),2)</f>
        <v>12940.65</v>
      </c>
      <c r="AD44" s="158"/>
    </row>
    <row r="45" spans="2:30" s="126" customFormat="1" ht="9.75" thickTop="1">
      <c r="B45" s="248"/>
      <c r="C45" s="128"/>
      <c r="D45" s="128"/>
      <c r="E45" s="128"/>
      <c r="F45" s="12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50"/>
      <c r="U45" s="250"/>
      <c r="V45" s="250"/>
      <c r="W45" s="250"/>
      <c r="X45" s="250"/>
      <c r="Y45" s="250"/>
      <c r="Z45" s="250"/>
      <c r="AA45" s="250"/>
      <c r="AB45" s="249"/>
      <c r="AC45" s="251"/>
      <c r="AD45" s="252"/>
    </row>
    <row r="46" spans="2:30" s="1" customFormat="1" ht="16.5" customHeight="1" thickBot="1"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5"/>
    </row>
    <row r="47" spans="2:30" ht="16.5" customHeight="1" thickTop="1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7"/>
    </row>
    <row r="48" ht="16.5" customHeight="1">
      <c r="F48" s="35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3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259"/>
    </row>
    <row r="2" spans="2:30" s="3" customFormat="1" ht="26.25">
      <c r="B2" s="15" t="str">
        <f>'TOT-0110'!B2</f>
        <v>ANEXO I al Memorandum D.T.E.E. N°  672  / 2016            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6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1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1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1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'TOT-0110'!B14</f>
        <v>Desde el 01 al 31 de enero de 2010</v>
      </c>
      <c r="C14" s="27"/>
      <c r="D14" s="27"/>
      <c r="E14" s="27"/>
      <c r="F14" s="166"/>
      <c r="G14" s="166"/>
      <c r="H14" s="166"/>
      <c r="I14" s="166"/>
      <c r="J14" s="166"/>
      <c r="K14" s="28"/>
      <c r="L14" s="28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260">
        <v>0.408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60*'TOT-0110'!B13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350">
        <v>3</v>
      </c>
      <c r="D18" s="350">
        <v>4</v>
      </c>
      <c r="E18" s="350">
        <v>5</v>
      </c>
      <c r="F18" s="350">
        <v>6</v>
      </c>
      <c r="G18" s="350">
        <v>7</v>
      </c>
      <c r="H18" s="350">
        <v>8</v>
      </c>
      <c r="I18" s="350">
        <v>9</v>
      </c>
      <c r="J18" s="350">
        <v>10</v>
      </c>
      <c r="K18" s="350">
        <v>11</v>
      </c>
      <c r="L18" s="350">
        <v>12</v>
      </c>
      <c r="M18" s="350">
        <v>13</v>
      </c>
      <c r="N18" s="350">
        <v>14</v>
      </c>
      <c r="O18" s="350">
        <v>15</v>
      </c>
      <c r="P18" s="350">
        <v>16</v>
      </c>
      <c r="Q18" s="350">
        <v>17</v>
      </c>
      <c r="R18" s="350">
        <v>18</v>
      </c>
      <c r="S18" s="350">
        <v>19</v>
      </c>
      <c r="T18" s="350">
        <v>20</v>
      </c>
      <c r="U18" s="350">
        <v>21</v>
      </c>
      <c r="V18" s="350">
        <v>22</v>
      </c>
      <c r="W18" s="350">
        <v>23</v>
      </c>
      <c r="X18" s="350">
        <v>24</v>
      </c>
      <c r="Y18" s="350">
        <v>25</v>
      </c>
      <c r="Z18" s="350">
        <v>26</v>
      </c>
      <c r="AA18" s="350">
        <v>27</v>
      </c>
      <c r="AB18" s="350">
        <v>28</v>
      </c>
      <c r="AC18" s="350">
        <v>29</v>
      </c>
      <c r="AD18" s="158"/>
    </row>
    <row r="19" spans="2:30" s="178" customFormat="1" ht="34.5" customHeight="1" thickBot="1" thickTop="1">
      <c r="B19" s="179"/>
      <c r="C19" s="348" t="s">
        <v>13</v>
      </c>
      <c r="D19" s="348" t="s">
        <v>59</v>
      </c>
      <c r="E19" s="348" t="s">
        <v>60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7" t="s">
        <v>46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342"/>
      <c r="L20" s="343"/>
      <c r="M20" s="199"/>
      <c r="N20" s="199"/>
      <c r="O20" s="197"/>
      <c r="P20" s="197"/>
      <c r="Q20" s="197"/>
      <c r="R20" s="197"/>
      <c r="S20" s="73"/>
      <c r="T20" s="71"/>
      <c r="U20" s="200"/>
      <c r="V20" s="201"/>
      <c r="W20" s="202"/>
      <c r="X20" s="203"/>
      <c r="Y20" s="204"/>
      <c r="Z20" s="205"/>
      <c r="AA20" s="206"/>
      <c r="AB20" s="197"/>
      <c r="AC20" s="207">
        <f>'T-01 (2)'!AC44</f>
        <v>12940.65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355"/>
      <c r="L21" s="356"/>
      <c r="M21" s="212"/>
      <c r="N21" s="212"/>
      <c r="O21" s="210"/>
      <c r="P21" s="210"/>
      <c r="Q21" s="210"/>
      <c r="R21" s="210"/>
      <c r="S21" s="87"/>
      <c r="T21" s="85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104</v>
      </c>
      <c r="D22" s="208">
        <v>217906</v>
      </c>
      <c r="E22" s="208">
        <v>2489</v>
      </c>
      <c r="F22" s="76" t="s">
        <v>113</v>
      </c>
      <c r="G22" s="78" t="s">
        <v>94</v>
      </c>
      <c r="H22" s="221">
        <v>15</v>
      </c>
      <c r="I22" s="222" t="s">
        <v>91</v>
      </c>
      <c r="J22" s="223">
        <f aca="true" t="shared" si="0" ref="J22:J41">H22*$I$16</f>
        <v>6.119999999999999</v>
      </c>
      <c r="K22" s="355">
        <v>40205.302777777775</v>
      </c>
      <c r="L22" s="355">
        <v>40205.32708333333</v>
      </c>
      <c r="M22" s="224">
        <f aca="true" t="shared" si="1" ref="M22:M41">IF(F22="","",(L22-K22)*24)</f>
        <v>0.5833333333139308</v>
      </c>
      <c r="N22" s="225">
        <f aca="true" t="shared" si="2" ref="N22:N41">IF(F22="","",ROUND((L22-K22)*24*60,0))</f>
        <v>35</v>
      </c>
      <c r="O22" s="226" t="s">
        <v>62</v>
      </c>
      <c r="P22" s="351" t="str">
        <f aca="true" t="shared" si="3" ref="P22:P41">IF(F22="","",IF(OR(O22="P",O22="RP"),"--","NO"))</f>
        <v>--</v>
      </c>
      <c r="Q22" s="352"/>
      <c r="R22" s="351" t="str">
        <f aca="true" t="shared" si="4" ref="R22:R41">IF(F22="","","NO")</f>
        <v>NO</v>
      </c>
      <c r="S22" s="104">
        <f aca="true" t="shared" si="5" ref="S22:S41">$I$17*IF(OR(O22="P",O22="RP"),0.1,1)*IF(R22="SI",1,0.1)</f>
        <v>0.6000000000000001</v>
      </c>
      <c r="T22" s="227">
        <f aca="true" t="shared" si="6" ref="T22:T41">IF(O22="P",J22*S22*ROUND(N22/60,2),"--")</f>
        <v>2.12976</v>
      </c>
      <c r="U22" s="228" t="str">
        <f aca="true" t="shared" si="7" ref="U22:U41">IF(O22="RP",J22*S22*ROUND(N22/60,2)*Q22/100,"--")</f>
        <v>--</v>
      </c>
      <c r="V22" s="229" t="str">
        <f aca="true" t="shared" si="8" ref="V22:V41">IF(AND(O22="F",P22="NO"),J22*S22,"--")</f>
        <v>--</v>
      </c>
      <c r="W22" s="230" t="str">
        <f aca="true" t="shared" si="9" ref="W22:W41">IF(O22="F",J22*S22*ROUND(N22/60,2),"--")</f>
        <v>--</v>
      </c>
      <c r="X22" s="231" t="str">
        <f aca="true" t="shared" si="10" ref="X22:X41">IF(AND(O22="R",P22="NO"),J22*S22*Q22/100,"--")</f>
        <v>--</v>
      </c>
      <c r="Y22" s="232" t="str">
        <f aca="true" t="shared" si="11" ref="Y22:Y41">IF(O22="R",J22*S22*ROUND(N22/60,2)*Q22/100,"--")</f>
        <v>--</v>
      </c>
      <c r="Z22" s="233" t="str">
        <f aca="true" t="shared" si="12" ref="Z22:Z41">IF(O22="RF",J22*S22*ROUND(N22/60,2),"--")</f>
        <v>--</v>
      </c>
      <c r="AA22" s="234" t="str">
        <f aca="true" t="shared" si="13" ref="AA22:AA41">IF(O22="RR",J22*S22*ROUND(N22/60,2)*Q22/100,"--")</f>
        <v>--</v>
      </c>
      <c r="AB22" s="351" t="s">
        <v>63</v>
      </c>
      <c r="AC22" s="235">
        <f aca="true" t="shared" si="14" ref="AC22:AC41">IF(F22="","",SUM(T22:AA22)*IF(AB22="SI",1,2)*IF(AND(Q22&lt;&gt;"",O22="RF"),Q22/100,1))</f>
        <v>2.12976</v>
      </c>
      <c r="AD22" s="236"/>
    </row>
    <row r="23" spans="2:30" s="1" customFormat="1" ht="16.5" customHeight="1">
      <c r="B23" s="157"/>
      <c r="C23" s="208">
        <v>105</v>
      </c>
      <c r="D23" s="208">
        <v>217910</v>
      </c>
      <c r="E23" s="208">
        <v>2246</v>
      </c>
      <c r="F23" s="76" t="s">
        <v>114</v>
      </c>
      <c r="G23" s="78" t="s">
        <v>96</v>
      </c>
      <c r="H23" s="221">
        <v>15</v>
      </c>
      <c r="I23" s="222" t="s">
        <v>91</v>
      </c>
      <c r="J23" s="223">
        <f t="shared" si="0"/>
        <v>6.119999999999999</v>
      </c>
      <c r="K23" s="355">
        <v>40205.69861111111</v>
      </c>
      <c r="L23" s="355">
        <v>40205.74930555555</v>
      </c>
      <c r="M23" s="224">
        <f t="shared" si="1"/>
        <v>1.21666666661622</v>
      </c>
      <c r="N23" s="225">
        <f t="shared" si="2"/>
        <v>73</v>
      </c>
      <c r="O23" s="226" t="s">
        <v>115</v>
      </c>
      <c r="P23" s="351" t="str">
        <f t="shared" si="3"/>
        <v>NO</v>
      </c>
      <c r="Q23" s="352">
        <v>40</v>
      </c>
      <c r="R23" s="351" t="str">
        <f t="shared" si="4"/>
        <v>NO</v>
      </c>
      <c r="S23" s="104">
        <f t="shared" si="5"/>
        <v>6</v>
      </c>
      <c r="T23" s="227" t="str">
        <f t="shared" si="6"/>
        <v>--</v>
      </c>
      <c r="U23" s="228" t="str">
        <f t="shared" si="7"/>
        <v>--</v>
      </c>
      <c r="V23" s="229" t="str">
        <f t="shared" si="8"/>
        <v>--</v>
      </c>
      <c r="W23" s="230" t="str">
        <f t="shared" si="9"/>
        <v>--</v>
      </c>
      <c r="X23" s="231">
        <f t="shared" si="10"/>
        <v>14.687999999999999</v>
      </c>
      <c r="Y23" s="232">
        <f t="shared" si="11"/>
        <v>17.91936</v>
      </c>
      <c r="Z23" s="233" t="str">
        <f t="shared" si="12"/>
        <v>--</v>
      </c>
      <c r="AA23" s="234" t="str">
        <f t="shared" si="13"/>
        <v>--</v>
      </c>
      <c r="AB23" s="351" t="s">
        <v>63</v>
      </c>
      <c r="AC23" s="235">
        <f t="shared" si="14"/>
        <v>32.60736</v>
      </c>
      <c r="AD23" s="236"/>
    </row>
    <row r="24" spans="2:30" s="1" customFormat="1" ht="16.5" customHeight="1">
      <c r="B24" s="157"/>
      <c r="C24" s="208">
        <v>106</v>
      </c>
      <c r="D24" s="208">
        <v>217913</v>
      </c>
      <c r="E24" s="208">
        <v>3727</v>
      </c>
      <c r="F24" s="76" t="s">
        <v>116</v>
      </c>
      <c r="G24" s="78" t="s">
        <v>99</v>
      </c>
      <c r="H24" s="221">
        <v>30</v>
      </c>
      <c r="I24" s="222" t="s">
        <v>91</v>
      </c>
      <c r="J24" s="223">
        <f t="shared" si="0"/>
        <v>12.239999999999998</v>
      </c>
      <c r="K24" s="355">
        <v>40207.260416666664</v>
      </c>
      <c r="L24" s="355">
        <v>40207.36666666667</v>
      </c>
      <c r="M24" s="224">
        <f t="shared" si="1"/>
        <v>2.550000000104774</v>
      </c>
      <c r="N24" s="225">
        <f t="shared" si="2"/>
        <v>153</v>
      </c>
      <c r="O24" s="226" t="s">
        <v>62</v>
      </c>
      <c r="P24" s="351" t="str">
        <f t="shared" si="3"/>
        <v>--</v>
      </c>
      <c r="Q24" s="352"/>
      <c r="R24" s="351" t="str">
        <f t="shared" si="4"/>
        <v>NO</v>
      </c>
      <c r="S24" s="104">
        <f t="shared" si="5"/>
        <v>0.6000000000000001</v>
      </c>
      <c r="T24" s="227">
        <f t="shared" si="6"/>
        <v>18.7272</v>
      </c>
      <c r="U24" s="228" t="str">
        <f t="shared" si="7"/>
        <v>--</v>
      </c>
      <c r="V24" s="229" t="str">
        <f t="shared" si="8"/>
        <v>--</v>
      </c>
      <c r="W24" s="230" t="str">
        <f t="shared" si="9"/>
        <v>--</v>
      </c>
      <c r="X24" s="231" t="str">
        <f t="shared" si="10"/>
        <v>--</v>
      </c>
      <c r="Y24" s="232" t="str">
        <f t="shared" si="11"/>
        <v>--</v>
      </c>
      <c r="Z24" s="233" t="str">
        <f t="shared" si="12"/>
        <v>--</v>
      </c>
      <c r="AA24" s="234" t="str">
        <f t="shared" si="13"/>
        <v>--</v>
      </c>
      <c r="AB24" s="351" t="s">
        <v>63</v>
      </c>
      <c r="AC24" s="235">
        <f t="shared" si="14"/>
        <v>18.7272</v>
      </c>
      <c r="AD24" s="158"/>
    </row>
    <row r="25" spans="2:30" s="1" customFormat="1" ht="16.5" customHeight="1">
      <c r="B25" s="157"/>
      <c r="C25" s="208">
        <v>107</v>
      </c>
      <c r="D25" s="208">
        <v>217916</v>
      </c>
      <c r="E25" s="208">
        <v>3086</v>
      </c>
      <c r="F25" s="76" t="s">
        <v>102</v>
      </c>
      <c r="G25" s="78" t="s">
        <v>90</v>
      </c>
      <c r="H25" s="221">
        <v>10</v>
      </c>
      <c r="I25" s="222" t="s">
        <v>91</v>
      </c>
      <c r="J25" s="223">
        <f t="shared" si="0"/>
        <v>4.08</v>
      </c>
      <c r="K25" s="355">
        <v>40207.268055555556</v>
      </c>
      <c r="L25" s="355">
        <v>40207.5875</v>
      </c>
      <c r="M25" s="224">
        <f t="shared" si="1"/>
        <v>7.666666666686069</v>
      </c>
      <c r="N25" s="225">
        <f t="shared" si="2"/>
        <v>460</v>
      </c>
      <c r="O25" s="226" t="s">
        <v>62</v>
      </c>
      <c r="P25" s="351" t="str">
        <f t="shared" si="3"/>
        <v>--</v>
      </c>
      <c r="Q25" s="352"/>
      <c r="R25" s="351" t="str">
        <f t="shared" si="4"/>
        <v>NO</v>
      </c>
      <c r="S25" s="104">
        <f t="shared" si="5"/>
        <v>0.6000000000000001</v>
      </c>
      <c r="T25" s="227">
        <f t="shared" si="6"/>
        <v>18.776160000000004</v>
      </c>
      <c r="U25" s="228" t="str">
        <f t="shared" si="7"/>
        <v>--</v>
      </c>
      <c r="V25" s="229" t="str">
        <f t="shared" si="8"/>
        <v>--</v>
      </c>
      <c r="W25" s="230" t="str">
        <f t="shared" si="9"/>
        <v>--</v>
      </c>
      <c r="X25" s="231" t="str">
        <f t="shared" si="10"/>
        <v>--</v>
      </c>
      <c r="Y25" s="232" t="str">
        <f t="shared" si="11"/>
        <v>--</v>
      </c>
      <c r="Z25" s="233" t="str">
        <f t="shared" si="12"/>
        <v>--</v>
      </c>
      <c r="AA25" s="234" t="str">
        <f t="shared" si="13"/>
        <v>--</v>
      </c>
      <c r="AB25" s="351" t="s">
        <v>63</v>
      </c>
      <c r="AC25" s="235">
        <f t="shared" si="14"/>
        <v>18.776160000000004</v>
      </c>
      <c r="AD25" s="158"/>
    </row>
    <row r="26" spans="2:30" s="1" customFormat="1" ht="16.5" customHeight="1">
      <c r="B26" s="157"/>
      <c r="C26" s="208">
        <v>108</v>
      </c>
      <c r="D26" s="208">
        <v>217918</v>
      </c>
      <c r="E26" s="208">
        <v>2363</v>
      </c>
      <c r="F26" s="76" t="s">
        <v>117</v>
      </c>
      <c r="G26" s="78" t="s">
        <v>96</v>
      </c>
      <c r="H26" s="221">
        <v>15</v>
      </c>
      <c r="I26" s="222" t="s">
        <v>91</v>
      </c>
      <c r="J26" s="223">
        <f t="shared" si="0"/>
        <v>6.119999999999999</v>
      </c>
      <c r="K26" s="355">
        <v>40207.754166666666</v>
      </c>
      <c r="L26" s="355">
        <v>40207.763194444444</v>
      </c>
      <c r="M26" s="224">
        <f t="shared" si="1"/>
        <v>0.2166666666744277</v>
      </c>
      <c r="N26" s="225">
        <f t="shared" si="2"/>
        <v>13</v>
      </c>
      <c r="O26" s="226" t="s">
        <v>115</v>
      </c>
      <c r="P26" s="351" t="str">
        <f t="shared" si="3"/>
        <v>NO</v>
      </c>
      <c r="Q26" s="352">
        <v>60</v>
      </c>
      <c r="R26" s="351" t="s">
        <v>63</v>
      </c>
      <c r="S26" s="104">
        <f t="shared" si="5"/>
        <v>60</v>
      </c>
      <c r="T26" s="227" t="str">
        <f t="shared" si="6"/>
        <v>--</v>
      </c>
      <c r="U26" s="228" t="str">
        <f t="shared" si="7"/>
        <v>--</v>
      </c>
      <c r="V26" s="229" t="str">
        <f t="shared" si="8"/>
        <v>--</v>
      </c>
      <c r="W26" s="230" t="str">
        <f t="shared" si="9"/>
        <v>--</v>
      </c>
      <c r="X26" s="231">
        <f t="shared" si="10"/>
        <v>220.31999999999996</v>
      </c>
      <c r="Y26" s="232">
        <f t="shared" si="11"/>
        <v>48.47039999999999</v>
      </c>
      <c r="Z26" s="233" t="str">
        <f t="shared" si="12"/>
        <v>--</v>
      </c>
      <c r="AA26" s="234" t="str">
        <f t="shared" si="13"/>
        <v>--</v>
      </c>
      <c r="AB26" s="351" t="s">
        <v>63</v>
      </c>
      <c r="AC26" s="235">
        <f t="shared" si="14"/>
        <v>268.7904</v>
      </c>
      <c r="AD26" s="158"/>
    </row>
    <row r="27" spans="2:30" s="1" customFormat="1" ht="16.5" customHeight="1">
      <c r="B27" s="157"/>
      <c r="C27" s="208">
        <v>109</v>
      </c>
      <c r="D27" s="208">
        <v>217923</v>
      </c>
      <c r="E27" s="208">
        <v>2325</v>
      </c>
      <c r="F27" s="76" t="s">
        <v>118</v>
      </c>
      <c r="G27" s="78" t="s">
        <v>90</v>
      </c>
      <c r="H27" s="221">
        <v>5</v>
      </c>
      <c r="I27" s="222" t="s">
        <v>119</v>
      </c>
      <c r="J27" s="223">
        <f t="shared" si="0"/>
        <v>2.04</v>
      </c>
      <c r="K27" s="355">
        <v>40207.7625</v>
      </c>
      <c r="L27" s="355">
        <v>40207.79861111111</v>
      </c>
      <c r="M27" s="224">
        <f t="shared" si="1"/>
        <v>0.8666666666977108</v>
      </c>
      <c r="N27" s="225">
        <f t="shared" si="2"/>
        <v>52</v>
      </c>
      <c r="O27" s="226" t="s">
        <v>64</v>
      </c>
      <c r="P27" s="351" t="str">
        <f t="shared" si="3"/>
        <v>NO</v>
      </c>
      <c r="Q27" s="352"/>
      <c r="R27" s="351" t="s">
        <v>63</v>
      </c>
      <c r="S27" s="104">
        <f t="shared" si="5"/>
        <v>60</v>
      </c>
      <c r="T27" s="227" t="str">
        <f t="shared" si="6"/>
        <v>--</v>
      </c>
      <c r="U27" s="228" t="str">
        <f t="shared" si="7"/>
        <v>--</v>
      </c>
      <c r="V27" s="229">
        <f t="shared" si="8"/>
        <v>122.4</v>
      </c>
      <c r="W27" s="230">
        <f t="shared" si="9"/>
        <v>106.488</v>
      </c>
      <c r="X27" s="231" t="str">
        <f t="shared" si="10"/>
        <v>--</v>
      </c>
      <c r="Y27" s="232" t="str">
        <f t="shared" si="11"/>
        <v>--</v>
      </c>
      <c r="Z27" s="233" t="str">
        <f t="shared" si="12"/>
        <v>--</v>
      </c>
      <c r="AA27" s="234" t="str">
        <f t="shared" si="13"/>
        <v>--</v>
      </c>
      <c r="AB27" s="351" t="s">
        <v>63</v>
      </c>
      <c r="AC27" s="235">
        <f t="shared" si="14"/>
        <v>228.888</v>
      </c>
      <c r="AD27" s="158"/>
    </row>
    <row r="28" spans="2:30" s="1" customFormat="1" ht="16.5" customHeight="1">
      <c r="B28" s="157"/>
      <c r="C28" s="208">
        <v>110</v>
      </c>
      <c r="D28" s="208">
        <v>217927</v>
      </c>
      <c r="E28" s="208">
        <v>4679</v>
      </c>
      <c r="F28" s="76" t="s">
        <v>120</v>
      </c>
      <c r="G28" s="78" t="s">
        <v>96</v>
      </c>
      <c r="H28" s="221">
        <v>30</v>
      </c>
      <c r="I28" s="222" t="s">
        <v>91</v>
      </c>
      <c r="J28" s="223">
        <f t="shared" si="0"/>
        <v>12.239999999999998</v>
      </c>
      <c r="K28" s="355">
        <v>40208.14375</v>
      </c>
      <c r="L28" s="355">
        <v>40208.18958333333</v>
      </c>
      <c r="M28" s="224">
        <f t="shared" si="1"/>
        <v>1.0999999999185093</v>
      </c>
      <c r="N28" s="225">
        <f t="shared" si="2"/>
        <v>66</v>
      </c>
      <c r="O28" s="226" t="s">
        <v>115</v>
      </c>
      <c r="P28" s="351" t="str">
        <f t="shared" si="3"/>
        <v>NO</v>
      </c>
      <c r="Q28" s="352">
        <v>40</v>
      </c>
      <c r="R28" s="351" t="s">
        <v>63</v>
      </c>
      <c r="S28" s="104">
        <f t="shared" si="5"/>
        <v>60</v>
      </c>
      <c r="T28" s="227" t="str">
        <f t="shared" si="6"/>
        <v>--</v>
      </c>
      <c r="U28" s="228" t="str">
        <f t="shared" si="7"/>
        <v>--</v>
      </c>
      <c r="V28" s="229" t="str">
        <f t="shared" si="8"/>
        <v>--</v>
      </c>
      <c r="W28" s="230" t="str">
        <f t="shared" si="9"/>
        <v>--</v>
      </c>
      <c r="X28" s="231">
        <f t="shared" si="10"/>
        <v>293.75999999999993</v>
      </c>
      <c r="Y28" s="232">
        <f t="shared" si="11"/>
        <v>323.13599999999997</v>
      </c>
      <c r="Z28" s="233" t="str">
        <f t="shared" si="12"/>
        <v>--</v>
      </c>
      <c r="AA28" s="234" t="str">
        <f t="shared" si="13"/>
        <v>--</v>
      </c>
      <c r="AB28" s="351" t="s">
        <v>63</v>
      </c>
      <c r="AC28" s="235">
        <f t="shared" si="14"/>
        <v>616.896</v>
      </c>
      <c r="AD28" s="158"/>
    </row>
    <row r="29" spans="2:30" s="1" customFormat="1" ht="16.5" customHeight="1">
      <c r="B29" s="157"/>
      <c r="C29" s="208"/>
      <c r="D29" s="208"/>
      <c r="E29" s="208"/>
      <c r="F29" s="76"/>
      <c r="G29" s="78"/>
      <c r="H29" s="221"/>
      <c r="I29" s="222"/>
      <c r="J29" s="223">
        <f t="shared" si="0"/>
        <v>0</v>
      </c>
      <c r="K29" s="355"/>
      <c r="L29" s="355"/>
      <c r="M29" s="224">
        <f t="shared" si="1"/>
      </c>
      <c r="N29" s="225">
        <f t="shared" si="2"/>
      </c>
      <c r="O29" s="226"/>
      <c r="P29" s="351">
        <f t="shared" si="3"/>
      </c>
      <c r="Q29" s="352">
        <f aca="true" t="shared" si="15" ref="Q29:Q41">IF(F29="","","--")</f>
      </c>
      <c r="R29" s="351">
        <f t="shared" si="4"/>
      </c>
      <c r="S29" s="104">
        <f t="shared" si="5"/>
        <v>6</v>
      </c>
      <c r="T29" s="227" t="str">
        <f t="shared" si="6"/>
        <v>--</v>
      </c>
      <c r="U29" s="228" t="str">
        <f t="shared" si="7"/>
        <v>--</v>
      </c>
      <c r="V29" s="229" t="str">
        <f t="shared" si="8"/>
        <v>--</v>
      </c>
      <c r="W29" s="230" t="str">
        <f t="shared" si="9"/>
        <v>--</v>
      </c>
      <c r="X29" s="231" t="str">
        <f t="shared" si="10"/>
        <v>--</v>
      </c>
      <c r="Y29" s="232" t="str">
        <f t="shared" si="11"/>
        <v>--</v>
      </c>
      <c r="Z29" s="233" t="str">
        <f t="shared" si="12"/>
        <v>--</v>
      </c>
      <c r="AA29" s="234" t="str">
        <f t="shared" si="13"/>
        <v>--</v>
      </c>
      <c r="AB29" s="351">
        <f aca="true" t="shared" si="16" ref="AB29:AB41">IF(F29="","","SI")</f>
      </c>
      <c r="AC29" s="235">
        <f t="shared" si="14"/>
      </c>
      <c r="AD29" s="158"/>
    </row>
    <row r="30" spans="2:30" s="1" customFormat="1" ht="16.5" customHeight="1">
      <c r="B30" s="157"/>
      <c r="C30" s="208"/>
      <c r="D30" s="208"/>
      <c r="E30" s="208"/>
      <c r="F30" s="76"/>
      <c r="G30" s="78"/>
      <c r="H30" s="221"/>
      <c r="I30" s="222"/>
      <c r="J30" s="223">
        <f t="shared" si="0"/>
        <v>0</v>
      </c>
      <c r="K30" s="355"/>
      <c r="L30" s="355"/>
      <c r="M30" s="224">
        <f t="shared" si="1"/>
      </c>
      <c r="N30" s="225">
        <f t="shared" si="2"/>
      </c>
      <c r="O30" s="226"/>
      <c r="P30" s="351">
        <f t="shared" si="3"/>
      </c>
      <c r="Q30" s="352">
        <f t="shared" si="15"/>
      </c>
      <c r="R30" s="351">
        <f t="shared" si="4"/>
      </c>
      <c r="S30" s="104">
        <f t="shared" si="5"/>
        <v>6</v>
      </c>
      <c r="T30" s="227" t="str">
        <f t="shared" si="6"/>
        <v>--</v>
      </c>
      <c r="U30" s="228" t="str">
        <f t="shared" si="7"/>
        <v>--</v>
      </c>
      <c r="V30" s="229" t="str">
        <f t="shared" si="8"/>
        <v>--</v>
      </c>
      <c r="W30" s="230" t="str">
        <f t="shared" si="9"/>
        <v>--</v>
      </c>
      <c r="X30" s="231" t="str">
        <f t="shared" si="10"/>
        <v>--</v>
      </c>
      <c r="Y30" s="232" t="str">
        <f t="shared" si="11"/>
        <v>--</v>
      </c>
      <c r="Z30" s="233" t="str">
        <f t="shared" si="12"/>
        <v>--</v>
      </c>
      <c r="AA30" s="234" t="str">
        <f t="shared" si="13"/>
        <v>--</v>
      </c>
      <c r="AB30" s="351">
        <f t="shared" si="16"/>
      </c>
      <c r="AC30" s="235">
        <f t="shared" si="14"/>
      </c>
      <c r="AD30" s="158"/>
    </row>
    <row r="31" spans="2:30" s="1" customFormat="1" ht="16.5" customHeight="1">
      <c r="B31" s="157"/>
      <c r="C31" s="208"/>
      <c r="D31" s="208"/>
      <c r="E31" s="208"/>
      <c r="F31" s="76"/>
      <c r="G31" s="78"/>
      <c r="H31" s="221"/>
      <c r="I31" s="222"/>
      <c r="J31" s="223">
        <f t="shared" si="0"/>
        <v>0</v>
      </c>
      <c r="K31" s="355"/>
      <c r="L31" s="355"/>
      <c r="M31" s="224">
        <f t="shared" si="1"/>
      </c>
      <c r="N31" s="225">
        <f t="shared" si="2"/>
      </c>
      <c r="O31" s="226"/>
      <c r="P31" s="351">
        <f t="shared" si="3"/>
      </c>
      <c r="Q31" s="352">
        <f t="shared" si="15"/>
      </c>
      <c r="R31" s="351">
        <f t="shared" si="4"/>
      </c>
      <c r="S31" s="104">
        <f t="shared" si="5"/>
        <v>6</v>
      </c>
      <c r="T31" s="227" t="str">
        <f t="shared" si="6"/>
        <v>--</v>
      </c>
      <c r="U31" s="228" t="str">
        <f t="shared" si="7"/>
        <v>--</v>
      </c>
      <c r="V31" s="229" t="str">
        <f t="shared" si="8"/>
        <v>--</v>
      </c>
      <c r="W31" s="230" t="str">
        <f t="shared" si="9"/>
        <v>--</v>
      </c>
      <c r="X31" s="231" t="str">
        <f t="shared" si="10"/>
        <v>--</v>
      </c>
      <c r="Y31" s="232" t="str">
        <f t="shared" si="11"/>
        <v>--</v>
      </c>
      <c r="Z31" s="233" t="str">
        <f t="shared" si="12"/>
        <v>--</v>
      </c>
      <c r="AA31" s="234" t="str">
        <f t="shared" si="13"/>
        <v>--</v>
      </c>
      <c r="AB31" s="351">
        <f t="shared" si="16"/>
      </c>
      <c r="AC31" s="235">
        <f t="shared" si="14"/>
      </c>
      <c r="AD31" s="158"/>
    </row>
    <row r="32" spans="2:30" s="1" customFormat="1" ht="16.5" customHeight="1">
      <c r="B32" s="157"/>
      <c r="C32" s="208"/>
      <c r="D32" s="208"/>
      <c r="E32" s="208"/>
      <c r="F32" s="76"/>
      <c r="G32" s="78"/>
      <c r="H32" s="221"/>
      <c r="I32" s="222"/>
      <c r="J32" s="223">
        <f t="shared" si="0"/>
        <v>0</v>
      </c>
      <c r="K32" s="355"/>
      <c r="L32" s="355"/>
      <c r="M32" s="224">
        <f t="shared" si="1"/>
      </c>
      <c r="N32" s="225">
        <f t="shared" si="2"/>
      </c>
      <c r="O32" s="226"/>
      <c r="P32" s="351">
        <f t="shared" si="3"/>
      </c>
      <c r="Q32" s="352">
        <f t="shared" si="15"/>
      </c>
      <c r="R32" s="351">
        <f t="shared" si="4"/>
      </c>
      <c r="S32" s="104">
        <f t="shared" si="5"/>
        <v>6</v>
      </c>
      <c r="T32" s="227" t="str">
        <f t="shared" si="6"/>
        <v>--</v>
      </c>
      <c r="U32" s="228" t="str">
        <f t="shared" si="7"/>
        <v>--</v>
      </c>
      <c r="V32" s="229" t="str">
        <f t="shared" si="8"/>
        <v>--</v>
      </c>
      <c r="W32" s="230" t="str">
        <f t="shared" si="9"/>
        <v>--</v>
      </c>
      <c r="X32" s="231" t="str">
        <f t="shared" si="10"/>
        <v>--</v>
      </c>
      <c r="Y32" s="232" t="str">
        <f t="shared" si="11"/>
        <v>--</v>
      </c>
      <c r="Z32" s="233" t="str">
        <f t="shared" si="12"/>
        <v>--</v>
      </c>
      <c r="AA32" s="234" t="str">
        <f t="shared" si="13"/>
        <v>--</v>
      </c>
      <c r="AB32" s="351">
        <f t="shared" si="16"/>
      </c>
      <c r="AC32" s="235">
        <f t="shared" si="14"/>
      </c>
      <c r="AD32" s="158"/>
    </row>
    <row r="33" spans="2:30" s="1" customFormat="1" ht="16.5" customHeight="1">
      <c r="B33" s="157"/>
      <c r="C33" s="208"/>
      <c r="D33" s="208"/>
      <c r="E33" s="208"/>
      <c r="F33" s="76"/>
      <c r="G33" s="78"/>
      <c r="H33" s="221"/>
      <c r="I33" s="222"/>
      <c r="J33" s="223">
        <f t="shared" si="0"/>
        <v>0</v>
      </c>
      <c r="K33" s="355"/>
      <c r="L33" s="355"/>
      <c r="M33" s="224">
        <f t="shared" si="1"/>
      </c>
      <c r="N33" s="225">
        <f t="shared" si="2"/>
      </c>
      <c r="O33" s="226"/>
      <c r="P33" s="351">
        <f t="shared" si="3"/>
      </c>
      <c r="Q33" s="352">
        <f t="shared" si="15"/>
      </c>
      <c r="R33" s="351">
        <f t="shared" si="4"/>
      </c>
      <c r="S33" s="104">
        <f t="shared" si="5"/>
        <v>6</v>
      </c>
      <c r="T33" s="227" t="str">
        <f t="shared" si="6"/>
        <v>--</v>
      </c>
      <c r="U33" s="228" t="str">
        <f t="shared" si="7"/>
        <v>--</v>
      </c>
      <c r="V33" s="229" t="str">
        <f t="shared" si="8"/>
        <v>--</v>
      </c>
      <c r="W33" s="230" t="str">
        <f t="shared" si="9"/>
        <v>--</v>
      </c>
      <c r="X33" s="231" t="str">
        <f t="shared" si="10"/>
        <v>--</v>
      </c>
      <c r="Y33" s="232" t="str">
        <f t="shared" si="11"/>
        <v>--</v>
      </c>
      <c r="Z33" s="233" t="str">
        <f t="shared" si="12"/>
        <v>--</v>
      </c>
      <c r="AA33" s="234" t="str">
        <f t="shared" si="13"/>
        <v>--</v>
      </c>
      <c r="AB33" s="351">
        <f t="shared" si="16"/>
      </c>
      <c r="AC33" s="235">
        <f t="shared" si="14"/>
      </c>
      <c r="AD33" s="158"/>
    </row>
    <row r="34" spans="2:30" s="1" customFormat="1" ht="16.5" customHeight="1">
      <c r="B34" s="157"/>
      <c r="C34" s="208"/>
      <c r="D34" s="208"/>
      <c r="E34" s="208"/>
      <c r="F34" s="76"/>
      <c r="G34" s="78"/>
      <c r="H34" s="221"/>
      <c r="I34" s="222"/>
      <c r="J34" s="223">
        <f t="shared" si="0"/>
        <v>0</v>
      </c>
      <c r="K34" s="355"/>
      <c r="L34" s="355"/>
      <c r="M34" s="224">
        <f t="shared" si="1"/>
      </c>
      <c r="N34" s="225">
        <f t="shared" si="2"/>
      </c>
      <c r="O34" s="226"/>
      <c r="P34" s="351">
        <f t="shared" si="3"/>
      </c>
      <c r="Q34" s="352">
        <f t="shared" si="15"/>
      </c>
      <c r="R34" s="351">
        <f t="shared" si="4"/>
      </c>
      <c r="S34" s="104">
        <f t="shared" si="5"/>
        <v>6</v>
      </c>
      <c r="T34" s="227" t="str">
        <f t="shared" si="6"/>
        <v>--</v>
      </c>
      <c r="U34" s="228" t="str">
        <f t="shared" si="7"/>
        <v>--</v>
      </c>
      <c r="V34" s="229" t="str">
        <f t="shared" si="8"/>
        <v>--</v>
      </c>
      <c r="W34" s="230" t="str">
        <f t="shared" si="9"/>
        <v>--</v>
      </c>
      <c r="X34" s="231" t="str">
        <f t="shared" si="10"/>
        <v>--</v>
      </c>
      <c r="Y34" s="232" t="str">
        <f t="shared" si="11"/>
        <v>--</v>
      </c>
      <c r="Z34" s="233" t="str">
        <f t="shared" si="12"/>
        <v>--</v>
      </c>
      <c r="AA34" s="234" t="str">
        <f t="shared" si="13"/>
        <v>--</v>
      </c>
      <c r="AB34" s="351">
        <f t="shared" si="16"/>
      </c>
      <c r="AC34" s="235">
        <f t="shared" si="14"/>
      </c>
      <c r="AD34" s="158"/>
    </row>
    <row r="35" spans="2:30" s="1" customFormat="1" ht="16.5" customHeight="1">
      <c r="B35" s="157"/>
      <c r="C35" s="208"/>
      <c r="D35" s="208"/>
      <c r="E35" s="208"/>
      <c r="F35" s="76"/>
      <c r="G35" s="78"/>
      <c r="H35" s="221"/>
      <c r="I35" s="222"/>
      <c r="J35" s="223">
        <f t="shared" si="0"/>
        <v>0</v>
      </c>
      <c r="K35" s="355"/>
      <c r="L35" s="355"/>
      <c r="M35" s="224">
        <f t="shared" si="1"/>
      </c>
      <c r="N35" s="225">
        <f t="shared" si="2"/>
      </c>
      <c r="O35" s="226"/>
      <c r="P35" s="351">
        <f t="shared" si="3"/>
      </c>
      <c r="Q35" s="352">
        <f t="shared" si="15"/>
      </c>
      <c r="R35" s="351">
        <f t="shared" si="4"/>
      </c>
      <c r="S35" s="104">
        <f t="shared" si="5"/>
        <v>6</v>
      </c>
      <c r="T35" s="227" t="str">
        <f t="shared" si="6"/>
        <v>--</v>
      </c>
      <c r="U35" s="228" t="str">
        <f t="shared" si="7"/>
        <v>--</v>
      </c>
      <c r="V35" s="229" t="str">
        <f t="shared" si="8"/>
        <v>--</v>
      </c>
      <c r="W35" s="230" t="str">
        <f t="shared" si="9"/>
        <v>--</v>
      </c>
      <c r="X35" s="231" t="str">
        <f t="shared" si="10"/>
        <v>--</v>
      </c>
      <c r="Y35" s="232" t="str">
        <f t="shared" si="11"/>
        <v>--</v>
      </c>
      <c r="Z35" s="233" t="str">
        <f t="shared" si="12"/>
        <v>--</v>
      </c>
      <c r="AA35" s="234" t="str">
        <f t="shared" si="13"/>
        <v>--</v>
      </c>
      <c r="AB35" s="351">
        <f t="shared" si="16"/>
      </c>
      <c r="AC35" s="235">
        <f t="shared" si="14"/>
      </c>
      <c r="AD35" s="158"/>
    </row>
    <row r="36" spans="2:30" s="1" customFormat="1" ht="16.5" customHeight="1">
      <c r="B36" s="157"/>
      <c r="C36" s="208"/>
      <c r="D36" s="208"/>
      <c r="E36" s="208"/>
      <c r="F36" s="76"/>
      <c r="G36" s="78"/>
      <c r="H36" s="221"/>
      <c r="I36" s="222"/>
      <c r="J36" s="223">
        <f t="shared" si="0"/>
        <v>0</v>
      </c>
      <c r="K36" s="355"/>
      <c r="L36" s="355"/>
      <c r="M36" s="224">
        <f t="shared" si="1"/>
      </c>
      <c r="N36" s="225">
        <f t="shared" si="2"/>
      </c>
      <c r="O36" s="226"/>
      <c r="P36" s="351">
        <f t="shared" si="3"/>
      </c>
      <c r="Q36" s="352">
        <f t="shared" si="15"/>
      </c>
      <c r="R36" s="351">
        <f t="shared" si="4"/>
      </c>
      <c r="S36" s="104">
        <f t="shared" si="5"/>
        <v>6</v>
      </c>
      <c r="T36" s="227" t="str">
        <f t="shared" si="6"/>
        <v>--</v>
      </c>
      <c r="U36" s="228" t="str">
        <f t="shared" si="7"/>
        <v>--</v>
      </c>
      <c r="V36" s="229" t="str">
        <f t="shared" si="8"/>
        <v>--</v>
      </c>
      <c r="W36" s="230" t="str">
        <f t="shared" si="9"/>
        <v>--</v>
      </c>
      <c r="X36" s="231" t="str">
        <f t="shared" si="10"/>
        <v>--</v>
      </c>
      <c r="Y36" s="232" t="str">
        <f t="shared" si="11"/>
        <v>--</v>
      </c>
      <c r="Z36" s="233" t="str">
        <f t="shared" si="12"/>
        <v>--</v>
      </c>
      <c r="AA36" s="234" t="str">
        <f t="shared" si="13"/>
        <v>--</v>
      </c>
      <c r="AB36" s="351">
        <f t="shared" si="16"/>
      </c>
      <c r="AC36" s="235">
        <f t="shared" si="14"/>
      </c>
      <c r="AD36" s="158"/>
    </row>
    <row r="37" spans="2:30" s="1" customFormat="1" ht="16.5" customHeight="1">
      <c r="B37" s="157"/>
      <c r="C37" s="208"/>
      <c r="D37" s="208"/>
      <c r="E37" s="208"/>
      <c r="F37" s="76"/>
      <c r="G37" s="78"/>
      <c r="H37" s="221"/>
      <c r="I37" s="222"/>
      <c r="J37" s="223">
        <f t="shared" si="0"/>
        <v>0</v>
      </c>
      <c r="K37" s="355"/>
      <c r="L37" s="355"/>
      <c r="M37" s="224">
        <f t="shared" si="1"/>
      </c>
      <c r="N37" s="225">
        <f t="shared" si="2"/>
      </c>
      <c r="O37" s="226"/>
      <c r="P37" s="351">
        <f t="shared" si="3"/>
      </c>
      <c r="Q37" s="352">
        <f t="shared" si="15"/>
      </c>
      <c r="R37" s="351">
        <f t="shared" si="4"/>
      </c>
      <c r="S37" s="104">
        <f t="shared" si="5"/>
        <v>6</v>
      </c>
      <c r="T37" s="227" t="str">
        <f t="shared" si="6"/>
        <v>--</v>
      </c>
      <c r="U37" s="228" t="str">
        <f t="shared" si="7"/>
        <v>--</v>
      </c>
      <c r="V37" s="229" t="str">
        <f t="shared" si="8"/>
        <v>--</v>
      </c>
      <c r="W37" s="230" t="str">
        <f t="shared" si="9"/>
        <v>--</v>
      </c>
      <c r="X37" s="231" t="str">
        <f t="shared" si="10"/>
        <v>--</v>
      </c>
      <c r="Y37" s="232" t="str">
        <f t="shared" si="11"/>
        <v>--</v>
      </c>
      <c r="Z37" s="233" t="str">
        <f t="shared" si="12"/>
        <v>--</v>
      </c>
      <c r="AA37" s="234" t="str">
        <f t="shared" si="13"/>
        <v>--</v>
      </c>
      <c r="AB37" s="351">
        <f t="shared" si="16"/>
      </c>
      <c r="AC37" s="235">
        <f t="shared" si="14"/>
      </c>
      <c r="AD37" s="158"/>
    </row>
    <row r="38" spans="2:30" s="1" customFormat="1" ht="16.5" customHeight="1">
      <c r="B38" s="157"/>
      <c r="C38" s="208"/>
      <c r="D38" s="208"/>
      <c r="E38" s="208"/>
      <c r="F38" s="76"/>
      <c r="G38" s="78"/>
      <c r="H38" s="221"/>
      <c r="I38" s="222"/>
      <c r="J38" s="223">
        <f t="shared" si="0"/>
        <v>0</v>
      </c>
      <c r="K38" s="355"/>
      <c r="L38" s="355"/>
      <c r="M38" s="224">
        <f t="shared" si="1"/>
      </c>
      <c r="N38" s="225">
        <f t="shared" si="2"/>
      </c>
      <c r="O38" s="226"/>
      <c r="P38" s="351">
        <f t="shared" si="3"/>
      </c>
      <c r="Q38" s="352">
        <f t="shared" si="15"/>
      </c>
      <c r="R38" s="351">
        <f t="shared" si="4"/>
      </c>
      <c r="S38" s="104">
        <f t="shared" si="5"/>
        <v>6</v>
      </c>
      <c r="T38" s="227" t="str">
        <f t="shared" si="6"/>
        <v>--</v>
      </c>
      <c r="U38" s="228" t="str">
        <f t="shared" si="7"/>
        <v>--</v>
      </c>
      <c r="V38" s="229" t="str">
        <f t="shared" si="8"/>
        <v>--</v>
      </c>
      <c r="W38" s="230" t="str">
        <f t="shared" si="9"/>
        <v>--</v>
      </c>
      <c r="X38" s="231" t="str">
        <f t="shared" si="10"/>
        <v>--</v>
      </c>
      <c r="Y38" s="232" t="str">
        <f t="shared" si="11"/>
        <v>--</v>
      </c>
      <c r="Z38" s="233" t="str">
        <f t="shared" si="12"/>
        <v>--</v>
      </c>
      <c r="AA38" s="234" t="str">
        <f t="shared" si="13"/>
        <v>--</v>
      </c>
      <c r="AB38" s="351">
        <f t="shared" si="16"/>
      </c>
      <c r="AC38" s="235">
        <f t="shared" si="14"/>
      </c>
      <c r="AD38" s="158"/>
    </row>
    <row r="39" spans="2:30" s="1" customFormat="1" ht="16.5" customHeight="1">
      <c r="B39" s="157"/>
      <c r="C39" s="208"/>
      <c r="D39" s="208"/>
      <c r="E39" s="208"/>
      <c r="F39" s="76"/>
      <c r="G39" s="78"/>
      <c r="H39" s="221"/>
      <c r="I39" s="222"/>
      <c r="J39" s="223">
        <f t="shared" si="0"/>
        <v>0</v>
      </c>
      <c r="K39" s="355"/>
      <c r="L39" s="355"/>
      <c r="M39" s="224">
        <f t="shared" si="1"/>
      </c>
      <c r="N39" s="225">
        <f t="shared" si="2"/>
      </c>
      <c r="O39" s="226"/>
      <c r="P39" s="351">
        <f t="shared" si="3"/>
      </c>
      <c r="Q39" s="352">
        <f t="shared" si="15"/>
      </c>
      <c r="R39" s="351">
        <f t="shared" si="4"/>
      </c>
      <c r="S39" s="104">
        <f t="shared" si="5"/>
        <v>6</v>
      </c>
      <c r="T39" s="227" t="str">
        <f t="shared" si="6"/>
        <v>--</v>
      </c>
      <c r="U39" s="228" t="str">
        <f t="shared" si="7"/>
        <v>--</v>
      </c>
      <c r="V39" s="229" t="str">
        <f t="shared" si="8"/>
        <v>--</v>
      </c>
      <c r="W39" s="230" t="str">
        <f t="shared" si="9"/>
        <v>--</v>
      </c>
      <c r="X39" s="231" t="str">
        <f t="shared" si="10"/>
        <v>--</v>
      </c>
      <c r="Y39" s="232" t="str">
        <f t="shared" si="11"/>
        <v>--</v>
      </c>
      <c r="Z39" s="233" t="str">
        <f t="shared" si="12"/>
        <v>--</v>
      </c>
      <c r="AA39" s="234" t="str">
        <f t="shared" si="13"/>
        <v>--</v>
      </c>
      <c r="AB39" s="351">
        <f t="shared" si="16"/>
      </c>
      <c r="AC39" s="235">
        <f t="shared" si="14"/>
      </c>
      <c r="AD39" s="158"/>
    </row>
    <row r="40" spans="2:30" s="1" customFormat="1" ht="16.5" customHeight="1">
      <c r="B40" s="157"/>
      <c r="C40" s="208"/>
      <c r="D40" s="208"/>
      <c r="E40" s="208"/>
      <c r="F40" s="76"/>
      <c r="G40" s="78"/>
      <c r="H40" s="221"/>
      <c r="I40" s="222"/>
      <c r="J40" s="223">
        <f t="shared" si="0"/>
        <v>0</v>
      </c>
      <c r="K40" s="355"/>
      <c r="L40" s="355"/>
      <c r="M40" s="224">
        <f t="shared" si="1"/>
      </c>
      <c r="N40" s="225">
        <f t="shared" si="2"/>
      </c>
      <c r="O40" s="226"/>
      <c r="P40" s="351">
        <f t="shared" si="3"/>
      </c>
      <c r="Q40" s="352">
        <f t="shared" si="15"/>
      </c>
      <c r="R40" s="351">
        <f t="shared" si="4"/>
      </c>
      <c r="S40" s="104">
        <f t="shared" si="5"/>
        <v>6</v>
      </c>
      <c r="T40" s="227" t="str">
        <f t="shared" si="6"/>
        <v>--</v>
      </c>
      <c r="U40" s="228" t="str">
        <f t="shared" si="7"/>
        <v>--</v>
      </c>
      <c r="V40" s="229" t="str">
        <f t="shared" si="8"/>
        <v>--</v>
      </c>
      <c r="W40" s="230" t="str">
        <f t="shared" si="9"/>
        <v>--</v>
      </c>
      <c r="X40" s="231" t="str">
        <f t="shared" si="10"/>
        <v>--</v>
      </c>
      <c r="Y40" s="232" t="str">
        <f t="shared" si="11"/>
        <v>--</v>
      </c>
      <c r="Z40" s="233" t="str">
        <f t="shared" si="12"/>
        <v>--</v>
      </c>
      <c r="AA40" s="234" t="str">
        <f t="shared" si="13"/>
        <v>--</v>
      </c>
      <c r="AB40" s="351">
        <f t="shared" si="16"/>
      </c>
      <c r="AC40" s="235">
        <f t="shared" si="14"/>
      </c>
      <c r="AD40" s="158"/>
    </row>
    <row r="41" spans="2:30" s="1" customFormat="1" ht="16.5" customHeight="1">
      <c r="B41" s="157"/>
      <c r="C41" s="208"/>
      <c r="D41" s="208"/>
      <c r="E41" s="208"/>
      <c r="F41" s="76"/>
      <c r="G41" s="78"/>
      <c r="H41" s="221"/>
      <c r="I41" s="222"/>
      <c r="J41" s="223">
        <f t="shared" si="0"/>
        <v>0</v>
      </c>
      <c r="K41" s="355"/>
      <c r="L41" s="355"/>
      <c r="M41" s="224">
        <f t="shared" si="1"/>
      </c>
      <c r="N41" s="225">
        <f t="shared" si="2"/>
      </c>
      <c r="O41" s="226"/>
      <c r="P41" s="351">
        <f t="shared" si="3"/>
      </c>
      <c r="Q41" s="352">
        <f t="shared" si="15"/>
      </c>
      <c r="R41" s="351">
        <f t="shared" si="4"/>
      </c>
      <c r="S41" s="104">
        <f t="shared" si="5"/>
        <v>6</v>
      </c>
      <c r="T41" s="227" t="str">
        <f t="shared" si="6"/>
        <v>--</v>
      </c>
      <c r="U41" s="228" t="str">
        <f t="shared" si="7"/>
        <v>--</v>
      </c>
      <c r="V41" s="229" t="str">
        <f t="shared" si="8"/>
        <v>--</v>
      </c>
      <c r="W41" s="230" t="str">
        <f t="shared" si="9"/>
        <v>--</v>
      </c>
      <c r="X41" s="231" t="str">
        <f t="shared" si="10"/>
        <v>--</v>
      </c>
      <c r="Y41" s="232" t="str">
        <f t="shared" si="11"/>
        <v>--</v>
      </c>
      <c r="Z41" s="233" t="str">
        <f t="shared" si="12"/>
        <v>--</v>
      </c>
      <c r="AA41" s="234" t="str">
        <f t="shared" si="13"/>
        <v>--</v>
      </c>
      <c r="AB41" s="351">
        <f t="shared" si="16"/>
      </c>
      <c r="AC41" s="235">
        <f t="shared" si="14"/>
      </c>
      <c r="AD41" s="158"/>
    </row>
    <row r="42" spans="2:30" s="1" customFormat="1" ht="16.5" customHeight="1" thickBot="1">
      <c r="B42" s="157"/>
      <c r="C42" s="261"/>
      <c r="D42" s="261"/>
      <c r="E42" s="261"/>
      <c r="F42" s="261"/>
      <c r="G42" s="261"/>
      <c r="H42" s="261"/>
      <c r="I42" s="261"/>
      <c r="J42" s="238"/>
      <c r="K42" s="344"/>
      <c r="L42" s="344"/>
      <c r="M42" s="237"/>
      <c r="N42" s="237"/>
      <c r="O42" s="261"/>
      <c r="P42" s="261"/>
      <c r="Q42" s="261"/>
      <c r="R42" s="261"/>
      <c r="S42" s="262"/>
      <c r="T42" s="263"/>
      <c r="U42" s="264"/>
      <c r="V42" s="265"/>
      <c r="W42" s="266"/>
      <c r="X42" s="267"/>
      <c r="Y42" s="268"/>
      <c r="Z42" s="269"/>
      <c r="AA42" s="270"/>
      <c r="AB42" s="261"/>
      <c r="AC42" s="239"/>
      <c r="AD42" s="158"/>
    </row>
    <row r="43" spans="2:30" s="1" customFormat="1" ht="16.5" customHeight="1" thickBot="1" thickTop="1">
      <c r="B43" s="157"/>
      <c r="C43" s="112" t="s">
        <v>47</v>
      </c>
      <c r="D43" s="357" t="s">
        <v>136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0">
        <f>SUM(T20:T42)</f>
        <v>39.633120000000005</v>
      </c>
      <c r="U43" s="241">
        <f>SUM(U20:U42)</f>
        <v>0</v>
      </c>
      <c r="V43" s="242">
        <f>SUM(V20:V42)</f>
        <v>122.4</v>
      </c>
      <c r="W43" s="243">
        <f>SUM(W22:W42)</f>
        <v>106.488</v>
      </c>
      <c r="X43" s="244">
        <f>SUM(X20:X42)</f>
        <v>528.7679999999999</v>
      </c>
      <c r="Y43" s="244">
        <f>SUM(Y22:Y42)</f>
        <v>389.52576</v>
      </c>
      <c r="Z43" s="245">
        <f>SUM(Z20:Z42)</f>
        <v>0</v>
      </c>
      <c r="AA43" s="246">
        <f>SUM(AA22:AA42)</f>
        <v>0</v>
      </c>
      <c r="AB43" s="247"/>
      <c r="AC43" s="347">
        <f>ROUND(SUM(AC20:AC42),2)</f>
        <v>14127.46</v>
      </c>
      <c r="AD43" s="158"/>
    </row>
    <row r="44" spans="2:30" s="126" customFormat="1" ht="9.75" thickTop="1">
      <c r="B44" s="248"/>
      <c r="C44" s="128"/>
      <c r="D44" s="128"/>
      <c r="E44" s="128"/>
      <c r="F44" s="12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50"/>
      <c r="U44" s="250"/>
      <c r="V44" s="250"/>
      <c r="W44" s="250"/>
      <c r="X44" s="250"/>
      <c r="Y44" s="250"/>
      <c r="Z44" s="250"/>
      <c r="AA44" s="250"/>
      <c r="AB44" s="249"/>
      <c r="AC44" s="251"/>
      <c r="AD44" s="252"/>
    </row>
    <row r="45" spans="2:30" s="1" customFormat="1" ht="16.5" customHeight="1" thickBot="1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5"/>
    </row>
    <row r="46" spans="2:30" ht="16.5" customHeight="1" thickTop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Oyola</cp:lastModifiedBy>
  <cp:lastPrinted>2011-08-10T14:54:33Z</cp:lastPrinted>
  <dcterms:created xsi:type="dcterms:W3CDTF">1998-09-02T21:36:20Z</dcterms:created>
  <dcterms:modified xsi:type="dcterms:W3CDTF">2016-07-06T17:36:49Z</dcterms:modified>
  <cp:category/>
  <cp:version/>
  <cp:contentType/>
  <cp:contentStatus/>
</cp:coreProperties>
</file>