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65461" windowWidth="5895" windowHeight="7065" tabRatio="940" activeTab="0"/>
  </bookViews>
  <sheets>
    <sheet name="TOT-0816" sheetId="1" r:id="rId1"/>
    <sheet name="LI-08 (1)" sheetId="2" r:id="rId2"/>
    <sheet name="TASA FALLA" sheetId="3" r:id="rId3"/>
    <sheet name="DATO" sheetId="4" r:id="rId4"/>
  </sheets>
  <externalReferences>
    <externalReference r:id="rId7"/>
    <externalReference r:id="rId8"/>
  </externalReferences>
  <definedNames>
    <definedName name="_xlnm.Print_Area" localSheetId="1">'LI-08 (1)'!$A$1:$AC$49</definedName>
    <definedName name="_xlnm.Print_Area" localSheetId="2">'TASA FALLA'!$A$1:$U$51</definedName>
    <definedName name="DD" localSheetId="2">'TASA FALLA'!DD</definedName>
    <definedName name="DD">[0]!DD</definedName>
    <definedName name="DDD" localSheetId="2">'TASA FALLA'!DDD</definedName>
    <definedName name="DDD">[0]!DDD</definedName>
    <definedName name="DISTROCUYO" localSheetId="2">'TASA FALLA'!DISTROCUYO</definedName>
    <definedName name="DISTROCUYO">[0]!DISTROCUYO</definedName>
    <definedName name="INICIO" localSheetId="2">'TASA FALLA'!INICIO</definedName>
    <definedName name="INICIO">[0]!INICIO</definedName>
    <definedName name="INICIOTI" localSheetId="2">'TASA FALLA'!INICIOTI</definedName>
    <definedName name="INICIOTI">[0]!INICIOTI</definedName>
    <definedName name="LINEAS" localSheetId="2">'TASA FALLA'!LINEAS</definedName>
    <definedName name="LINEAS">[0]!LINEAS</definedName>
    <definedName name="LINEASTI" localSheetId="2">'TASA FALLA'!LINEASTI</definedName>
    <definedName name="LINEASTI">[0]!LINEASTI</definedName>
    <definedName name="NAME_L" localSheetId="2">'TASA FALLA'!NAME_L</definedName>
    <definedName name="NAME_L">[0]!NAME_L</definedName>
    <definedName name="NAME_L_TI" localSheetId="2">'TASA FALLA'!NAME_L_TI</definedName>
    <definedName name="NAME_L_TI">[0]!NAME_L_TI</definedName>
    <definedName name="QINOR">#REF!</definedName>
    <definedName name="QIPEN" localSheetId="2">#REF!</definedName>
    <definedName name="SS" localSheetId="2">'TASA FALLA'!SS</definedName>
    <definedName name="SS">[0]!SS</definedName>
    <definedName name="TRANSNOA" localSheetId="2">'TASA FALLA'!TRANSNOA</definedName>
    <definedName name="TRANSNOA">[0]!TRANSNOA</definedName>
    <definedName name="TRANSPA" localSheetId="2">'TASA FALLA'!TRANSPA</definedName>
    <definedName name="TRANSPA">[0]!TRANSPA</definedName>
  </definedNames>
  <calcPr calcMode="manual" fullCalcOnLoad="1"/>
</workbook>
</file>

<file path=xl/sharedStrings.xml><?xml version="1.0" encoding="utf-8"?>
<sst xmlns="http://schemas.openxmlformats.org/spreadsheetml/2006/main" count="166" uniqueCount="130">
  <si>
    <t>PRESTADOR DE LA FUNCIÓN TÉCNICA DE TRANSPORTE DE ENERGÍA ELÉCTRICA</t>
  </si>
  <si>
    <t>TIPO</t>
  </si>
  <si>
    <t xml:space="preserve">ENTE NACIONAL REGULADOR </t>
  </si>
  <si>
    <t>DE LA ELECTRICIDAD</t>
  </si>
  <si>
    <t>1.-</t>
  </si>
  <si>
    <t>LÍNEAS</t>
  </si>
  <si>
    <t xml:space="preserve">TOTAL </t>
  </si>
  <si>
    <t>1.- LÍNEAS</t>
  </si>
  <si>
    <t xml:space="preserve">$/100 km-h : LÍNEAS 220 kV </t>
  </si>
  <si>
    <r>
      <t xml:space="preserve">$/100 km-h : LÍNEAS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</si>
  <si>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 xml:space="preserve">$/100 km-h : CABLES 220 kV </t>
  </si>
  <si>
    <t>FACTOR DE PENALIZACIÓN  K =</t>
  </si>
  <si>
    <r>
      <t xml:space="preserve">$/100 km-h : CABLES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</si>
  <si>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</si>
  <si>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</si>
  <si>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</si>
  <si>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</si>
  <si>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</si>
  <si>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</si>
  <si>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</si>
  <si>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</si>
  <si>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</si>
  <si>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F.R.
%</t>
  </si>
  <si>
    <t>PENALIZ.
PROGRAM.</t>
  </si>
  <si>
    <t>REDUCC.
PROGRAM.</t>
  </si>
  <si>
    <t>PENALIZACIÓN FORZADA
Por Salida      1ras. 3 hs.       Hs. Restantes</t>
  </si>
  <si>
    <t>REDUCC. FORZADA
Por Salida      1ras. 3 hs.  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</si>
  <si>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</si>
  <si>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</si>
  <si>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</si>
  <si>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</si>
  <si>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</si>
  <si>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</si>
  <si>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</si>
  <si>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</si>
  <si>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</si>
  <si>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</si>
  <si>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</si>
  <si>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</si>
  <si>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</si>
  <si>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</si>
  <si>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</si>
  <si>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</si>
  <si>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</si>
  <si>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ENERGIA SAN JUAN</t>
  </si>
  <si>
    <t>Valores remuneratorios según Res. ENRE N° 618/01</t>
  </si>
  <si>
    <t>PAFTT</t>
  </si>
  <si>
    <t>EPEC</t>
  </si>
  <si>
    <t>EDESE</t>
  </si>
  <si>
    <t>EDEMSA</t>
  </si>
  <si>
    <t>APELP</t>
  </si>
  <si>
    <t>DGSP</t>
  </si>
  <si>
    <t xml:space="preserve">      DE LA ELECTRICIDAD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</si>
  <si>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</si>
  <si>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</si>
  <si>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</si>
  <si>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</si>
  <si>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</si>
  <si>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</si>
  <si>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</si>
  <si>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</si>
  <si>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</si>
  <si>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</si>
  <si>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</si>
  <si>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</si>
  <si>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</si>
  <si>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</si>
  <si>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</si>
  <si>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</si>
  <si>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</si>
  <si>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</si>
  <si>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</si>
  <si>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</si>
  <si>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</si>
  <si>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</si>
  <si>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</si>
  <si>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</si>
  <si>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</si>
  <si>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</si>
  <si>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</si>
  <si>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</si>
  <si>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</si>
  <si>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</si>
  <si>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</si>
  <si>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</si>
  <si>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</si>
  <si>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</si>
  <si>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</si>
  <si>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</si>
  <si>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</si>
  <si>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</si>
  <si>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</si>
  <si>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</si>
  <si>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</si>
  <si>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</si>
  <si>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</si>
  <si>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</si>
  <si>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</si>
  <si>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</si>
  <si>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</si>
  <si>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</si>
  <si>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VST</t>
  </si>
  <si>
    <t>EPE STA.FE</t>
  </si>
  <si>
    <t>EPEN PAFFT</t>
  </si>
  <si>
    <t>MODELO L</t>
  </si>
  <si>
    <t>L</t>
  </si>
  <si>
    <t>F</t>
  </si>
  <si>
    <t>SI</t>
  </si>
  <si>
    <t>P</t>
  </si>
  <si>
    <t>P - PROGRAMADA  ; F - FORZADA</t>
  </si>
  <si>
    <t>CUTRALCO - CHOCONCITO - CHOCON     1</t>
  </si>
  <si>
    <t>G.NEUQUEN ARRO-NEU  1</t>
  </si>
  <si>
    <t>Desde el 01 al 31 de agosto de 2016</t>
  </si>
  <si>
    <t xml:space="preserve">PLAZA HUINCUL    ARROYITO       </t>
  </si>
  <si>
    <t>G.NEUQUEN CENTENARIO</t>
  </si>
  <si>
    <t xml:space="preserve">TOTAL DE PENALIZACIONES </t>
  </si>
  <si>
    <t>E.P.E.N.</t>
  </si>
  <si>
    <t>INDISPONIBILIDADES FORZADAS DE LÍNEAS - TASA DE FALLA</t>
  </si>
  <si>
    <t>U [kV]</t>
  </si>
  <si>
    <t>Long. [km]</t>
  </si>
  <si>
    <t xml:space="preserve">Longitud Total </t>
  </si>
  <si>
    <t xml:space="preserve">Indisponibilidades Forzadas </t>
  </si>
  <si>
    <t xml:space="preserve">TASA DE FALLA  </t>
  </si>
  <si>
    <t xml:space="preserve"> Valores Provisorios</t>
  </si>
  <si>
    <t>XX</t>
  </si>
  <si>
    <t>Líneas No Habilitadas</t>
  </si>
  <si>
    <t>TASA DE FALA</t>
  </si>
  <si>
    <t>SALIDAS x AÑO / 100 km</t>
  </si>
  <si>
    <t>Correspondiente al mes de Agosto de 2016 (provisoria)</t>
  </si>
  <si>
    <t>ANEXO II a la Resolución AAANR N°   3 / 2017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</si>
</sst>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#,##0.0000"/>
    <numFmt numFmtId="166" formatCode="0.00_)"/>
    <numFmt numFmtId="167" formatCode="0.000"/>
  </numFmts>
  <fonts count="10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double"/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MS Sans Serif"/>
      <family val="2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0"/>
      <name val="Wingdings"/>
      <family val="0"/>
    </font>
    <font>
      <b/>
      <u val="single"/>
      <sz val="14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2"/>
      <color indexed="9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MS Sans Serif"/>
      <family val="2"/>
    </font>
    <font>
      <sz val="11"/>
      <color indexed="13"/>
      <name val="MS Sans Serif"/>
      <family val="2"/>
    </font>
    <font>
      <b/>
      <sz val="10"/>
      <color indexed="13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8"/>
      <name val="MS Sans Serif"/>
      <family val="2"/>
    </font>
    <font>
      <sz val="10"/>
      <color indexed="50"/>
      <name val="MS Sans Serif"/>
      <family val="2"/>
    </font>
    <font>
      <b/>
      <sz val="10"/>
      <name val="MS Sans Serif"/>
      <family val="2"/>
    </font>
    <font>
      <sz val="10"/>
      <color indexed="9"/>
      <name val="Times New Roman"/>
      <family val="1"/>
    </font>
    <font>
      <sz val="10"/>
      <color indexed="8"/>
      <name val="MS Sans Serif"/>
      <family val="0"/>
    </font>
    <font>
      <sz val="9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fgColor indexed="45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/>
      <right style="thick"/>
      <top/>
      <bottom/>
    </border>
    <border>
      <left style="thick"/>
      <right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/>
      <right/>
      <top style="thick"/>
      <bottom/>
    </border>
    <border>
      <left/>
      <right style="thick"/>
      <top style="thick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 style="double"/>
      <right style="double"/>
      <top style="double"/>
      <bottom style="thin"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 style="double"/>
      <right style="double"/>
      <top style="double"/>
      <bottom/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thick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1" fillId="29" borderId="1" applyNumberFormat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5" fillId="21" borderId="6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0" fillId="0" borderId="8" applyNumberFormat="0" applyFill="0" applyAlignment="0" applyProtection="0"/>
    <xf numFmtId="0" fontId="100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4" fillId="0" borderId="13" xfId="0" applyNumberFormat="1" applyFont="1" applyBorder="1" applyAlignment="1" applyProtection="1">
      <alignment horizontal="center"/>
      <protection/>
    </xf>
    <xf numFmtId="1" fontId="4" fillId="0" borderId="13" xfId="0" applyNumberFormat="1" applyFont="1" applyBorder="1" applyAlignment="1" applyProtection="1">
      <alignment horizontal="center"/>
      <protection/>
    </xf>
    <xf numFmtId="166" fontId="4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 quotePrefix="1">
      <alignment horizontal="center"/>
      <protection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5" xfId="0" applyFont="1" applyBorder="1" applyAlignment="1" applyProtection="1">
      <alignment horizontal="centerContinuous" vertical="center" wrapText="1"/>
      <protection/>
    </xf>
    <xf numFmtId="0" fontId="19" fillId="0" borderId="0" xfId="0" applyFont="1" applyFill="1" applyBorder="1" applyAlignment="1" applyProtection="1">
      <alignment horizontal="centerContinuous"/>
      <protection/>
    </xf>
    <xf numFmtId="0" fontId="22" fillId="0" borderId="0" xfId="0" applyFont="1" applyAlignment="1">
      <alignment horizontal="centerContinuous"/>
    </xf>
    <xf numFmtId="0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2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7" fontId="2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7" fontId="5" fillId="0" borderId="19" xfId="0" applyNumberFormat="1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7" fillId="0" borderId="0" xfId="0" applyFont="1" applyBorder="1" applyAlignment="1" applyProtection="1" quotePrefix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 horizontal="center"/>
      <protection/>
    </xf>
    <xf numFmtId="2" fontId="27" fillId="0" borderId="0" xfId="0" applyNumberFormat="1" applyFont="1" applyBorder="1" applyAlignment="1" applyProtection="1">
      <alignment horizontal="center"/>
      <protection/>
    </xf>
    <xf numFmtId="166" fontId="27" fillId="0" borderId="0" xfId="0" applyNumberFormat="1" applyFont="1" applyBorder="1" applyAlignment="1" applyProtection="1">
      <alignment horizontal="center"/>
      <protection/>
    </xf>
    <xf numFmtId="166" fontId="27" fillId="0" borderId="0" xfId="0" applyNumberFormat="1" applyFont="1" applyBorder="1" applyAlignment="1" applyProtection="1" quotePrefix="1">
      <alignment horizontal="center"/>
      <protection/>
    </xf>
    <xf numFmtId="166" fontId="31" fillId="0" borderId="0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35" fillId="33" borderId="15" xfId="0" applyFont="1" applyFill="1" applyBorder="1" applyAlignment="1" applyProtection="1">
      <alignment horizontal="centerContinuous" vertical="center"/>
      <protection/>
    </xf>
    <xf numFmtId="166" fontId="36" fillId="33" borderId="13" xfId="0" applyNumberFormat="1" applyFont="1" applyFill="1" applyBorder="1" applyAlignment="1" applyProtection="1" quotePrefix="1">
      <alignment horizontal="center"/>
      <protection/>
    </xf>
    <xf numFmtId="166" fontId="36" fillId="33" borderId="14" xfId="0" applyNumberFormat="1" applyFont="1" applyFill="1" applyBorder="1" applyAlignment="1" applyProtection="1">
      <alignment horizontal="center"/>
      <protection/>
    </xf>
    <xf numFmtId="0" fontId="41" fillId="0" borderId="23" xfId="0" applyFont="1" applyBorder="1" applyAlignment="1">
      <alignment/>
    </xf>
    <xf numFmtId="164" fontId="4" fillId="0" borderId="24" xfId="0" applyNumberFormat="1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39" fillId="34" borderId="18" xfId="0" applyFont="1" applyFill="1" applyBorder="1" applyAlignment="1" applyProtection="1">
      <alignment horizontal="centerContinuous" vertical="center" wrapText="1"/>
      <protection/>
    </xf>
    <xf numFmtId="0" fontId="44" fillId="35" borderId="18" xfId="0" applyFont="1" applyFill="1" applyBorder="1" applyAlignment="1" applyProtection="1">
      <alignment horizontal="centerContinuous" vertical="center" wrapText="1"/>
      <protection/>
    </xf>
    <xf numFmtId="166" fontId="38" fillId="34" borderId="15" xfId="0" applyNumberFormat="1" applyFont="1" applyFill="1" applyBorder="1" applyAlignment="1" applyProtection="1" quotePrefix="1">
      <alignment horizontal="center"/>
      <protection/>
    </xf>
    <xf numFmtId="166" fontId="45" fillId="35" borderId="15" xfId="0" applyNumberFormat="1" applyFont="1" applyFill="1" applyBorder="1" applyAlignment="1" applyProtection="1" quotePrefix="1">
      <alignment horizontal="center"/>
      <protection/>
    </xf>
    <xf numFmtId="0" fontId="49" fillId="0" borderId="0" xfId="0" applyFont="1" applyAlignment="1">
      <alignment horizontal="right" vertical="top"/>
    </xf>
    <xf numFmtId="0" fontId="41" fillId="0" borderId="16" xfId="55" applyFont="1" applyBorder="1">
      <alignment/>
      <protection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66" fontId="4" fillId="0" borderId="13" xfId="0" applyNumberFormat="1" applyFont="1" applyBorder="1" applyAlignment="1" applyProtection="1">
      <alignment horizontal="center"/>
      <protection locked="0"/>
    </xf>
    <xf numFmtId="166" fontId="4" fillId="0" borderId="13" xfId="0" applyNumberFormat="1" applyFont="1" applyBorder="1" applyAlignment="1" applyProtection="1" quotePrefix="1">
      <alignment horizontal="center"/>
      <protection locked="0"/>
    </xf>
    <xf numFmtId="4" fontId="4" fillId="36" borderId="13" xfId="0" applyNumberFormat="1" applyFont="1" applyFill="1" applyBorder="1" applyAlignment="1" applyProtection="1">
      <alignment horizontal="center"/>
      <protection locked="0"/>
    </xf>
    <xf numFmtId="167" fontId="0" fillId="0" borderId="18" xfId="0" applyNumberFormat="1" applyFont="1" applyBorder="1" applyAlignment="1">
      <alignment horizontal="centerContinuous" vertical="center"/>
    </xf>
    <xf numFmtId="0" fontId="0" fillId="0" borderId="18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Continuous" vertic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42" fillId="37" borderId="15" xfId="0" applyFont="1" applyFill="1" applyBorder="1" applyAlignment="1" applyProtection="1">
      <alignment horizontal="centerContinuous" vertical="center" wrapText="1"/>
      <protection/>
    </xf>
    <xf numFmtId="0" fontId="44" fillId="38" borderId="15" xfId="0" applyFont="1" applyFill="1" applyBorder="1" applyAlignment="1" applyProtection="1">
      <alignment horizontal="centerContinuous" vertical="center" wrapText="1"/>
      <protection/>
    </xf>
    <xf numFmtId="0" fontId="40" fillId="34" borderId="25" xfId="0" applyFont="1" applyFill="1" applyBorder="1" applyAlignment="1" applyProtection="1">
      <alignment horizontal="centerContinuous"/>
      <protection/>
    </xf>
    <xf numFmtId="0" fontId="39" fillId="34" borderId="19" xfId="0" applyFont="1" applyFill="1" applyBorder="1" applyAlignment="1" applyProtection="1">
      <alignment horizontal="centerContinuous" vertical="center"/>
      <protection/>
    </xf>
    <xf numFmtId="0" fontId="46" fillId="35" borderId="25" xfId="0" applyFont="1" applyFill="1" applyBorder="1" applyAlignment="1" applyProtection="1">
      <alignment horizontal="centerContinuous"/>
      <protection/>
    </xf>
    <xf numFmtId="0" fontId="44" fillId="35" borderId="19" xfId="0" applyFont="1" applyFill="1" applyBorder="1" applyAlignment="1" applyProtection="1">
      <alignment horizontal="centerContinuous" vertical="center"/>
      <protection/>
    </xf>
    <xf numFmtId="0" fontId="47" fillId="39" borderId="15" xfId="0" applyFont="1" applyFill="1" applyBorder="1" applyAlignment="1" applyProtection="1">
      <alignment horizontal="center" vertical="center" wrapText="1"/>
      <protection/>
    </xf>
    <xf numFmtId="0" fontId="44" fillId="40" borderId="15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0" fontId="36" fillId="33" borderId="24" xfId="0" applyFont="1" applyFill="1" applyBorder="1" applyAlignment="1" applyProtection="1">
      <alignment horizontal="center"/>
      <protection/>
    </xf>
    <xf numFmtId="0" fontId="43" fillId="37" borderId="24" xfId="0" applyFont="1" applyFill="1" applyBorder="1" applyAlignment="1" applyProtection="1">
      <alignment horizontal="center"/>
      <protection/>
    </xf>
    <xf numFmtId="0" fontId="45" fillId="38" borderId="24" xfId="0" applyFont="1" applyFill="1" applyBorder="1" applyAlignment="1" applyProtection="1">
      <alignment horizontal="center"/>
      <protection/>
    </xf>
    <xf numFmtId="0" fontId="38" fillId="34" borderId="26" xfId="0" applyFont="1" applyFill="1" applyBorder="1" applyAlignment="1" applyProtection="1">
      <alignment horizontal="center"/>
      <protection/>
    </xf>
    <xf numFmtId="0" fontId="38" fillId="34" borderId="27" xfId="0" applyFont="1" applyFill="1" applyBorder="1" applyAlignment="1" applyProtection="1">
      <alignment horizontal="center"/>
      <protection/>
    </xf>
    <xf numFmtId="0" fontId="38" fillId="34" borderId="28" xfId="0" applyFont="1" applyFill="1" applyBorder="1" applyAlignment="1" applyProtection="1">
      <alignment horizontal="center"/>
      <protection/>
    </xf>
    <xf numFmtId="0" fontId="45" fillId="35" borderId="26" xfId="0" applyFont="1" applyFill="1" applyBorder="1" applyAlignment="1" applyProtection="1">
      <alignment horizontal="center"/>
      <protection/>
    </xf>
    <xf numFmtId="0" fontId="45" fillId="35" borderId="27" xfId="0" applyFont="1" applyFill="1" applyBorder="1" applyAlignment="1" applyProtection="1">
      <alignment horizontal="center"/>
      <protection/>
    </xf>
    <xf numFmtId="0" fontId="45" fillId="35" borderId="28" xfId="0" applyFont="1" applyFill="1" applyBorder="1" applyAlignment="1" applyProtection="1">
      <alignment horizontal="center"/>
      <protection/>
    </xf>
    <xf numFmtId="0" fontId="48" fillId="39" borderId="24" xfId="0" applyFont="1" applyFill="1" applyBorder="1" applyAlignment="1" applyProtection="1">
      <alignment horizontal="center"/>
      <protection/>
    </xf>
    <xf numFmtId="0" fontId="45" fillId="40" borderId="24" xfId="0" applyFont="1" applyFill="1" applyBorder="1" applyAlignment="1" applyProtection="1">
      <alignment horizontal="center"/>
      <protection/>
    </xf>
    <xf numFmtId="7" fontId="25" fillId="0" borderId="24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43" fillId="37" borderId="10" xfId="0" applyFont="1" applyFill="1" applyBorder="1" applyAlignment="1" applyProtection="1">
      <alignment horizontal="center"/>
      <protection/>
    </xf>
    <xf numFmtId="0" fontId="45" fillId="38" borderId="10" xfId="0" applyFont="1" applyFill="1" applyBorder="1" applyAlignment="1" applyProtection="1">
      <alignment horizontal="center"/>
      <protection/>
    </xf>
    <xf numFmtId="0" fontId="38" fillId="34" borderId="29" xfId="0" applyFont="1" applyFill="1" applyBorder="1" applyAlignment="1" applyProtection="1">
      <alignment horizontal="center"/>
      <protection/>
    </xf>
    <xf numFmtId="0" fontId="38" fillId="34" borderId="30" xfId="0" applyFont="1" applyFill="1" applyBorder="1" applyAlignment="1" applyProtection="1">
      <alignment horizontal="center"/>
      <protection/>
    </xf>
    <xf numFmtId="0" fontId="38" fillId="34" borderId="31" xfId="0" applyFont="1" applyFill="1" applyBorder="1" applyAlignment="1" applyProtection="1">
      <alignment horizontal="center"/>
      <protection/>
    </xf>
    <xf numFmtId="0" fontId="45" fillId="35" borderId="29" xfId="0" applyFont="1" applyFill="1" applyBorder="1" applyAlignment="1" applyProtection="1">
      <alignment horizontal="center"/>
      <protection/>
    </xf>
    <xf numFmtId="0" fontId="45" fillId="35" borderId="30" xfId="0" applyFont="1" applyFill="1" applyBorder="1" applyAlignment="1" applyProtection="1">
      <alignment horizontal="center"/>
      <protection/>
    </xf>
    <xf numFmtId="0" fontId="45" fillId="35" borderId="31" xfId="0" applyFont="1" applyFill="1" applyBorder="1" applyAlignment="1" applyProtection="1">
      <alignment horizontal="center"/>
      <protection/>
    </xf>
    <xf numFmtId="0" fontId="48" fillId="39" borderId="10" xfId="0" applyFont="1" applyFill="1" applyBorder="1" applyAlignment="1" applyProtection="1">
      <alignment horizontal="center"/>
      <protection/>
    </xf>
    <xf numFmtId="0" fontId="45" fillId="40" borderId="10" xfId="0" applyFont="1" applyFill="1" applyBorder="1" applyAlignment="1" applyProtection="1">
      <alignment horizontal="center"/>
      <protection/>
    </xf>
    <xf numFmtId="7" fontId="25" fillId="0" borderId="10" xfId="0" applyNumberFormat="1" applyFont="1" applyBorder="1" applyAlignment="1" applyProtection="1">
      <alignment horizontal="center"/>
      <protection/>
    </xf>
    <xf numFmtId="2" fontId="9" fillId="0" borderId="13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2" fontId="9" fillId="0" borderId="32" xfId="0" applyNumberFormat="1" applyFont="1" applyBorder="1" applyAlignment="1" applyProtection="1">
      <alignment horizontal="right"/>
      <protection/>
    </xf>
    <xf numFmtId="0" fontId="27" fillId="0" borderId="33" xfId="0" applyFont="1" applyBorder="1" applyAlignment="1" applyProtection="1">
      <alignment horizontal="center"/>
      <protection/>
    </xf>
    <xf numFmtId="2" fontId="37" fillId="37" borderId="15" xfId="0" applyNumberFormat="1" applyFont="1" applyFill="1" applyBorder="1" applyAlignment="1" applyProtection="1">
      <alignment horizontal="center"/>
      <protection/>
    </xf>
    <xf numFmtId="2" fontId="45" fillId="38" borderId="15" xfId="0" applyNumberFormat="1" applyFont="1" applyFill="1" applyBorder="1" applyAlignment="1" applyProtection="1">
      <alignment horizontal="center"/>
      <protection/>
    </xf>
    <xf numFmtId="4" fontId="38" fillId="34" borderId="15" xfId="0" applyNumberFormat="1" applyFont="1" applyFill="1" applyBorder="1" applyAlignment="1" applyProtection="1">
      <alignment horizontal="center"/>
      <protection/>
    </xf>
    <xf numFmtId="4" fontId="45" fillId="35" borderId="15" xfId="0" applyNumberFormat="1" applyFont="1" applyFill="1" applyBorder="1" applyAlignment="1" applyProtection="1">
      <alignment horizontal="center"/>
      <protection/>
    </xf>
    <xf numFmtId="4" fontId="48" fillId="39" borderId="15" xfId="0" applyNumberFormat="1" applyFont="1" applyFill="1" applyBorder="1" applyAlignment="1" applyProtection="1">
      <alignment horizontal="center"/>
      <protection/>
    </xf>
    <xf numFmtId="4" fontId="45" fillId="40" borderId="15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Border="1" applyAlignment="1" applyProtection="1">
      <alignment horizontal="center"/>
      <protection/>
    </xf>
    <xf numFmtId="7" fontId="13" fillId="0" borderId="15" xfId="0" applyNumberFormat="1" applyFont="1" applyBorder="1" applyAlignment="1" applyProtection="1">
      <alignment horizontal="right"/>
      <protection/>
    </xf>
    <xf numFmtId="2" fontId="4" fillId="0" borderId="11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12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2" fontId="30" fillId="0" borderId="0" xfId="0" applyNumberFormat="1" applyFont="1" applyBorder="1" applyAlignment="1" applyProtection="1">
      <alignment horizontal="center"/>
      <protection/>
    </xf>
    <xf numFmtId="4" fontId="31" fillId="0" borderId="0" xfId="0" applyNumberFormat="1" applyFont="1" applyBorder="1" applyAlignment="1" applyProtection="1">
      <alignment horizontal="center"/>
      <protection/>
    </xf>
    <xf numFmtId="7" fontId="32" fillId="0" borderId="0" xfId="0" applyNumberFormat="1" applyFont="1" applyBorder="1" applyAlignment="1" applyProtection="1">
      <alignment horizontal="right"/>
      <protection/>
    </xf>
    <xf numFmtId="2" fontId="27" fillId="0" borderId="11" xfId="0" applyNumberFormat="1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22" fontId="4" fillId="0" borderId="21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2" fontId="4" fillId="0" borderId="34" xfId="0" applyNumberFormat="1" applyFont="1" applyBorder="1" applyAlignment="1" applyProtection="1">
      <alignment horizontal="center"/>
      <protection locked="0"/>
    </xf>
    <xf numFmtId="166" fontId="4" fillId="0" borderId="14" xfId="0" applyNumberFormat="1" applyFont="1" applyBorder="1" applyAlignment="1" applyProtection="1">
      <alignment horizontal="center"/>
      <protection locked="0"/>
    </xf>
    <xf numFmtId="2" fontId="43" fillId="37" borderId="13" xfId="0" applyNumberFormat="1" applyFont="1" applyFill="1" applyBorder="1" applyAlignment="1" applyProtection="1">
      <alignment horizontal="center"/>
      <protection locked="0"/>
    </xf>
    <xf numFmtId="2" fontId="45" fillId="38" borderId="13" xfId="0" applyNumberFormat="1" applyFont="1" applyFill="1" applyBorder="1" applyAlignment="1" applyProtection="1">
      <alignment horizontal="center"/>
      <protection locked="0"/>
    </xf>
    <xf numFmtId="166" fontId="38" fillId="34" borderId="35" xfId="0" applyNumberFormat="1" applyFont="1" applyFill="1" applyBorder="1" applyAlignment="1" applyProtection="1" quotePrefix="1">
      <alignment horizontal="center"/>
      <protection locked="0"/>
    </xf>
    <xf numFmtId="166" fontId="38" fillId="34" borderId="36" xfId="0" applyNumberFormat="1" applyFont="1" applyFill="1" applyBorder="1" applyAlignment="1" applyProtection="1" quotePrefix="1">
      <alignment horizontal="center"/>
      <protection locked="0"/>
    </xf>
    <xf numFmtId="4" fontId="38" fillId="34" borderId="37" xfId="0" applyNumberFormat="1" applyFont="1" applyFill="1" applyBorder="1" applyAlignment="1" applyProtection="1">
      <alignment horizontal="center"/>
      <protection locked="0"/>
    </xf>
    <xf numFmtId="166" fontId="45" fillId="35" borderId="35" xfId="0" applyNumberFormat="1" applyFont="1" applyFill="1" applyBorder="1" applyAlignment="1" applyProtection="1" quotePrefix="1">
      <alignment horizontal="center"/>
      <protection locked="0"/>
    </xf>
    <xf numFmtId="166" fontId="45" fillId="35" borderId="36" xfId="0" applyNumberFormat="1" applyFont="1" applyFill="1" applyBorder="1" applyAlignment="1" applyProtection="1" quotePrefix="1">
      <alignment horizontal="center"/>
      <protection locked="0"/>
    </xf>
    <xf numFmtId="4" fontId="45" fillId="35" borderId="37" xfId="0" applyNumberFormat="1" applyFont="1" applyFill="1" applyBorder="1" applyAlignment="1" applyProtection="1">
      <alignment horizontal="center"/>
      <protection locked="0"/>
    </xf>
    <xf numFmtId="4" fontId="48" fillId="39" borderId="13" xfId="0" applyNumberFormat="1" applyFont="1" applyFill="1" applyBorder="1" applyAlignment="1" applyProtection="1">
      <alignment horizontal="center"/>
      <protection locked="0"/>
    </xf>
    <xf numFmtId="4" fontId="45" fillId="40" borderId="13" xfId="0" applyNumberFormat="1" applyFont="1" applyFill="1" applyBorder="1" applyAlignment="1" applyProtection="1">
      <alignment horizontal="center"/>
      <protection locked="0"/>
    </xf>
    <xf numFmtId="22" fontId="4" fillId="0" borderId="14" xfId="0" applyNumberFormat="1" applyFont="1" applyBorder="1" applyAlignment="1" applyProtection="1">
      <alignment horizontal="center"/>
      <protection locked="0"/>
    </xf>
    <xf numFmtId="166" fontId="43" fillId="37" borderId="14" xfId="0" applyNumberFormat="1" applyFont="1" applyFill="1" applyBorder="1" applyAlignment="1" applyProtection="1" quotePrefix="1">
      <alignment horizontal="center"/>
      <protection locked="0"/>
    </xf>
    <xf numFmtId="166" fontId="45" fillId="38" borderId="14" xfId="0" applyNumberFormat="1" applyFont="1" applyFill="1" applyBorder="1" applyAlignment="1" applyProtection="1" quotePrefix="1">
      <alignment horizontal="center"/>
      <protection locked="0"/>
    </xf>
    <xf numFmtId="166" fontId="38" fillId="34" borderId="38" xfId="0" applyNumberFormat="1" applyFont="1" applyFill="1" applyBorder="1" applyAlignment="1" applyProtection="1" quotePrefix="1">
      <alignment horizontal="center"/>
      <protection locked="0"/>
    </xf>
    <xf numFmtId="4" fontId="38" fillId="34" borderId="39" xfId="0" applyNumberFormat="1" applyFont="1" applyFill="1" applyBorder="1" applyAlignment="1" applyProtection="1">
      <alignment horizontal="center"/>
      <protection locked="0"/>
    </xf>
    <xf numFmtId="4" fontId="38" fillId="34" borderId="40" xfId="0" applyNumberFormat="1" applyFont="1" applyFill="1" applyBorder="1" applyAlignment="1" applyProtection="1">
      <alignment horizontal="center"/>
      <protection locked="0"/>
    </xf>
    <xf numFmtId="166" fontId="45" fillId="35" borderId="38" xfId="0" applyNumberFormat="1" applyFont="1" applyFill="1" applyBorder="1" applyAlignment="1" applyProtection="1" quotePrefix="1">
      <alignment horizontal="center"/>
      <protection locked="0"/>
    </xf>
    <xf numFmtId="4" fontId="45" fillId="35" borderId="39" xfId="0" applyNumberFormat="1" applyFont="1" applyFill="1" applyBorder="1" applyAlignment="1" applyProtection="1">
      <alignment horizontal="center"/>
      <protection locked="0"/>
    </xf>
    <xf numFmtId="4" fontId="45" fillId="35" borderId="40" xfId="0" applyNumberFormat="1" applyFont="1" applyFill="1" applyBorder="1" applyAlignment="1" applyProtection="1">
      <alignment horizontal="center"/>
      <protection locked="0"/>
    </xf>
    <xf numFmtId="4" fontId="48" fillId="39" borderId="14" xfId="0" applyNumberFormat="1" applyFont="1" applyFill="1" applyBorder="1" applyAlignment="1" applyProtection="1">
      <alignment horizontal="center"/>
      <protection locked="0"/>
    </xf>
    <xf numFmtId="4" fontId="45" fillId="40" borderId="14" xfId="0" applyNumberFormat="1" applyFont="1" applyFill="1" applyBorder="1" applyAlignment="1" applyProtection="1">
      <alignment horizontal="center"/>
      <protection locked="0"/>
    </xf>
    <xf numFmtId="4" fontId="4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left"/>
    </xf>
    <xf numFmtId="49" fontId="4" fillId="0" borderId="24" xfId="59" applyNumberFormat="1" applyFont="1" applyFill="1" applyBorder="1" applyAlignment="1" applyProtection="1">
      <alignment horizontal="center"/>
      <protection locked="0"/>
    </xf>
    <xf numFmtId="49" fontId="4" fillId="0" borderId="24" xfId="59" applyNumberFormat="1" applyFont="1" applyFill="1" applyBorder="1" applyProtection="1">
      <alignment/>
      <protection locked="0"/>
    </xf>
    <xf numFmtId="49" fontId="4" fillId="0" borderId="13" xfId="59" applyNumberFormat="1" applyFont="1" applyFill="1" applyBorder="1" applyAlignment="1" applyProtection="1">
      <alignment horizontal="center"/>
      <protection locked="0"/>
    </xf>
    <xf numFmtId="49" fontId="4" fillId="0" borderId="13" xfId="59" applyNumberFormat="1" applyFont="1" applyFill="1" applyBorder="1" applyProtection="1">
      <alignment/>
      <protection locked="0"/>
    </xf>
    <xf numFmtId="49" fontId="4" fillId="0" borderId="14" xfId="59" applyNumberFormat="1" applyFont="1" applyFill="1" applyBorder="1" applyProtection="1">
      <alignment/>
      <protection locked="0"/>
    </xf>
    <xf numFmtId="0" fontId="19" fillId="0" borderId="0" xfId="0" applyFont="1" applyBorder="1" applyAlignment="1" applyProtection="1">
      <alignment horizontal="left"/>
      <protection/>
    </xf>
    <xf numFmtId="0" fontId="21" fillId="0" borderId="15" xfId="0" applyFont="1" applyBorder="1" applyAlignment="1">
      <alignment horizontal="center" vertical="center"/>
    </xf>
    <xf numFmtId="0" fontId="0" fillId="33" borderId="41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41" xfId="60" applyFont="1" applyBorder="1">
      <alignment/>
      <protection/>
    </xf>
    <xf numFmtId="0" fontId="0" fillId="0" borderId="41" xfId="60" applyFont="1" applyBorder="1" quotePrefix="1">
      <alignment/>
      <protection/>
    </xf>
    <xf numFmtId="0" fontId="52" fillId="33" borderId="41" xfId="60" applyFont="1" applyFill="1" applyBorder="1" applyAlignment="1">
      <alignment horizontal="center"/>
      <protection/>
    </xf>
    <xf numFmtId="0" fontId="0" fillId="41" borderId="0" xfId="60" applyFont="1" applyFill="1">
      <alignment/>
      <protection/>
    </xf>
    <xf numFmtId="0" fontId="0" fillId="41" borderId="0" xfId="60" applyNumberFormat="1" applyFont="1" applyFill="1">
      <alignment/>
      <protection/>
    </xf>
    <xf numFmtId="0" fontId="52" fillId="0" borderId="41" xfId="60" applyFont="1" applyFill="1" applyBorder="1" applyAlignment="1">
      <alignment horizontal="center"/>
      <protection/>
    </xf>
    <xf numFmtId="0" fontId="0" fillId="41" borderId="0" xfId="54" applyFont="1" applyFill="1" applyAlignment="1">
      <alignment/>
      <protection/>
    </xf>
    <xf numFmtId="0" fontId="0" fillId="0" borderId="0" xfId="60" applyFont="1" applyFill="1">
      <alignment/>
      <protection/>
    </xf>
    <xf numFmtId="0" fontId="40" fillId="0" borderId="41" xfId="60" applyFont="1" applyBorder="1">
      <alignment/>
      <protection/>
    </xf>
    <xf numFmtId="0" fontId="53" fillId="0" borderId="41" xfId="60" applyFont="1" applyFill="1" applyBorder="1">
      <alignment/>
      <protection/>
    </xf>
    <xf numFmtId="0" fontId="40" fillId="0" borderId="41" xfId="0" applyFont="1" applyBorder="1" applyAlignment="1">
      <alignment/>
    </xf>
    <xf numFmtId="0" fontId="0" fillId="33" borderId="42" xfId="0" applyFill="1" applyBorder="1" applyAlignment="1">
      <alignment/>
    </xf>
    <xf numFmtId="0" fontId="0" fillId="33" borderId="30" xfId="60" applyFont="1" applyFill="1" applyBorder="1">
      <alignment/>
      <protection/>
    </xf>
    <xf numFmtId="0" fontId="0" fillId="0" borderId="42" xfId="0" applyFont="1" applyBorder="1" applyAlignment="1">
      <alignment/>
    </xf>
    <xf numFmtId="0" fontId="0" fillId="0" borderId="30" xfId="60" applyFont="1" applyBorder="1">
      <alignment/>
      <protection/>
    </xf>
    <xf numFmtId="0" fontId="0" fillId="41" borderId="0" xfId="0" applyFont="1" applyFill="1" applyAlignment="1">
      <alignment/>
    </xf>
    <xf numFmtId="0" fontId="53" fillId="0" borderId="41" xfId="0" applyFont="1" applyFill="1" applyBorder="1" applyAlignment="1">
      <alignment/>
    </xf>
    <xf numFmtId="0" fontId="53" fillId="0" borderId="43" xfId="0" applyFont="1" applyFill="1" applyBorder="1" applyAlignment="1">
      <alignment/>
    </xf>
    <xf numFmtId="0" fontId="40" fillId="0" borderId="41" xfId="0" applyFont="1" applyFill="1" applyBorder="1" applyAlignment="1">
      <alignment/>
    </xf>
    <xf numFmtId="0" fontId="40" fillId="0" borderId="43" xfId="0" applyFont="1" applyBorder="1" applyAlignment="1">
      <alignment/>
    </xf>
    <xf numFmtId="0" fontId="54" fillId="0" borderId="0" xfId="60" applyFont="1">
      <alignment/>
      <protection/>
    </xf>
    <xf numFmtId="0" fontId="55" fillId="0" borderId="44" xfId="0" applyFont="1" applyBorder="1" applyAlignment="1" applyProtection="1">
      <alignment/>
      <protection/>
    </xf>
    <xf numFmtId="0" fontId="0" fillId="0" borderId="45" xfId="0" applyFont="1" applyBorder="1" applyAlignment="1">
      <alignment/>
    </xf>
    <xf numFmtId="0" fontId="0" fillId="0" borderId="45" xfId="6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60" applyFont="1" applyBorder="1">
      <alignment/>
      <protection/>
    </xf>
    <xf numFmtId="22" fontId="4" fillId="0" borderId="13" xfId="59" applyNumberFormat="1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left"/>
      <protection/>
    </xf>
    <xf numFmtId="0" fontId="50" fillId="0" borderId="0" xfId="57">
      <alignment/>
      <protection/>
    </xf>
    <xf numFmtId="0" fontId="58" fillId="0" borderId="0" xfId="57" applyFont="1" applyAlignment="1">
      <alignment horizontal="right" vertical="top"/>
      <protection/>
    </xf>
    <xf numFmtId="0" fontId="14" fillId="0" borderId="0" xfId="57" applyFont="1">
      <alignment/>
      <protection/>
    </xf>
    <xf numFmtId="0" fontId="15" fillId="0" borderId="0" xfId="57" applyFont="1" applyAlignment="1">
      <alignment horizontal="centerContinuous"/>
      <protection/>
    </xf>
    <xf numFmtId="0" fontId="19" fillId="0" borderId="0" xfId="57" applyFont="1" applyFill="1" applyBorder="1" applyAlignment="1" applyProtection="1">
      <alignment horizontal="centerContinuous"/>
      <protection/>
    </xf>
    <xf numFmtId="0" fontId="59" fillId="0" borderId="0" xfId="57" applyFont="1">
      <alignment/>
      <protection/>
    </xf>
    <xf numFmtId="0" fontId="2" fillId="0" borderId="0" xfId="57" applyFont="1" applyFill="1" applyBorder="1" applyAlignment="1" applyProtection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0" fontId="50" fillId="0" borderId="0" xfId="57" applyAlignment="1">
      <alignment horizontal="centerContinuous"/>
      <protection/>
    </xf>
    <xf numFmtId="0" fontId="34" fillId="0" borderId="0" xfId="57" applyFont="1" applyBorder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60" fillId="0" borderId="0" xfId="57" applyFont="1" applyAlignment="1">
      <alignment horizontal="centerContinuous"/>
      <protection/>
    </xf>
    <xf numFmtId="0" fontId="50" fillId="0" borderId="23" xfId="57" applyBorder="1">
      <alignment/>
      <protection/>
    </xf>
    <xf numFmtId="0" fontId="50" fillId="0" borderId="16" xfId="57" applyBorder="1">
      <alignment/>
      <protection/>
    </xf>
    <xf numFmtId="0" fontId="50" fillId="0" borderId="17" xfId="57" applyBorder="1">
      <alignment/>
      <protection/>
    </xf>
    <xf numFmtId="0" fontId="7" fillId="0" borderId="12" xfId="57" applyFont="1" applyBorder="1" applyAlignment="1">
      <alignment horizontal="centerContinuous"/>
      <protection/>
    </xf>
    <xf numFmtId="0" fontId="50" fillId="0" borderId="0" xfId="57" applyBorder="1" applyAlignment="1">
      <alignment horizontal="centerContinuous"/>
      <protection/>
    </xf>
    <xf numFmtId="0" fontId="50" fillId="0" borderId="11" xfId="57" applyBorder="1" applyAlignment="1">
      <alignment horizontal="centerContinuous"/>
      <protection/>
    </xf>
    <xf numFmtId="0" fontId="50" fillId="0" borderId="12" xfId="57" applyBorder="1">
      <alignment/>
      <protection/>
    </xf>
    <xf numFmtId="0" fontId="50" fillId="0" borderId="0" xfId="57" applyBorder="1">
      <alignment/>
      <protection/>
    </xf>
    <xf numFmtId="0" fontId="50" fillId="0" borderId="11" xfId="57" applyBorder="1">
      <alignment/>
      <protection/>
    </xf>
    <xf numFmtId="0" fontId="61" fillId="0" borderId="0" xfId="57" applyFont="1">
      <alignment/>
      <protection/>
    </xf>
    <xf numFmtId="0" fontId="61" fillId="0" borderId="12" xfId="57" applyFont="1" applyBorder="1">
      <alignment/>
      <protection/>
    </xf>
    <xf numFmtId="0" fontId="61" fillId="0" borderId="15" xfId="57" applyFont="1" applyBorder="1" applyAlignment="1">
      <alignment horizontal="centerContinuous" vertical="center"/>
      <protection/>
    </xf>
    <xf numFmtId="0" fontId="61" fillId="0" borderId="15" xfId="57" applyFont="1" applyBorder="1" applyAlignment="1">
      <alignment horizontal="center" vertical="center"/>
      <protection/>
    </xf>
    <xf numFmtId="17" fontId="61" fillId="42" borderId="15" xfId="57" applyNumberFormat="1" applyFont="1" applyFill="1" applyBorder="1" applyAlignment="1">
      <alignment horizontal="centerContinuous" vertical="center"/>
      <protection/>
    </xf>
    <xf numFmtId="0" fontId="61" fillId="0" borderId="11" xfId="57" applyFont="1" applyBorder="1">
      <alignment/>
      <protection/>
    </xf>
    <xf numFmtId="0" fontId="61" fillId="0" borderId="0" xfId="57" applyFont="1" applyAlignment="1">
      <alignment vertical="center"/>
      <protection/>
    </xf>
    <xf numFmtId="0" fontId="61" fillId="0" borderId="12" xfId="57" applyFont="1" applyBorder="1" applyAlignment="1">
      <alignment vertical="center"/>
      <protection/>
    </xf>
    <xf numFmtId="0" fontId="61" fillId="0" borderId="10" xfId="57" applyFont="1" applyBorder="1" applyAlignment="1">
      <alignment vertical="center"/>
      <protection/>
    </xf>
    <xf numFmtId="17" fontId="61" fillId="0" borderId="10" xfId="57" applyNumberFormat="1" applyFont="1" applyFill="1" applyBorder="1" applyAlignment="1">
      <alignment vertical="center"/>
      <protection/>
    </xf>
    <xf numFmtId="0" fontId="61" fillId="0" borderId="46" xfId="57" applyFont="1" applyBorder="1" applyAlignment="1">
      <alignment vertical="center"/>
      <protection/>
    </xf>
    <xf numFmtId="0" fontId="61" fillId="0" borderId="11" xfId="57" applyFont="1" applyBorder="1" applyAlignment="1">
      <alignment vertical="center"/>
      <protection/>
    </xf>
    <xf numFmtId="0" fontId="62" fillId="43" borderId="10" xfId="57" applyFont="1" applyFill="1" applyBorder="1" applyAlignment="1">
      <alignment horizontal="center" vertical="center"/>
      <protection/>
    </xf>
    <xf numFmtId="0" fontId="62" fillId="44" borderId="10" xfId="57" applyFont="1" applyFill="1" applyBorder="1" applyAlignment="1">
      <alignment horizontal="center" vertical="center"/>
      <protection/>
    </xf>
    <xf numFmtId="0" fontId="61" fillId="0" borderId="32" xfId="57" applyFont="1" applyBorder="1" applyAlignment="1">
      <alignment vertical="center"/>
      <protection/>
    </xf>
    <xf numFmtId="0" fontId="62" fillId="0" borderId="34" xfId="53" applyFont="1" applyBorder="1" applyAlignment="1">
      <alignment vertical="center"/>
      <protection/>
    </xf>
    <xf numFmtId="0" fontId="62" fillId="0" borderId="34" xfId="56" applyFont="1" applyBorder="1" applyAlignment="1">
      <alignment horizontal="center" vertical="center"/>
      <protection/>
    </xf>
    <xf numFmtId="0" fontId="61" fillId="0" borderId="10" xfId="57" applyFont="1" applyFill="1" applyBorder="1" applyAlignment="1">
      <alignment horizontal="center" vertical="center"/>
      <protection/>
    </xf>
    <xf numFmtId="0" fontId="61" fillId="0" borderId="0" xfId="57" applyFont="1" applyBorder="1" applyAlignment="1">
      <alignment vertical="center"/>
      <protection/>
    </xf>
    <xf numFmtId="0" fontId="61" fillId="0" borderId="0" xfId="56" applyFont="1" applyBorder="1" applyAlignment="1">
      <alignment horizontal="center" vertical="center"/>
      <protection/>
    </xf>
    <xf numFmtId="0" fontId="63" fillId="0" borderId="0" xfId="56" applyFont="1" applyBorder="1" applyAlignment="1">
      <alignment horizontal="right" vertical="center"/>
      <protection/>
    </xf>
    <xf numFmtId="0" fontId="63" fillId="0" borderId="14" xfId="56" applyFont="1" applyBorder="1" applyAlignment="1">
      <alignment horizontal="center" vertical="center"/>
      <protection/>
    </xf>
    <xf numFmtId="0" fontId="63" fillId="0" borderId="0" xfId="57" applyFont="1" applyAlignment="1">
      <alignment horizontal="right" vertical="center"/>
      <protection/>
    </xf>
    <xf numFmtId="0" fontId="61" fillId="0" borderId="46" xfId="57" applyFont="1" applyBorder="1" applyAlignment="1">
      <alignment horizontal="center" vertical="center"/>
      <protection/>
    </xf>
    <xf numFmtId="0" fontId="63" fillId="0" borderId="0" xfId="57" applyFont="1" applyBorder="1" applyAlignment="1">
      <alignment horizontal="right" vertical="center"/>
      <protection/>
    </xf>
    <xf numFmtId="2" fontId="64" fillId="44" borderId="15" xfId="57" applyNumberFormat="1" applyFont="1" applyFill="1" applyBorder="1" applyAlignment="1">
      <alignment horizontal="center" vertical="center"/>
      <protection/>
    </xf>
    <xf numFmtId="0" fontId="50" fillId="45" borderId="47" xfId="57" applyFill="1" applyBorder="1">
      <alignment/>
      <protection/>
    </xf>
    <xf numFmtId="0" fontId="4" fillId="0" borderId="0" xfId="56" applyFont="1" applyBorder="1" applyAlignment="1">
      <alignment horizontal="left"/>
      <protection/>
    </xf>
    <xf numFmtId="0" fontId="4" fillId="0" borderId="0" xfId="56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50" fillId="0" borderId="12" xfId="58" applyBorder="1">
      <alignment/>
      <protection/>
    </xf>
    <xf numFmtId="0" fontId="4" fillId="0" borderId="48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50" fillId="0" borderId="0" xfId="58">
      <alignment/>
      <protection/>
    </xf>
    <xf numFmtId="0" fontId="50" fillId="0" borderId="18" xfId="58" applyFont="1" applyBorder="1">
      <alignment/>
      <protection/>
    </xf>
    <xf numFmtId="0" fontId="50" fillId="0" borderId="25" xfId="58" applyBorder="1">
      <alignment/>
      <protection/>
    </xf>
    <xf numFmtId="2" fontId="65" fillId="0" borderId="25" xfId="58" applyNumberFormat="1" applyFont="1" applyBorder="1" applyAlignment="1">
      <alignment horizontal="center"/>
      <protection/>
    </xf>
    <xf numFmtId="0" fontId="66" fillId="0" borderId="25" xfId="58" applyFont="1" applyBorder="1" applyAlignment="1">
      <alignment horizontal="center"/>
      <protection/>
    </xf>
    <xf numFmtId="0" fontId="50" fillId="0" borderId="19" xfId="58" applyBorder="1">
      <alignment/>
      <protection/>
    </xf>
    <xf numFmtId="0" fontId="50" fillId="0" borderId="11" xfId="58" applyBorder="1">
      <alignment/>
      <protection/>
    </xf>
    <xf numFmtId="0" fontId="50" fillId="0" borderId="0" xfId="58" applyBorder="1">
      <alignment/>
      <protection/>
    </xf>
    <xf numFmtId="0" fontId="50" fillId="0" borderId="20" xfId="57" applyBorder="1">
      <alignment/>
      <protection/>
    </xf>
    <xf numFmtId="0" fontId="50" fillId="0" borderId="21" xfId="57" applyBorder="1">
      <alignment/>
      <protection/>
    </xf>
    <xf numFmtId="0" fontId="4" fillId="0" borderId="21" xfId="56" applyFont="1" applyBorder="1" applyAlignment="1">
      <alignment horizontal="center"/>
      <protection/>
    </xf>
    <xf numFmtId="0" fontId="4" fillId="0" borderId="21" xfId="56" applyBorder="1" applyAlignment="1">
      <alignment horizontal="center"/>
      <protection/>
    </xf>
    <xf numFmtId="0" fontId="50" fillId="0" borderId="22" xfId="57" applyBorder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omahue" xfId="54"/>
    <cellStyle name="Normal_EDN-EDS-ELP-SGE" xfId="55"/>
    <cellStyle name="Normal_líneas" xfId="56"/>
    <cellStyle name="Normal_T0001PEN" xfId="57"/>
    <cellStyle name="Normal_T9911ESJ" xfId="58"/>
    <cellStyle name="Normal_TRANSBA" xfId="59"/>
    <cellStyle name="Normal_Transba_V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21"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1076325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762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114300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49530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9525</xdr:rowOff>
    </xdr:from>
    <xdr:to>
      <xdr:col>1</xdr:col>
      <xdr:colOff>266700</xdr:colOff>
      <xdr:row>1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4476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FTEPEN\TBASEPE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FTEPEN\2013\A1306PE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tasa"/>
    </sheetNames>
    <sheetDataSet>
      <sheetData sheetId="0">
        <row r="17">
          <cell r="C17">
            <v>1</v>
          </cell>
          <cell r="D17" t="str">
            <v>CENTENARIO - VISTA ALEGRE</v>
          </cell>
          <cell r="E17" t="str">
            <v>L</v>
          </cell>
          <cell r="F17">
            <v>33</v>
          </cell>
          <cell r="G17">
            <v>11.8</v>
          </cell>
          <cell r="AM17" t="str">
            <v>XXXX</v>
          </cell>
          <cell r="AN17" t="str">
            <v>XXXX</v>
          </cell>
          <cell r="AO17" t="str">
            <v>XXXX</v>
          </cell>
          <cell r="AP17" t="str">
            <v>XXXX</v>
          </cell>
          <cell r="AQ17" t="str">
            <v>XXXX</v>
          </cell>
          <cell r="AR17" t="str">
            <v>XXXX</v>
          </cell>
          <cell r="AS17" t="str">
            <v>XXXX</v>
          </cell>
          <cell r="AT17" t="str">
            <v>XXXX</v>
          </cell>
          <cell r="AU17" t="str">
            <v>XXXX</v>
          </cell>
          <cell r="AV17" t="str">
            <v>XXXX</v>
          </cell>
          <cell r="AW17" t="str">
            <v>XXXX</v>
          </cell>
          <cell r="AX17" t="str">
            <v>XXXX</v>
          </cell>
        </row>
        <row r="18">
          <cell r="C18">
            <v>26</v>
          </cell>
          <cell r="D18" t="str">
            <v>CENTENARIO - CAMPO GRANDE</v>
          </cell>
          <cell r="E18" t="str">
            <v>L</v>
          </cell>
          <cell r="F18">
            <v>33</v>
          </cell>
          <cell r="G18">
            <v>16</v>
          </cell>
          <cell r="AV18">
            <v>1</v>
          </cell>
          <cell r="AX18">
            <v>1</v>
          </cell>
        </row>
        <row r="19">
          <cell r="C19">
            <v>2</v>
          </cell>
          <cell r="D19" t="str">
            <v>CHOS MALAL - PAMPA TRILL-FILO MORADO</v>
          </cell>
          <cell r="E19" t="str">
            <v>L</v>
          </cell>
          <cell r="F19">
            <v>132</v>
          </cell>
          <cell r="G19">
            <v>66.3</v>
          </cell>
          <cell r="AU19">
            <v>6</v>
          </cell>
        </row>
        <row r="20">
          <cell r="C20">
            <v>3</v>
          </cell>
          <cell r="D20" t="str">
            <v>CUTRAL-CO - PLAZA HUINCUL</v>
          </cell>
          <cell r="E20" t="str">
            <v>L</v>
          </cell>
          <cell r="F20">
            <v>132</v>
          </cell>
          <cell r="G20">
            <v>7.9</v>
          </cell>
        </row>
        <row r="21">
          <cell r="C21">
            <v>4</v>
          </cell>
          <cell r="D21" t="str">
            <v>CUTRAL-CO - ZAPALA</v>
          </cell>
          <cell r="E21" t="str">
            <v>L</v>
          </cell>
          <cell r="F21">
            <v>132</v>
          </cell>
          <cell r="G21">
            <v>71.2</v>
          </cell>
          <cell r="AO21">
            <v>1</v>
          </cell>
        </row>
        <row r="22">
          <cell r="C22">
            <v>5</v>
          </cell>
          <cell r="D22" t="str">
            <v>EL CHOCON - CUTRAL CO</v>
          </cell>
          <cell r="E22" t="str">
            <v>L</v>
          </cell>
          <cell r="F22">
            <v>132</v>
          </cell>
          <cell r="G22">
            <v>54.5</v>
          </cell>
          <cell r="AN22">
            <v>1</v>
          </cell>
          <cell r="AU22">
            <v>1</v>
          </cell>
          <cell r="AV22">
            <v>1</v>
          </cell>
          <cell r="AW22">
            <v>1</v>
          </cell>
          <cell r="AX22">
            <v>4</v>
          </cell>
        </row>
        <row r="23">
          <cell r="C23">
            <v>18</v>
          </cell>
          <cell r="D23" t="str">
            <v>CHOCONCITO - CHOCON   </v>
          </cell>
          <cell r="E23" t="str">
            <v>L</v>
          </cell>
          <cell r="F23">
            <v>132</v>
          </cell>
          <cell r="G23">
            <v>2.4</v>
          </cell>
          <cell r="AM23" t="str">
            <v>XXXX</v>
          </cell>
          <cell r="AN23" t="str">
            <v>XXXX</v>
          </cell>
          <cell r="AO23" t="str">
            <v>XXXX</v>
          </cell>
          <cell r="AP23" t="str">
            <v>XXXX</v>
          </cell>
          <cell r="AQ23" t="str">
            <v>XXXX</v>
          </cell>
          <cell r="AR23" t="str">
            <v>XXXX</v>
          </cell>
          <cell r="AS23" t="str">
            <v>XXXX</v>
          </cell>
          <cell r="AT23" t="str">
            <v>XXXX</v>
          </cell>
          <cell r="AU23" t="str">
            <v>XXXX</v>
          </cell>
          <cell r="AV23" t="str">
            <v>XXXX</v>
          </cell>
          <cell r="AW23" t="str">
            <v>XXXX</v>
          </cell>
          <cell r="AX23" t="str">
            <v>XXXX</v>
          </cell>
        </row>
        <row r="24">
          <cell r="C24">
            <v>19</v>
          </cell>
          <cell r="D24" t="str">
            <v>CUTRALCO - CHOCONCITO</v>
          </cell>
          <cell r="E24" t="str">
            <v>L</v>
          </cell>
          <cell r="F24">
            <v>132</v>
          </cell>
          <cell r="G24">
            <v>52.1</v>
          </cell>
          <cell r="AM24" t="str">
            <v>XXXX</v>
          </cell>
          <cell r="AN24" t="str">
            <v>XXXX</v>
          </cell>
          <cell r="AO24" t="str">
            <v>XXXX</v>
          </cell>
          <cell r="AP24" t="str">
            <v>XXXX</v>
          </cell>
          <cell r="AQ24" t="str">
            <v>XXXX</v>
          </cell>
          <cell r="AR24" t="str">
            <v>XXXX</v>
          </cell>
          <cell r="AS24" t="str">
            <v>XXXX</v>
          </cell>
          <cell r="AT24" t="str">
            <v>XXXX</v>
          </cell>
          <cell r="AU24" t="str">
            <v>XXXX</v>
          </cell>
          <cell r="AV24" t="str">
            <v>XXXX</v>
          </cell>
          <cell r="AW24" t="str">
            <v>XXXX</v>
          </cell>
          <cell r="AX24" t="str">
            <v>XXXX</v>
          </cell>
        </row>
        <row r="25">
          <cell r="C25">
            <v>6</v>
          </cell>
          <cell r="D25" t="str">
            <v>GRAN NEUQUÉN - ARROYITO</v>
          </cell>
          <cell r="E25" t="str">
            <v>L</v>
          </cell>
          <cell r="F25">
            <v>132</v>
          </cell>
          <cell r="G25">
            <v>51.3</v>
          </cell>
          <cell r="AS25">
            <v>2</v>
          </cell>
          <cell r="AX25">
            <v>1</v>
          </cell>
        </row>
        <row r="26">
          <cell r="C26">
            <v>7</v>
          </cell>
          <cell r="D26" t="str">
            <v>GRAN NEUQUÉN - CENTENARIO</v>
          </cell>
          <cell r="E26" t="str">
            <v>L</v>
          </cell>
          <cell r="F26">
            <v>132</v>
          </cell>
          <cell r="G26">
            <v>9.5</v>
          </cell>
          <cell r="AR26">
            <v>1</v>
          </cell>
        </row>
        <row r="27">
          <cell r="C27">
            <v>8</v>
          </cell>
          <cell r="D27" t="str">
            <v>LAS LAJAS - ZAPALA</v>
          </cell>
          <cell r="E27" t="str">
            <v>L</v>
          </cell>
          <cell r="F27">
            <v>132</v>
          </cell>
          <cell r="G27">
            <v>54.7</v>
          </cell>
          <cell r="AO27">
            <v>1</v>
          </cell>
          <cell r="AR27">
            <v>2</v>
          </cell>
        </row>
        <row r="28">
          <cell r="C28">
            <v>9</v>
          </cell>
          <cell r="D28" t="str">
            <v>LOMA LA LATA - PLAYA PCIE. BANDERITA</v>
          </cell>
          <cell r="E28" t="str">
            <v>L</v>
          </cell>
          <cell r="F28">
            <v>132</v>
          </cell>
          <cell r="G28">
            <v>26.6</v>
          </cell>
          <cell r="AM28" t="str">
            <v>XXXX</v>
          </cell>
          <cell r="AN28" t="str">
            <v>XXXX</v>
          </cell>
          <cell r="AO28" t="str">
            <v>XXXX</v>
          </cell>
          <cell r="AP28" t="str">
            <v>XXXX</v>
          </cell>
          <cell r="AQ28" t="str">
            <v>XXXX</v>
          </cell>
          <cell r="AR28" t="str">
            <v>XXXX</v>
          </cell>
          <cell r="AS28" t="str">
            <v>XXXX</v>
          </cell>
          <cell r="AT28" t="str">
            <v>XXXX</v>
          </cell>
          <cell r="AU28" t="str">
            <v>XXXX</v>
          </cell>
          <cell r="AV28" t="str">
            <v>XXXX</v>
          </cell>
          <cell r="AW28" t="str">
            <v>XXXX</v>
          </cell>
          <cell r="AX28" t="str">
            <v>XXXX</v>
          </cell>
        </row>
        <row r="29">
          <cell r="C29">
            <v>10</v>
          </cell>
          <cell r="D29" t="str">
            <v>PIO PROTO - ALICURA</v>
          </cell>
          <cell r="E29" t="str">
            <v>L</v>
          </cell>
          <cell r="F29">
            <v>132</v>
          </cell>
          <cell r="G29">
            <v>93.2</v>
          </cell>
        </row>
        <row r="30">
          <cell r="C30">
            <v>11</v>
          </cell>
          <cell r="D30" t="str">
            <v>PLAZA HUINCUL - ARROYITO</v>
          </cell>
          <cell r="E30" t="str">
            <v>L</v>
          </cell>
          <cell r="F30">
            <v>132</v>
          </cell>
          <cell r="G30">
            <v>58</v>
          </cell>
          <cell r="AO30">
            <v>1</v>
          </cell>
          <cell r="AU30">
            <v>1</v>
          </cell>
        </row>
        <row r="31">
          <cell r="C31">
            <v>12</v>
          </cell>
          <cell r="D31" t="str">
            <v>PTO. HERNANDEZ - FILO MORADO</v>
          </cell>
          <cell r="E31" t="str">
            <v>L</v>
          </cell>
          <cell r="F31">
            <v>132</v>
          </cell>
          <cell r="G31">
            <v>61.3</v>
          </cell>
          <cell r="AN31">
            <v>2</v>
          </cell>
          <cell r="AQ31">
            <v>1</v>
          </cell>
          <cell r="AR31">
            <v>1</v>
          </cell>
          <cell r="AU31">
            <v>2</v>
          </cell>
          <cell r="AV31">
            <v>1</v>
          </cell>
        </row>
        <row r="32">
          <cell r="C32">
            <v>13</v>
          </cell>
          <cell r="D32" t="str">
            <v>VISTA ALEGRE - CAMPO GRANDE</v>
          </cell>
          <cell r="E32" t="str">
            <v>L</v>
          </cell>
          <cell r="F32">
            <v>33</v>
          </cell>
          <cell r="G32">
            <v>4.2</v>
          </cell>
          <cell r="AM32" t="str">
            <v>XXXX</v>
          </cell>
          <cell r="AN32" t="str">
            <v>XXXX</v>
          </cell>
          <cell r="AO32" t="str">
            <v>XXXX</v>
          </cell>
          <cell r="AP32" t="str">
            <v>XXXX</v>
          </cell>
          <cell r="AQ32" t="str">
            <v>XXXX</v>
          </cell>
          <cell r="AR32" t="str">
            <v>XXXX</v>
          </cell>
          <cell r="AS32" t="str">
            <v>XXXX</v>
          </cell>
          <cell r="AT32" t="str">
            <v>XXXX</v>
          </cell>
          <cell r="AU32" t="str">
            <v>XXXX</v>
          </cell>
          <cell r="AV32" t="str">
            <v>XXXX</v>
          </cell>
          <cell r="AW32" t="str">
            <v>XXXX</v>
          </cell>
          <cell r="AX32" t="str">
            <v>XXXX</v>
          </cell>
        </row>
        <row r="33">
          <cell r="C33">
            <v>14</v>
          </cell>
          <cell r="D33" t="str">
            <v>PAMPA TRIL - CHOS  MALAL</v>
          </cell>
          <cell r="E33" t="str">
            <v>L</v>
          </cell>
          <cell r="F33">
            <v>132</v>
          </cell>
          <cell r="G33">
            <v>49.3</v>
          </cell>
          <cell r="AM33" t="str">
            <v>XXXX</v>
          </cell>
          <cell r="AN33" t="str">
            <v>XXXX</v>
          </cell>
          <cell r="AO33" t="str">
            <v>XXXX</v>
          </cell>
          <cell r="AP33" t="str">
            <v>XXXX</v>
          </cell>
          <cell r="AQ33" t="str">
            <v>XXXX</v>
          </cell>
          <cell r="AR33" t="str">
            <v>XXXX</v>
          </cell>
          <cell r="AS33" t="str">
            <v>XXXX</v>
          </cell>
          <cell r="AT33" t="str">
            <v>XXXX</v>
          </cell>
          <cell r="AU33" t="str">
            <v>XXXX</v>
          </cell>
          <cell r="AV33" t="str">
            <v>XXXX</v>
          </cell>
          <cell r="AW33" t="str">
            <v>XXXX</v>
          </cell>
          <cell r="AX33" t="str">
            <v>XXXX</v>
          </cell>
        </row>
        <row r="34">
          <cell r="C34">
            <v>15</v>
          </cell>
          <cell r="D34" t="str">
            <v>PAMAPA TRIL - FILO MORADO</v>
          </cell>
          <cell r="E34" t="str">
            <v>L</v>
          </cell>
          <cell r="F34">
            <v>132</v>
          </cell>
          <cell r="G34">
            <v>17</v>
          </cell>
          <cell r="AM34" t="str">
            <v>XXXX</v>
          </cell>
          <cell r="AN34" t="str">
            <v>XXXX</v>
          </cell>
          <cell r="AO34" t="str">
            <v>XXXX</v>
          </cell>
          <cell r="AP34" t="str">
            <v>XXXX</v>
          </cell>
          <cell r="AQ34" t="str">
            <v>XXXX</v>
          </cell>
          <cell r="AR34" t="str">
            <v>XXXX</v>
          </cell>
          <cell r="AS34" t="str">
            <v>XXXX</v>
          </cell>
          <cell r="AT34" t="str">
            <v>XXXX</v>
          </cell>
          <cell r="AU34" t="str">
            <v>XXXX</v>
          </cell>
          <cell r="AV34" t="str">
            <v>XXXX</v>
          </cell>
          <cell r="AW34" t="str">
            <v>XXXX</v>
          </cell>
          <cell r="AX34" t="str">
            <v>XXXX</v>
          </cell>
        </row>
        <row r="35">
          <cell r="C35">
            <v>16</v>
          </cell>
          <cell r="D35" t="str">
            <v>L. LATA - MEGA T</v>
          </cell>
          <cell r="E35" t="str">
            <v>L</v>
          </cell>
          <cell r="F35">
            <v>132</v>
          </cell>
          <cell r="G35">
            <v>12.9</v>
          </cell>
        </row>
        <row r="36">
          <cell r="C36">
            <v>17</v>
          </cell>
          <cell r="D36" t="str">
            <v>MEGA T - PLAYA PLANICIE BANDERITA</v>
          </cell>
          <cell r="E36" t="str">
            <v>L</v>
          </cell>
          <cell r="F36">
            <v>132</v>
          </cell>
          <cell r="G36">
            <v>13.8</v>
          </cell>
        </row>
        <row r="37">
          <cell r="C37">
            <v>18</v>
          </cell>
          <cell r="D37" t="str">
            <v>LAJAS - C.NEVADA  </v>
          </cell>
          <cell r="E37" t="str">
            <v>L</v>
          </cell>
          <cell r="F37">
            <v>33</v>
          </cell>
          <cell r="G37">
            <v>43</v>
          </cell>
        </row>
        <row r="38">
          <cell r="C38">
            <v>19</v>
          </cell>
          <cell r="D38" t="str">
            <v>C.NEVADA - LONCOPUE  </v>
          </cell>
          <cell r="E38" t="str">
            <v>L</v>
          </cell>
          <cell r="F38">
            <v>33</v>
          </cell>
          <cell r="G38">
            <v>14.7</v>
          </cell>
        </row>
        <row r="39">
          <cell r="C39">
            <v>20</v>
          </cell>
          <cell r="D39" t="str">
            <v>LONCOPUE - CTCAVIAHUE</v>
          </cell>
          <cell r="E39" t="str">
            <v>L</v>
          </cell>
          <cell r="F39">
            <v>33</v>
          </cell>
          <cell r="G39">
            <v>1.5</v>
          </cell>
        </row>
        <row r="40">
          <cell r="C40">
            <v>21</v>
          </cell>
          <cell r="D40" t="str">
            <v>C.LBANDE-LLAMUCO  33.0</v>
          </cell>
          <cell r="E40" t="str">
            <v>L</v>
          </cell>
          <cell r="F40">
            <v>33</v>
          </cell>
          <cell r="G40">
            <v>20</v>
          </cell>
        </row>
        <row r="41">
          <cell r="C41">
            <v>22</v>
          </cell>
          <cell r="D41" t="str">
            <v>LLAMUCO-LLA-PPIN  33.0</v>
          </cell>
          <cell r="E41" t="str">
            <v>L</v>
          </cell>
          <cell r="F41">
            <v>33</v>
          </cell>
          <cell r="G41">
            <v>6.2</v>
          </cell>
        </row>
        <row r="42">
          <cell r="C42">
            <v>23</v>
          </cell>
          <cell r="D42" t="str">
            <v>LLA-PPIN-P.PINOS  33.0</v>
          </cell>
          <cell r="E42" t="str">
            <v>L</v>
          </cell>
          <cell r="F42">
            <v>33</v>
          </cell>
          <cell r="G42">
            <v>1.8</v>
          </cell>
        </row>
        <row r="43">
          <cell r="C43">
            <v>24</v>
          </cell>
          <cell r="D43" t="str">
            <v>Z.FRANCA-C.LBANDE  33.0</v>
          </cell>
          <cell r="E43" t="str">
            <v>L</v>
          </cell>
          <cell r="F43">
            <v>33</v>
          </cell>
          <cell r="G43">
            <v>23.2</v>
          </cell>
        </row>
        <row r="44">
          <cell r="C44">
            <v>25</v>
          </cell>
          <cell r="D44" t="str">
            <v>ZAPAL33-Z.FRANCA  33.0</v>
          </cell>
          <cell r="E44" t="str">
            <v>L</v>
          </cell>
          <cell r="F44">
            <v>33</v>
          </cell>
          <cell r="G44">
            <v>6.8</v>
          </cell>
        </row>
        <row r="49">
          <cell r="AM49">
            <v>2.3262576330328586</v>
          </cell>
          <cell r="AN49">
            <v>2.035475428903751</v>
          </cell>
          <cell r="AO49">
            <v>2.4716487350974123</v>
          </cell>
          <cell r="AP49">
            <v>2.7624309392265194</v>
          </cell>
          <cell r="AQ49">
            <v>2.4716487350974123</v>
          </cell>
          <cell r="AR49">
            <v>2.4716487350974123</v>
          </cell>
          <cell r="AS49">
            <v>2.617039837161966</v>
          </cell>
          <cell r="AT49">
            <v>2.907822041291073</v>
          </cell>
          <cell r="AU49">
            <v>2.907822041291073</v>
          </cell>
          <cell r="AV49">
            <v>4.216341959872056</v>
          </cell>
          <cell r="AW49">
            <v>4.507124164001163</v>
          </cell>
          <cell r="AX49">
            <v>4.36173306193661</v>
          </cell>
          <cell r="AY49">
            <v>4.7979063681302705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613"/>
      <sheetName val="LI-06 (1)"/>
      <sheetName val="TASA FALLA"/>
      <sheetName val="DA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antunez\AppData\Local\AA%20PROCESO%20AUT\EXCEL\DISTROCUYO\FABIAN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0" zoomScaleNormal="80" zoomScalePageLayoutView="0" workbookViewId="0" topLeftCell="A1">
      <selection activeCell="D8" sqref="D8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8515625" style="4" customWidth="1"/>
    <col min="4" max="4" width="6.7109375" style="4" customWidth="1"/>
    <col min="5" max="5" width="11.28125" style="4" customWidth="1"/>
    <col min="6" max="6" width="6.00390625" style="4" customWidth="1"/>
    <col min="7" max="8" width="16.7109375" style="4" customWidth="1"/>
    <col min="9" max="9" width="6.28125" style="4" customWidth="1"/>
    <col min="10" max="10" width="19.8515625" style="4" customWidth="1"/>
    <col min="11" max="11" width="14.28125" style="4" customWidth="1"/>
    <col min="12" max="12" width="15.7109375" style="4" customWidth="1"/>
    <col min="13" max="16384" width="11.421875" style="4" customWidth="1"/>
  </cols>
  <sheetData>
    <row r="1" spans="2:12" s="24" customFormat="1" ht="26.25">
      <c r="B1" s="25"/>
      <c r="L1" s="90"/>
    </row>
    <row r="2" spans="2:11" s="24" customFormat="1" ht="26.25">
      <c r="B2" s="25" t="s">
        <v>129</v>
      </c>
      <c r="C2" s="39"/>
      <c r="D2" s="30"/>
      <c r="E2" s="30"/>
      <c r="F2" s="30"/>
      <c r="G2" s="30"/>
      <c r="H2" s="30"/>
      <c r="I2" s="30"/>
      <c r="J2" s="30"/>
      <c r="K2" s="30"/>
    </row>
    <row r="3" spans="3:11" ht="12.75">
      <c r="C3"/>
      <c r="D3" s="19"/>
      <c r="E3" s="19"/>
      <c r="F3" s="19"/>
      <c r="G3" s="19"/>
      <c r="H3" s="19"/>
      <c r="I3" s="19"/>
      <c r="J3" s="19"/>
      <c r="K3" s="19"/>
    </row>
    <row r="4" spans="1:12" s="29" customFormat="1" ht="11.25">
      <c r="A4" s="38" t="s">
        <v>2</v>
      </c>
      <c r="B4" s="40"/>
      <c r="D4" s="41"/>
      <c r="E4" s="41"/>
      <c r="F4" s="41"/>
      <c r="G4" s="41"/>
      <c r="H4" s="41"/>
      <c r="I4" s="41"/>
      <c r="J4" s="41"/>
      <c r="K4" s="41"/>
      <c r="L4" s="41"/>
    </row>
    <row r="5" spans="1:12" s="29" customFormat="1" ht="11.25">
      <c r="A5" s="38" t="s">
        <v>3</v>
      </c>
      <c r="B5" s="40"/>
      <c r="D5" s="41"/>
      <c r="E5" s="41"/>
      <c r="F5" s="41"/>
      <c r="G5" s="41"/>
      <c r="H5" s="41"/>
      <c r="I5" s="41"/>
      <c r="J5" s="41"/>
      <c r="K5" s="41"/>
      <c r="L5" s="41"/>
    </row>
    <row r="6" spans="2:12" s="24" customFormat="1" ht="11.25" customHeight="1">
      <c r="B6" s="42"/>
      <c r="D6" s="43"/>
      <c r="E6" s="43"/>
      <c r="F6" s="43"/>
      <c r="G6" s="43"/>
      <c r="H6" s="43"/>
      <c r="I6" s="43"/>
      <c r="J6" s="43"/>
      <c r="K6" s="43"/>
      <c r="L6" s="43"/>
    </row>
    <row r="7" spans="2:12" s="31" customFormat="1" ht="20.25">
      <c r="B7" s="78" t="s">
        <v>0</v>
      </c>
      <c r="C7" s="44"/>
      <c r="D7" s="45"/>
      <c r="E7" s="45"/>
      <c r="F7" s="45"/>
      <c r="G7" s="45"/>
      <c r="H7" s="46"/>
      <c r="I7" s="46"/>
      <c r="J7" s="46"/>
      <c r="K7" s="46"/>
      <c r="L7" s="18"/>
    </row>
    <row r="8" spans="10:12" ht="12.75">
      <c r="J8" s="2"/>
      <c r="K8" s="2"/>
      <c r="L8" s="2"/>
    </row>
    <row r="9" spans="2:12" s="31" customFormat="1" ht="20.25">
      <c r="B9" s="78" t="str">
        <f>DATO!F5</f>
        <v>E.P.E.N.</v>
      </c>
      <c r="C9" s="44"/>
      <c r="D9" s="45"/>
      <c r="E9" s="45"/>
      <c r="F9" s="45"/>
      <c r="G9" s="45"/>
      <c r="H9" s="45"/>
      <c r="I9" s="45"/>
      <c r="J9" s="46"/>
      <c r="K9" s="46"/>
      <c r="L9" s="18"/>
    </row>
    <row r="10" spans="4:12" ht="12.75">
      <c r="D10" s="48"/>
      <c r="E10" s="48"/>
      <c r="F10" s="48"/>
      <c r="G10" s="48"/>
      <c r="J10" s="2"/>
      <c r="K10" s="2"/>
      <c r="L10" s="2"/>
    </row>
    <row r="11" spans="2:12" s="31" customFormat="1" ht="20.25">
      <c r="B11" s="78" t="s">
        <v>115</v>
      </c>
      <c r="C11" s="47"/>
      <c r="D11" s="47"/>
      <c r="E11" s="47"/>
      <c r="F11" s="47"/>
      <c r="G11" s="47"/>
      <c r="H11" s="45"/>
      <c r="I11" s="45"/>
      <c r="J11" s="46"/>
      <c r="K11" s="46"/>
      <c r="L11" s="18"/>
    </row>
    <row r="12" spans="4:12" s="49" customFormat="1" ht="16.5" thickBot="1">
      <c r="D12" s="1"/>
      <c r="E12" s="1"/>
      <c r="F12" s="1"/>
      <c r="G12" s="1"/>
      <c r="J12" s="50"/>
      <c r="K12" s="50"/>
      <c r="L12" s="50"/>
    </row>
    <row r="13" spans="2:12" s="49" customFormat="1" ht="16.5" thickTop="1">
      <c r="B13" s="83">
        <v>2</v>
      </c>
      <c r="C13" s="91"/>
      <c r="D13" s="51"/>
      <c r="E13" s="51"/>
      <c r="F13" s="51"/>
      <c r="G13" s="51"/>
      <c r="H13" s="51"/>
      <c r="I13" s="51"/>
      <c r="J13" s="51"/>
      <c r="K13" s="52"/>
      <c r="L13" s="50"/>
    </row>
    <row r="14" spans="2:12" s="22" customFormat="1" ht="19.5">
      <c r="B14" s="53" t="s">
        <v>112</v>
      </c>
      <c r="C14" s="54"/>
      <c r="D14" s="55"/>
      <c r="E14" s="21"/>
      <c r="F14" s="21"/>
      <c r="G14" s="21"/>
      <c r="H14" s="21"/>
      <c r="I14" s="21"/>
      <c r="J14" s="34"/>
      <c r="K14" s="56"/>
      <c r="L14" s="7"/>
    </row>
    <row r="15" spans="2:12" s="22" customFormat="1" ht="19.5">
      <c r="B15" s="33"/>
      <c r="C15" s="57"/>
      <c r="D15" s="57"/>
      <c r="E15" s="7"/>
      <c r="F15" s="7"/>
      <c r="G15" s="7"/>
      <c r="H15" s="8"/>
      <c r="I15" s="8"/>
      <c r="J15" s="7"/>
      <c r="K15" s="35"/>
      <c r="L15" s="7"/>
    </row>
    <row r="16" spans="2:12" s="22" customFormat="1" ht="19.5">
      <c r="B16" s="53" t="str">
        <f>IF(B13=2,"Sanciones duplicadas por tasa de falla &gt; 4 Sal. x año/100km.","")</f>
        <v>Sanciones duplicadas por tasa de falla &gt; 4 Sal. x año/100km.</v>
      </c>
      <c r="C16" s="79"/>
      <c r="D16" s="79"/>
      <c r="E16" s="34"/>
      <c r="F16" s="34"/>
      <c r="G16" s="21"/>
      <c r="H16" s="21"/>
      <c r="I16" s="34"/>
      <c r="J16" s="20"/>
      <c r="K16" s="56"/>
      <c r="L16" s="7"/>
    </row>
    <row r="17" spans="2:12" s="22" customFormat="1" ht="19.5">
      <c r="B17" s="33"/>
      <c r="C17" s="57"/>
      <c r="D17" s="57"/>
      <c r="E17" s="7"/>
      <c r="F17" s="7"/>
      <c r="G17" s="8"/>
      <c r="H17" s="8"/>
      <c r="I17" s="7"/>
      <c r="J17"/>
      <c r="K17" s="35"/>
      <c r="L17" s="7"/>
    </row>
    <row r="18" spans="2:12" s="22" customFormat="1" ht="19.5">
      <c r="B18" s="33"/>
      <c r="C18" s="58" t="s">
        <v>4</v>
      </c>
      <c r="D18" s="59" t="s">
        <v>5</v>
      </c>
      <c r="E18" s="7"/>
      <c r="F18" s="7"/>
      <c r="G18" s="7"/>
      <c r="H18" s="8"/>
      <c r="I18" s="8"/>
      <c r="J18" s="9">
        <f>'LI-08 (1)'!AB47</f>
        <v>14180.67</v>
      </c>
      <c r="K18" s="35"/>
      <c r="L18" s="7"/>
    </row>
    <row r="19" spans="2:12" ht="13.5">
      <c r="B19" s="6"/>
      <c r="C19" s="60"/>
      <c r="D19" s="61"/>
      <c r="E19" s="2"/>
      <c r="F19" s="2"/>
      <c r="G19" s="2"/>
      <c r="H19" s="62"/>
      <c r="I19" s="62"/>
      <c r="J19" s="63"/>
      <c r="K19" s="5"/>
      <c r="L19" s="2"/>
    </row>
    <row r="20" spans="2:12" s="22" customFormat="1" ht="19.5">
      <c r="B20" s="33"/>
      <c r="C20" s="57"/>
      <c r="D20" s="57"/>
      <c r="E20" s="7"/>
      <c r="F20" s="7"/>
      <c r="G20" s="7"/>
      <c r="H20" s="8"/>
      <c r="I20" s="8"/>
      <c r="J20" s="10"/>
      <c r="K20" s="35"/>
      <c r="L20" s="7"/>
    </row>
    <row r="21" spans="2:12" s="22" customFormat="1" ht="20.25" thickBot="1">
      <c r="B21" s="33"/>
      <c r="C21" s="57"/>
      <c r="D21" s="57"/>
      <c r="E21" s="7"/>
      <c r="F21" s="7"/>
      <c r="G21" s="7"/>
      <c r="H21" s="8"/>
      <c r="I21" s="8"/>
      <c r="J21" s="7"/>
      <c r="K21" s="35"/>
      <c r="L21" s="7"/>
    </row>
    <row r="22" spans="2:12" s="22" customFormat="1" ht="20.25" thickBot="1" thickTop="1">
      <c r="B22" s="33"/>
      <c r="C22" s="58"/>
      <c r="D22" s="58"/>
      <c r="E22"/>
      <c r="F22"/>
      <c r="G22" s="64" t="s">
        <v>6</v>
      </c>
      <c r="H22" s="65">
        <f>ROUND(SUM(J18:J20),2)</f>
        <v>14180.67</v>
      </c>
      <c r="I22"/>
      <c r="K22" s="35"/>
      <c r="L22" s="7"/>
    </row>
    <row r="23" spans="2:12" s="22" customFormat="1" ht="9" customHeight="1" thickTop="1">
      <c r="B23" s="33"/>
      <c r="C23" s="58"/>
      <c r="D23" s="58"/>
      <c r="E23"/>
      <c r="F23"/>
      <c r="G23" s="220"/>
      <c r="H23" s="221"/>
      <c r="I23"/>
      <c r="K23" s="35"/>
      <c r="L23" s="7"/>
    </row>
    <row r="24" spans="2:12" s="22" customFormat="1" ht="18.75">
      <c r="B24" s="33"/>
      <c r="C24" s="222" t="s">
        <v>45</v>
      </c>
      <c r="D24" s="58"/>
      <c r="E24"/>
      <c r="F24"/>
      <c r="G24" s="220"/>
      <c r="H24" s="221"/>
      <c r="I24"/>
      <c r="K24" s="35"/>
      <c r="L24" s="7"/>
    </row>
    <row r="25" spans="2:12" s="49" customFormat="1" ht="9" customHeight="1" thickBot="1">
      <c r="B25" s="66"/>
      <c r="C25" s="67"/>
      <c r="D25" s="67"/>
      <c r="E25" s="67"/>
      <c r="F25" s="67"/>
      <c r="G25" s="67"/>
      <c r="H25" s="67"/>
      <c r="I25" s="67"/>
      <c r="J25" s="67"/>
      <c r="K25" s="68"/>
      <c r="L25" s="50"/>
    </row>
    <row r="26" ht="13.5" thickTop="1"/>
  </sheetData>
  <sheetProtection/>
  <printOptions/>
  <pageMargins left="0.2755905511811024" right="0.6692913385826772" top="0.7874015748031497" bottom="0.7874015748031497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80" zoomScaleNormal="80" zoomScalePageLayoutView="0" workbookViewId="0" topLeftCell="F1">
      <selection activeCell="D8" sqref="D8"/>
    </sheetView>
  </sheetViews>
  <sheetFormatPr defaultColWidth="11.421875" defaultRowHeight="12.75"/>
  <cols>
    <col min="1" max="2" width="4.00390625" style="127" customWidth="1"/>
    <col min="3" max="3" width="4.7109375" style="127" customWidth="1"/>
    <col min="4" max="5" width="13.8515625" style="127" customWidth="1"/>
    <col min="6" max="6" width="57.00390625" style="127" customWidth="1"/>
    <col min="7" max="9" width="8.7109375" style="127" customWidth="1"/>
    <col min="10" max="10" width="6.7109375" style="127" hidden="1" customWidth="1"/>
    <col min="11" max="12" width="16.7109375" style="127" customWidth="1"/>
    <col min="13" max="15" width="9.7109375" style="127" customWidth="1"/>
    <col min="16" max="16" width="7.7109375" style="127" customWidth="1"/>
    <col min="17" max="18" width="5.00390625" style="127" hidden="1" customWidth="1"/>
    <col min="19" max="20" width="8.8515625" style="127" hidden="1" customWidth="1"/>
    <col min="21" max="21" width="7.140625" style="127" hidden="1" customWidth="1"/>
    <col min="22" max="23" width="5.7109375" style="127" hidden="1" customWidth="1"/>
    <col min="24" max="24" width="5.00390625" style="127" hidden="1" customWidth="1"/>
    <col min="25" max="26" width="11.57421875" style="127" hidden="1" customWidth="1"/>
    <col min="27" max="27" width="9.28125" style="127" customWidth="1"/>
    <col min="28" max="28" width="15.7109375" style="127" customWidth="1"/>
    <col min="29" max="29" width="4.00390625" style="127" customWidth="1"/>
    <col min="30" max="16384" width="11.421875" style="127" customWidth="1"/>
  </cols>
  <sheetData>
    <row r="1" s="99" customFormat="1" ht="26.25">
      <c r="AC1" s="100"/>
    </row>
    <row r="2" spans="2:29" s="99" customFormat="1" ht="26.25">
      <c r="B2" s="101" t="str">
        <f>+'TOT-0816'!B2</f>
        <v>ANEXO II a la Resolución AAANR N°   3 / 2017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3:29" s="103" customFormat="1" ht="12.75">
      <c r="C3" s="104"/>
      <c r="D3" s="104"/>
      <c r="E3" s="104"/>
      <c r="F3" s="104"/>
      <c r="G3" s="104"/>
      <c r="H3" s="105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" s="106" customFormat="1" ht="11.25">
      <c r="A4" s="228" t="s">
        <v>2</v>
      </c>
      <c r="B4" s="28"/>
    </row>
    <row r="5" spans="1:2" s="106" customFormat="1" ht="11.25">
      <c r="A5" s="228" t="s">
        <v>52</v>
      </c>
      <c r="B5" s="28"/>
    </row>
    <row r="6" s="103" customFormat="1" ht="19.5" customHeight="1" thickBot="1"/>
    <row r="7" spans="1:29" s="103" customFormat="1" ht="16.5" customHeight="1" thickTop="1">
      <c r="A7" s="26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</row>
    <row r="8" spans="1:29" s="112" customFormat="1" ht="20.25">
      <c r="A8" s="32"/>
      <c r="B8" s="110"/>
      <c r="C8" s="32"/>
      <c r="D8" s="32"/>
      <c r="E8" s="32"/>
      <c r="F8" s="111" t="str">
        <f>CONCATENATE("FUNCIÓN TÉCNICA DE TRANSPORTE DE ENERGÍA ELÉCTRICA - ",'TOT-0816'!B9)</f>
        <v>FUNCIÓN TÉCNICA DE TRANSPORTE DE ENERGÍA ELÉCTRICA - E.P.E.N.</v>
      </c>
      <c r="G8" s="111"/>
      <c r="H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113"/>
    </row>
    <row r="9" spans="1:29" s="103" customFormat="1" ht="16.5" customHeight="1">
      <c r="A9" s="26"/>
      <c r="B9" s="114"/>
      <c r="C9" s="26"/>
      <c r="D9" s="26"/>
      <c r="E9" s="26"/>
      <c r="F9" s="27"/>
      <c r="G9" s="27"/>
      <c r="H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115"/>
    </row>
    <row r="10" spans="1:29" s="112" customFormat="1" ht="20.25">
      <c r="A10" s="32"/>
      <c r="B10" s="110"/>
      <c r="C10" s="32"/>
      <c r="D10" s="32"/>
      <c r="E10" s="32"/>
      <c r="F10" s="111" t="s">
        <v>7</v>
      </c>
      <c r="G10" s="116"/>
      <c r="H10" s="11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113"/>
    </row>
    <row r="11" spans="1:29" s="103" customFormat="1" ht="16.5" customHeight="1">
      <c r="A11" s="26"/>
      <c r="B11" s="114"/>
      <c r="C11" s="26"/>
      <c r="D11" s="26"/>
      <c r="E11" s="26"/>
      <c r="F11" s="117"/>
      <c r="G11" s="117"/>
      <c r="H11" s="11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15"/>
    </row>
    <row r="12" spans="1:29" s="123" customFormat="1" ht="19.5">
      <c r="A12" s="119"/>
      <c r="B12" s="120" t="str">
        <f>+'TOT-0816'!B14</f>
        <v>Desde el 01 al 31 de agosto de 2016</v>
      </c>
      <c r="C12" s="69"/>
      <c r="D12" s="69"/>
      <c r="E12" s="69"/>
      <c r="F12" s="70"/>
      <c r="G12" s="70"/>
      <c r="H12" s="70"/>
      <c r="I12" s="121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122"/>
    </row>
    <row r="13" spans="1:29" s="103" customFormat="1" ht="16.5" customHeight="1" thickBot="1">
      <c r="A13" s="26"/>
      <c r="B13" s="114"/>
      <c r="C13" s="26"/>
      <c r="D13" s="26"/>
      <c r="E13" s="26"/>
      <c r="F13" s="26"/>
      <c r="G13" s="26"/>
      <c r="H13" s="118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115"/>
    </row>
    <row r="14" spans="1:29" s="103" customFormat="1" ht="16.5" customHeight="1" thickBot="1" thickTop="1">
      <c r="A14" s="26"/>
      <c r="B14" s="114"/>
      <c r="C14" s="26"/>
      <c r="D14" s="26"/>
      <c r="E14" s="26"/>
      <c r="F14" s="98" t="s">
        <v>8</v>
      </c>
      <c r="G14" s="97">
        <v>52.166</v>
      </c>
      <c r="H14" s="124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115"/>
    </row>
    <row r="15" spans="1:29" s="103" customFormat="1" ht="16.5" customHeight="1" thickBot="1" thickTop="1">
      <c r="A15" s="26"/>
      <c r="B15" s="114"/>
      <c r="C15" s="26"/>
      <c r="D15" s="26"/>
      <c r="E15" s="26"/>
      <c r="F15" s="98" t="s">
        <v>9</v>
      </c>
      <c r="G15" s="97">
        <v>49.847</v>
      </c>
      <c r="H15" s="124"/>
      <c r="I15" s="125"/>
      <c r="J15" s="26"/>
      <c r="K15" s="126"/>
      <c r="L15" s="127"/>
      <c r="M15" s="127"/>
      <c r="N15" s="127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115"/>
    </row>
    <row r="16" spans="1:29" s="103" customFormat="1" ht="16.5" customHeight="1" thickBot="1" thickTop="1">
      <c r="A16" s="26"/>
      <c r="B16" s="114"/>
      <c r="C16" s="26"/>
      <c r="D16" s="26"/>
      <c r="E16" s="26"/>
      <c r="F16" s="98" t="s">
        <v>10</v>
      </c>
      <c r="G16" s="97">
        <v>104.331</v>
      </c>
      <c r="H16" s="124"/>
      <c r="I16" s="125"/>
      <c r="J16" s="26"/>
      <c r="K16" s="26"/>
      <c r="L16" s="128" t="s">
        <v>11</v>
      </c>
      <c r="M16" s="129">
        <f>30*'TOT-0816'!B13</f>
        <v>60</v>
      </c>
      <c r="N16" s="23" t="str">
        <f>IF(M16=30," ",IF(M16=60,"Coeficiente duplicado por tasa de falla &gt;4 Sal. x año/100 km.","REVISAR COEFICIENTE"))</f>
        <v>Coeficiente duplicado por tasa de falla &gt;4 Sal. x año/100 km.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115"/>
    </row>
    <row r="17" spans="1:29" s="103" customFormat="1" ht="16.5" customHeight="1" thickBot="1" thickTop="1">
      <c r="A17" s="26"/>
      <c r="B17" s="114"/>
      <c r="C17" s="26"/>
      <c r="D17" s="26"/>
      <c r="E17" s="26"/>
      <c r="F17" s="98" t="s">
        <v>12</v>
      </c>
      <c r="G17" s="97">
        <v>98.535</v>
      </c>
      <c r="H17" s="124"/>
      <c r="I17" s="125"/>
      <c r="J17" s="26"/>
      <c r="K17" s="26"/>
      <c r="L17" s="26"/>
      <c r="M17" s="130"/>
      <c r="N17" s="131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15"/>
    </row>
    <row r="18" spans="1:29" s="103" customFormat="1" ht="16.5" customHeight="1" thickBot="1" thickTop="1">
      <c r="A18" s="26"/>
      <c r="B18" s="114"/>
      <c r="C18" s="253">
        <v>3</v>
      </c>
      <c r="D18" s="253">
        <v>4</v>
      </c>
      <c r="E18" s="253">
        <v>5</v>
      </c>
      <c r="F18" s="253">
        <v>6</v>
      </c>
      <c r="G18" s="253">
        <v>7</v>
      </c>
      <c r="H18" s="253">
        <v>8</v>
      </c>
      <c r="I18" s="253">
        <v>9</v>
      </c>
      <c r="J18" s="253">
        <v>10</v>
      </c>
      <c r="K18" s="253">
        <v>11</v>
      </c>
      <c r="L18" s="253">
        <v>12</v>
      </c>
      <c r="M18" s="253">
        <v>13</v>
      </c>
      <c r="N18" s="253">
        <v>14</v>
      </c>
      <c r="O18" s="253">
        <v>15</v>
      </c>
      <c r="P18" s="253">
        <v>16</v>
      </c>
      <c r="Q18" s="253">
        <v>17</v>
      </c>
      <c r="R18" s="253">
        <v>18</v>
      </c>
      <c r="S18" s="253">
        <v>19</v>
      </c>
      <c r="T18" s="253">
        <v>20</v>
      </c>
      <c r="U18" s="253">
        <v>21</v>
      </c>
      <c r="V18" s="253">
        <v>22</v>
      </c>
      <c r="W18" s="253">
        <v>23</v>
      </c>
      <c r="X18" s="253">
        <v>24</v>
      </c>
      <c r="Y18" s="253">
        <v>25</v>
      </c>
      <c r="Z18" s="253">
        <v>26</v>
      </c>
      <c r="AA18" s="253">
        <v>27</v>
      </c>
      <c r="AB18" s="253">
        <v>28</v>
      </c>
      <c r="AC18" s="115"/>
    </row>
    <row r="19" spans="1:29" s="103" customFormat="1" ht="34.5" customHeight="1" thickBot="1" thickTop="1">
      <c r="A19" s="26"/>
      <c r="B19" s="114"/>
      <c r="C19" s="229" t="s">
        <v>13</v>
      </c>
      <c r="D19" s="229" t="s">
        <v>53</v>
      </c>
      <c r="E19" s="229" t="s">
        <v>54</v>
      </c>
      <c r="F19" s="36" t="s">
        <v>5</v>
      </c>
      <c r="G19" s="36" t="s">
        <v>1</v>
      </c>
      <c r="H19" s="37" t="s">
        <v>14</v>
      </c>
      <c r="I19" s="37" t="s">
        <v>15</v>
      </c>
      <c r="J19" s="80" t="s">
        <v>16</v>
      </c>
      <c r="K19" s="36" t="s">
        <v>17</v>
      </c>
      <c r="L19" s="36" t="s">
        <v>18</v>
      </c>
      <c r="M19" s="37" t="s">
        <v>19</v>
      </c>
      <c r="N19" s="37" t="s">
        <v>20</v>
      </c>
      <c r="O19" s="85" t="s">
        <v>21</v>
      </c>
      <c r="P19" s="37" t="s">
        <v>22</v>
      </c>
      <c r="Q19" s="132" t="s">
        <v>23</v>
      </c>
      <c r="R19" s="133" t="s">
        <v>24</v>
      </c>
      <c r="S19" s="86" t="s">
        <v>25</v>
      </c>
      <c r="T19" s="134"/>
      <c r="U19" s="135"/>
      <c r="V19" s="87" t="s">
        <v>26</v>
      </c>
      <c r="W19" s="136"/>
      <c r="X19" s="137"/>
      <c r="Y19" s="138" t="s">
        <v>27</v>
      </c>
      <c r="Z19" s="139" t="s">
        <v>28</v>
      </c>
      <c r="AA19" s="37" t="s">
        <v>29</v>
      </c>
      <c r="AB19" s="37" t="s">
        <v>30</v>
      </c>
      <c r="AC19" s="115"/>
    </row>
    <row r="20" spans="1:29" s="103" customFormat="1" ht="16.5" customHeight="1" thickTop="1">
      <c r="A20" s="26"/>
      <c r="B20" s="114"/>
      <c r="C20" s="140"/>
      <c r="D20" s="140"/>
      <c r="E20" s="140"/>
      <c r="F20" s="141"/>
      <c r="G20" s="141"/>
      <c r="H20" s="84"/>
      <c r="I20" s="84"/>
      <c r="J20" s="142">
        <v>5</v>
      </c>
      <c r="K20" s="223"/>
      <c r="L20" s="224"/>
      <c r="M20" s="141"/>
      <c r="N20" s="141"/>
      <c r="O20" s="141"/>
      <c r="P20" s="141"/>
      <c r="Q20" s="143"/>
      <c r="R20" s="144"/>
      <c r="S20" s="145"/>
      <c r="T20" s="146"/>
      <c r="U20" s="147"/>
      <c r="V20" s="148"/>
      <c r="W20" s="149"/>
      <c r="X20" s="150"/>
      <c r="Y20" s="151"/>
      <c r="Z20" s="152"/>
      <c r="AA20" s="141"/>
      <c r="AB20" s="153"/>
      <c r="AC20" s="115"/>
    </row>
    <row r="21" spans="1:29" s="103" customFormat="1" ht="16.5" customHeight="1">
      <c r="A21" s="26"/>
      <c r="B21" s="114"/>
      <c r="C21" s="154"/>
      <c r="D21" s="154"/>
      <c r="E21" s="154"/>
      <c r="F21" s="3"/>
      <c r="G21" s="3"/>
      <c r="H21" s="3"/>
      <c r="I21" s="3"/>
      <c r="J21" s="155"/>
      <c r="K21" s="225"/>
      <c r="L21" s="226"/>
      <c r="M21" s="11"/>
      <c r="N21" s="3"/>
      <c r="O21" s="3"/>
      <c r="P21" s="3"/>
      <c r="Q21" s="156"/>
      <c r="R21" s="157"/>
      <c r="S21" s="158"/>
      <c r="T21" s="159"/>
      <c r="U21" s="160"/>
      <c r="V21" s="161"/>
      <c r="W21" s="162"/>
      <c r="X21" s="163"/>
      <c r="Y21" s="164"/>
      <c r="Z21" s="165"/>
      <c r="AA21" s="3"/>
      <c r="AB21" s="166"/>
      <c r="AC21" s="115"/>
    </row>
    <row r="22" spans="1:29" s="103" customFormat="1" ht="16.5" customHeight="1">
      <c r="A22" s="26"/>
      <c r="B22" s="114"/>
      <c r="C22" s="93">
        <v>1</v>
      </c>
      <c r="D22" s="93">
        <v>305573</v>
      </c>
      <c r="E22" s="93">
        <v>1365</v>
      </c>
      <c r="F22" s="192" t="s">
        <v>113</v>
      </c>
      <c r="G22" s="192" t="s">
        <v>105</v>
      </c>
      <c r="H22" s="192">
        <v>132</v>
      </c>
      <c r="I22" s="193">
        <v>58</v>
      </c>
      <c r="J22" s="81">
        <f>IF(I22&gt;25,I22,25)*IF(H22=220,IF(G22="L",$G$14,$G$16),IF(G22="L",$G$15,$G$17))/100</f>
        <v>28.911260000000002</v>
      </c>
      <c r="K22" s="258">
        <v>42583.85208333333</v>
      </c>
      <c r="L22" s="258">
        <v>42583.85833333333</v>
      </c>
      <c r="M22" s="11">
        <f>IF(F22="","",(L22-K22)*24)</f>
        <v>0.1499999999650754</v>
      </c>
      <c r="N22" s="12">
        <f>IF(F22="","",ROUND((L22-K22)*24*60,0))</f>
        <v>9</v>
      </c>
      <c r="O22" s="92" t="s">
        <v>106</v>
      </c>
      <c r="P22" s="95" t="str">
        <f aca="true" t="shared" si="0" ref="P22:P28">IF(F22="","","--")</f>
        <v>--</v>
      </c>
      <c r="Q22" s="198" t="str">
        <f>IF(O22="P",ROUND(N22/60,2)*J22*$M$16*0.01,"--")</f>
        <v>--</v>
      </c>
      <c r="R22" s="199" t="str">
        <f>IF(O22="RP",ROUND(N22/60,2)*J22*$M$16*0.01*P22/100,"--")</f>
        <v>--</v>
      </c>
      <c r="S22" s="200">
        <f>IF(O22="F",J22*$M$16,"--")</f>
        <v>1734.6756</v>
      </c>
      <c r="T22" s="201" t="str">
        <f>IF(AND(N22&gt;=10,O22="F"),J22*$M$16*IF(N22&gt;180,3,ROUND(N22/60,2)),"--")</f>
        <v>--</v>
      </c>
      <c r="U22" s="202" t="str">
        <f>IF(AND(N22&gt;180,O22="F"),(ROUND(N22/60,2)-3)*J22*$M$16*0.1,"--")</f>
        <v>--</v>
      </c>
      <c r="V22" s="203" t="str">
        <f>IF(O22="R",J22*$M$16*P22/100,"--")</f>
        <v>--</v>
      </c>
      <c r="W22" s="204" t="str">
        <f>IF(AND(N22&gt;=10,O22="R"),J22*$M$16*IF(N22&gt;180,3,ROUND(N22/60,2))*P22/100,"--")</f>
        <v>--</v>
      </c>
      <c r="X22" s="205" t="str">
        <f>IF(AND(N22&gt;180,O22="R"),(ROUND(N22/60,2)-3)*J22*$M$16*0.1*P22/100,"--")</f>
        <v>--</v>
      </c>
      <c r="Y22" s="206" t="str">
        <f>IF(O22="RF",ROUND(N22/60,2)*J22*$M$16*0.1,"--")</f>
        <v>--</v>
      </c>
      <c r="Z22" s="207" t="str">
        <f>IF(O22="RR",ROUND(N22/60,2)*J22*$M$16*0.1*P22/100,"--")</f>
        <v>--</v>
      </c>
      <c r="AA22" s="96" t="s">
        <v>107</v>
      </c>
      <c r="AB22" s="167">
        <f>IF(F22="","",SUM(Q22:Z22)*IF(AA22="SI",1,2))</f>
        <v>1734.6756</v>
      </c>
      <c r="AC22" s="115"/>
    </row>
    <row r="23" spans="1:29" s="103" customFormat="1" ht="16.5" customHeight="1">
      <c r="A23" s="26"/>
      <c r="B23" s="114"/>
      <c r="C23" s="93">
        <v>2</v>
      </c>
      <c r="D23" s="93">
        <v>305572</v>
      </c>
      <c r="E23" s="93">
        <v>5693</v>
      </c>
      <c r="F23" s="192" t="s">
        <v>110</v>
      </c>
      <c r="G23" s="192" t="s">
        <v>105</v>
      </c>
      <c r="H23" s="192">
        <v>132</v>
      </c>
      <c r="I23" s="193">
        <v>54.5</v>
      </c>
      <c r="J23" s="81">
        <f>IF(I23&gt;25,I23,25)*IF(H23=220,IF(G23="L",$G$14,$G$16),IF(G23="L",$G$15,$G$17))/100</f>
        <v>27.166615</v>
      </c>
      <c r="K23" s="258">
        <v>42585.98611111111</v>
      </c>
      <c r="L23" s="258">
        <v>42585.99166666667</v>
      </c>
      <c r="M23" s="11">
        <f>IF(F23="","",(L23-K23)*24)</f>
        <v>0.13333333341870457</v>
      </c>
      <c r="N23" s="12">
        <f>IF(F23="","",ROUND((L23-K23)*24*60,0))</f>
        <v>8</v>
      </c>
      <c r="O23" s="92" t="s">
        <v>106</v>
      </c>
      <c r="P23" s="95" t="str">
        <f t="shared" si="0"/>
        <v>--</v>
      </c>
      <c r="Q23" s="198" t="str">
        <f>IF(O23="P",ROUND(N23/60,2)*J23*$M$16*0.01,"--")</f>
        <v>--</v>
      </c>
      <c r="R23" s="199" t="str">
        <f>IF(O23="RP",ROUND(N23/60,2)*J23*$M$16*0.01*P23/100,"--")</f>
        <v>--</v>
      </c>
      <c r="S23" s="200">
        <f>IF(O23="F",J23*$M$16,"--")</f>
        <v>1629.9969</v>
      </c>
      <c r="T23" s="201" t="str">
        <f>IF(AND(N23&gt;=10,O23="F"),J23*$M$16*IF(N23&gt;180,3,ROUND(N23/60,2)),"--")</f>
        <v>--</v>
      </c>
      <c r="U23" s="202" t="str">
        <f>IF(AND(N23&gt;180,O23="F"),(ROUND(N23/60,2)-3)*J23*$M$16*0.1,"--")</f>
        <v>--</v>
      </c>
      <c r="V23" s="203" t="str">
        <f>IF(O23="R",J23*$M$16*P23/100,"--")</f>
        <v>--</v>
      </c>
      <c r="W23" s="204" t="str">
        <f>IF(AND(N23&gt;=10,O23="R"),J23*$M$16*IF(N23&gt;180,3,ROUND(N23/60,2))*P23/100,"--")</f>
        <v>--</v>
      </c>
      <c r="X23" s="205" t="str">
        <f>IF(AND(N23&gt;180,O23="R"),(ROUND(N23/60,2)-3)*J23*$M$16*0.1*P23/100,"--")</f>
        <v>--</v>
      </c>
      <c r="Y23" s="206" t="str">
        <f>IF(O23="RF",ROUND(N23/60,2)*J23*$M$16*0.1,"--")</f>
        <v>--</v>
      </c>
      <c r="Z23" s="207" t="str">
        <f>IF(O23="RR",ROUND(N23/60,2)*J23*$M$16*0.1*P23/100,"--")</f>
        <v>--</v>
      </c>
      <c r="AA23" s="96" t="s">
        <v>107</v>
      </c>
      <c r="AB23" s="167">
        <f>IF(F23="","",SUM(Q23:Z23)*IF(AA23="SI",1,2))</f>
        <v>1629.9969</v>
      </c>
      <c r="AC23" s="115"/>
    </row>
    <row r="24" spans="1:29" s="103" customFormat="1" ht="16.5" customHeight="1">
      <c r="A24" s="26"/>
      <c r="B24" s="114"/>
      <c r="C24" s="93">
        <v>3</v>
      </c>
      <c r="D24" s="93">
        <v>306302</v>
      </c>
      <c r="E24" s="93">
        <v>1365</v>
      </c>
      <c r="F24" s="192" t="s">
        <v>113</v>
      </c>
      <c r="G24" s="192" t="s">
        <v>105</v>
      </c>
      <c r="H24" s="192">
        <v>132</v>
      </c>
      <c r="I24" s="193">
        <v>58</v>
      </c>
      <c r="J24" s="81">
        <f>IF(I24&gt;25,I24,25)*IF(H24=220,IF(G24="L",$G$14,$G$16),IF(G24="L",$G$15,$G$17))/100</f>
        <v>28.911260000000002</v>
      </c>
      <c r="K24" s="258">
        <v>42592.56805555556</v>
      </c>
      <c r="L24" s="258">
        <v>42592.74097222222</v>
      </c>
      <c r="M24" s="11">
        <f>IF(F24="","",(L24-K24)*24)</f>
        <v>4.149999999906868</v>
      </c>
      <c r="N24" s="12">
        <f>IF(F24="","",ROUND((L24-K24)*24*60,0))</f>
        <v>249</v>
      </c>
      <c r="O24" s="92" t="s">
        <v>108</v>
      </c>
      <c r="P24" s="95" t="str">
        <f t="shared" si="0"/>
        <v>--</v>
      </c>
      <c r="Q24" s="198">
        <f>IF(O24="P",ROUND(N24/60,2)*J24*$M$16*0.01,"--")</f>
        <v>71.98903740000002</v>
      </c>
      <c r="R24" s="199" t="str">
        <f>IF(O24="RP",ROUND(N24/60,2)*J24*$M$16*0.01*P24/100,"--")</f>
        <v>--</v>
      </c>
      <c r="S24" s="200" t="str">
        <f>IF(O24="F",J24*$M$16,"--")</f>
        <v>--</v>
      </c>
      <c r="T24" s="201" t="str">
        <f>IF(AND(N24&gt;=10,O24="F"),J24*$M$16*IF(N24&gt;180,3,ROUND(N24/60,2)),"--")</f>
        <v>--</v>
      </c>
      <c r="U24" s="202" t="str">
        <f>IF(AND(N24&gt;180,O24="F"),(ROUND(N24/60,2)-3)*J24*$M$16*0.1,"--")</f>
        <v>--</v>
      </c>
      <c r="V24" s="203" t="str">
        <f>IF(O24="R",J24*$M$16*P24/100,"--")</f>
        <v>--</v>
      </c>
      <c r="W24" s="204" t="str">
        <f>IF(AND(N24&gt;=10,O24="R"),J24*$M$16*IF(N24&gt;180,3,ROUND(N24/60,2))*P24/100,"--")</f>
        <v>--</v>
      </c>
      <c r="X24" s="205" t="str">
        <f>IF(AND(N24&gt;180,O24="R"),(ROUND(N24/60,2)-3)*J24*$M$16*0.1*P24/100,"--")</f>
        <v>--</v>
      </c>
      <c r="Y24" s="206" t="str">
        <f>IF(O24="RF",ROUND(N24/60,2)*J24*$M$16*0.1,"--")</f>
        <v>--</v>
      </c>
      <c r="Z24" s="207" t="str">
        <f>IF(O24="RR",ROUND(N24/60,2)*J24*$M$16*0.1*P24/100,"--")</f>
        <v>--</v>
      </c>
      <c r="AA24" s="96" t="s">
        <v>107</v>
      </c>
      <c r="AB24" s="167">
        <f>IF(F24="","",SUM(Q24:Z24)*IF(AA24="SI",1,2))</f>
        <v>71.98903740000002</v>
      </c>
      <c r="AC24" s="115"/>
    </row>
    <row r="25" spans="1:29" s="103" customFormat="1" ht="16.5" customHeight="1">
      <c r="A25" s="26"/>
      <c r="B25" s="114"/>
      <c r="C25" s="93">
        <v>4</v>
      </c>
      <c r="D25" s="93">
        <v>306303</v>
      </c>
      <c r="E25" s="93">
        <v>5693</v>
      </c>
      <c r="F25" s="192" t="s">
        <v>110</v>
      </c>
      <c r="G25" s="192" t="s">
        <v>105</v>
      </c>
      <c r="H25" s="192">
        <v>132</v>
      </c>
      <c r="I25" s="193">
        <v>54.5</v>
      </c>
      <c r="J25" s="81">
        <f>IF(I25&gt;25,I25,25)*IF(H25=220,IF(G25="L",$G$14,$G$16),IF(G25="L",$G$15,$G$17))/100</f>
        <v>27.166615</v>
      </c>
      <c r="K25" s="258">
        <v>42594.84375</v>
      </c>
      <c r="L25" s="258">
        <v>42594.93472222222</v>
      </c>
      <c r="M25" s="11">
        <f>IF(F25="","",(L25-K25)*24)</f>
        <v>2.1833333332906477</v>
      </c>
      <c r="N25" s="12">
        <f>IF(F25="","",ROUND((L25-K25)*24*60,0))</f>
        <v>131</v>
      </c>
      <c r="O25" s="92" t="s">
        <v>106</v>
      </c>
      <c r="P25" s="95" t="str">
        <f t="shared" si="0"/>
        <v>--</v>
      </c>
      <c r="Q25" s="198" t="str">
        <f aca="true" t="shared" si="1" ref="Q25:Q30">IF(O25="P",ROUND(N25/60,2)*J25*$M$16*0.01,"--")</f>
        <v>--</v>
      </c>
      <c r="R25" s="199" t="str">
        <f aca="true" t="shared" si="2" ref="R25:R30">IF(O25="RP",ROUND(N25/60,2)*J25*$M$16*0.01*P25/100,"--")</f>
        <v>--</v>
      </c>
      <c r="S25" s="200">
        <f aca="true" t="shared" si="3" ref="S25:S30">IF(O25="F",J25*$M$16,"--")</f>
        <v>1629.9969</v>
      </c>
      <c r="T25" s="201">
        <f aca="true" t="shared" si="4" ref="T25:T30">IF(AND(N25&gt;=10,O25="F"),J25*$M$16*IF(N25&gt;180,3,ROUND(N25/60,2)),"--")</f>
        <v>3553.3932420000006</v>
      </c>
      <c r="U25" s="202" t="str">
        <f aca="true" t="shared" si="5" ref="U25:U30">IF(AND(N25&gt;180,O25="F"),(ROUND(N25/60,2)-3)*J25*$M$16*0.1,"--")</f>
        <v>--</v>
      </c>
      <c r="V25" s="203" t="str">
        <f aca="true" t="shared" si="6" ref="V25:V30">IF(O25="R",J25*$M$16*P25/100,"--")</f>
        <v>--</v>
      </c>
      <c r="W25" s="204" t="str">
        <f aca="true" t="shared" si="7" ref="W25:W30">IF(AND(N25&gt;=10,O25="R"),J25*$M$16*IF(N25&gt;180,3,ROUND(N25/60,2))*P25/100,"--")</f>
        <v>--</v>
      </c>
      <c r="X25" s="205" t="str">
        <f aca="true" t="shared" si="8" ref="X25:X30">IF(AND(N25&gt;180,O25="R"),(ROUND(N25/60,2)-3)*J25*$M$16*0.1*P25/100,"--")</f>
        <v>--</v>
      </c>
      <c r="Y25" s="206" t="str">
        <f aca="true" t="shared" si="9" ref="Y25:Y30">IF(O25="RF",ROUND(N25/60,2)*J25*$M$16*0.1,"--")</f>
        <v>--</v>
      </c>
      <c r="Z25" s="207" t="str">
        <f aca="true" t="shared" si="10" ref="Z25:Z30">IF(O25="RR",ROUND(N25/60,2)*J25*$M$16*0.1*P25/100,"--")</f>
        <v>--</v>
      </c>
      <c r="AA25" s="96" t="str">
        <f aca="true" t="shared" si="11" ref="AA25:AA30">IF(F25=""," ","SI")</f>
        <v>SI</v>
      </c>
      <c r="AB25" s="167">
        <f>IF(F25="","",SUM(Q25:Z25)*IF(AA25="SI",1,2))</f>
        <v>5183.390142</v>
      </c>
      <c r="AC25" s="115"/>
    </row>
    <row r="26" spans="1:29" s="103" customFormat="1" ht="16.5" customHeight="1">
      <c r="A26" s="26"/>
      <c r="B26" s="114"/>
      <c r="C26" s="93">
        <v>5</v>
      </c>
      <c r="D26" s="93">
        <v>306304</v>
      </c>
      <c r="E26" s="93">
        <v>1351</v>
      </c>
      <c r="F26" s="192" t="s">
        <v>111</v>
      </c>
      <c r="G26" s="192" t="s">
        <v>105</v>
      </c>
      <c r="H26" s="192">
        <v>132</v>
      </c>
      <c r="I26" s="193">
        <v>51.3</v>
      </c>
      <c r="J26" s="81">
        <f>IF(I26&gt;25,I26,25)*IF(H26=220,IF(G26="L",$G$14,$G$16),IF(G26="L",$G$15,$G$17))/100</f>
        <v>25.571511</v>
      </c>
      <c r="K26" s="258">
        <v>42595.42916666667</v>
      </c>
      <c r="L26" s="258">
        <v>42595.697916666664</v>
      </c>
      <c r="M26" s="11">
        <f>IF(F26="","",(L26-K26)*24)</f>
        <v>6.449999999895226</v>
      </c>
      <c r="N26" s="12">
        <f>IF(F26="","",ROUND((L26-K26)*24*60,0))</f>
        <v>387</v>
      </c>
      <c r="O26" s="92" t="s">
        <v>108</v>
      </c>
      <c r="P26" s="95" t="str">
        <f t="shared" si="0"/>
        <v>--</v>
      </c>
      <c r="Q26" s="198">
        <f t="shared" si="1"/>
        <v>98.96174757000001</v>
      </c>
      <c r="R26" s="199" t="str">
        <f t="shared" si="2"/>
        <v>--</v>
      </c>
      <c r="S26" s="200" t="str">
        <f t="shared" si="3"/>
        <v>--</v>
      </c>
      <c r="T26" s="201" t="str">
        <f t="shared" si="4"/>
        <v>--</v>
      </c>
      <c r="U26" s="202" t="str">
        <f t="shared" si="5"/>
        <v>--</v>
      </c>
      <c r="V26" s="203" t="str">
        <f t="shared" si="6"/>
        <v>--</v>
      </c>
      <c r="W26" s="204" t="str">
        <f t="shared" si="7"/>
        <v>--</v>
      </c>
      <c r="X26" s="205" t="str">
        <f t="shared" si="8"/>
        <v>--</v>
      </c>
      <c r="Y26" s="206" t="str">
        <f t="shared" si="9"/>
        <v>--</v>
      </c>
      <c r="Z26" s="207" t="str">
        <f t="shared" si="10"/>
        <v>--</v>
      </c>
      <c r="AA26" s="96" t="str">
        <f t="shared" si="11"/>
        <v>SI</v>
      </c>
      <c r="AB26" s="167">
        <f>IF(F26="","",SUM(Q26:Z26)*IF(AA26="SI",1,2))</f>
        <v>98.96174757000001</v>
      </c>
      <c r="AC26" s="115"/>
    </row>
    <row r="27" spans="1:29" s="103" customFormat="1" ht="16.5" customHeight="1">
      <c r="A27" s="26"/>
      <c r="B27" s="114"/>
      <c r="C27" s="93">
        <v>6</v>
      </c>
      <c r="D27" s="93">
        <v>306301</v>
      </c>
      <c r="E27" s="93">
        <v>5693</v>
      </c>
      <c r="F27" s="192" t="s">
        <v>110</v>
      </c>
      <c r="G27" s="192" t="s">
        <v>105</v>
      </c>
      <c r="H27" s="192">
        <v>132</v>
      </c>
      <c r="I27" s="193">
        <v>54.5</v>
      </c>
      <c r="J27" s="81">
        <f aca="true" t="shared" si="12" ref="J27:J42">IF(I27&gt;25,I27,25)*IF(H27=220,IF(G27="L",$G$14,$G$16),IF(G27="L",$G$15,$G$17))/100</f>
        <v>27.166615</v>
      </c>
      <c r="K27" s="258">
        <v>42605.40277777778</v>
      </c>
      <c r="L27" s="258">
        <v>42605.77777777778</v>
      </c>
      <c r="M27" s="11">
        <f aca="true" t="shared" si="13" ref="M27:M45">IF(F27="","",(L27-K27)*24)</f>
        <v>9</v>
      </c>
      <c r="N27" s="12">
        <f aca="true" t="shared" si="14" ref="N27:N42">IF(F27="","",ROUND((L27-K27)*24*60,0))</f>
        <v>540</v>
      </c>
      <c r="O27" s="93" t="s">
        <v>108</v>
      </c>
      <c r="P27" s="95" t="str">
        <f t="shared" si="0"/>
        <v>--</v>
      </c>
      <c r="Q27" s="198">
        <f t="shared" si="1"/>
        <v>146.699721</v>
      </c>
      <c r="R27" s="199" t="str">
        <f t="shared" si="2"/>
        <v>--</v>
      </c>
      <c r="S27" s="200" t="str">
        <f t="shared" si="3"/>
        <v>--</v>
      </c>
      <c r="T27" s="201" t="str">
        <f t="shared" si="4"/>
        <v>--</v>
      </c>
      <c r="U27" s="202" t="str">
        <f t="shared" si="5"/>
        <v>--</v>
      </c>
      <c r="V27" s="203" t="str">
        <f t="shared" si="6"/>
        <v>--</v>
      </c>
      <c r="W27" s="204" t="str">
        <f t="shared" si="7"/>
        <v>--</v>
      </c>
      <c r="X27" s="205" t="str">
        <f t="shared" si="8"/>
        <v>--</v>
      </c>
      <c r="Y27" s="206" t="str">
        <f t="shared" si="9"/>
        <v>--</v>
      </c>
      <c r="Z27" s="207" t="str">
        <f t="shared" si="10"/>
        <v>--</v>
      </c>
      <c r="AA27" s="96" t="str">
        <f t="shared" si="11"/>
        <v>SI</v>
      </c>
      <c r="AB27" s="167">
        <f aca="true" t="shared" si="15" ref="AB27:AB42">IF(F27="","",SUM(Q27:Z27)*IF(AA27="SI",1,2))</f>
        <v>146.699721</v>
      </c>
      <c r="AC27" s="115"/>
    </row>
    <row r="28" spans="1:29" s="103" customFormat="1" ht="16.5" customHeight="1">
      <c r="A28" s="26"/>
      <c r="B28" s="114"/>
      <c r="C28" s="93">
        <v>7</v>
      </c>
      <c r="D28" s="93">
        <v>306300</v>
      </c>
      <c r="E28" s="93">
        <v>1352</v>
      </c>
      <c r="F28" s="192" t="s">
        <v>114</v>
      </c>
      <c r="G28" s="192" t="s">
        <v>105</v>
      </c>
      <c r="H28" s="192">
        <v>132</v>
      </c>
      <c r="I28" s="193">
        <v>9.5</v>
      </c>
      <c r="J28" s="81">
        <f t="shared" si="12"/>
        <v>12.46175</v>
      </c>
      <c r="K28" s="258">
        <v>42607.37986111111</v>
      </c>
      <c r="L28" s="258">
        <v>42607.72152777778</v>
      </c>
      <c r="M28" s="11">
        <f t="shared" si="13"/>
        <v>8.200000000011642</v>
      </c>
      <c r="N28" s="12">
        <f t="shared" si="14"/>
        <v>492</v>
      </c>
      <c r="O28" s="94" t="s">
        <v>108</v>
      </c>
      <c r="P28" s="95" t="str">
        <f t="shared" si="0"/>
        <v>--</v>
      </c>
      <c r="Q28" s="198">
        <f t="shared" si="1"/>
        <v>61.311809999999994</v>
      </c>
      <c r="R28" s="199" t="str">
        <f t="shared" si="2"/>
        <v>--</v>
      </c>
      <c r="S28" s="200" t="str">
        <f t="shared" si="3"/>
        <v>--</v>
      </c>
      <c r="T28" s="201" t="str">
        <f t="shared" si="4"/>
        <v>--</v>
      </c>
      <c r="U28" s="202" t="str">
        <f t="shared" si="5"/>
        <v>--</v>
      </c>
      <c r="V28" s="203" t="str">
        <f t="shared" si="6"/>
        <v>--</v>
      </c>
      <c r="W28" s="204" t="str">
        <f t="shared" si="7"/>
        <v>--</v>
      </c>
      <c r="X28" s="205" t="str">
        <f t="shared" si="8"/>
        <v>--</v>
      </c>
      <c r="Y28" s="206" t="str">
        <f t="shared" si="9"/>
        <v>--</v>
      </c>
      <c r="Z28" s="207" t="str">
        <f t="shared" si="10"/>
        <v>--</v>
      </c>
      <c r="AA28" s="96" t="str">
        <f t="shared" si="11"/>
        <v>SI</v>
      </c>
      <c r="AB28" s="167">
        <f t="shared" si="15"/>
        <v>61.311809999999994</v>
      </c>
      <c r="AC28" s="115"/>
    </row>
    <row r="29" spans="1:29" s="103" customFormat="1" ht="16.5" customHeight="1">
      <c r="A29" s="26"/>
      <c r="B29" s="114"/>
      <c r="C29" s="93">
        <v>8</v>
      </c>
      <c r="D29" s="93">
        <v>306299</v>
      </c>
      <c r="E29" s="93">
        <v>5693</v>
      </c>
      <c r="F29" s="192" t="s">
        <v>110</v>
      </c>
      <c r="G29" s="192" t="s">
        <v>105</v>
      </c>
      <c r="H29" s="192">
        <v>132</v>
      </c>
      <c r="I29" s="193">
        <v>54.5</v>
      </c>
      <c r="J29" s="81">
        <f t="shared" si="12"/>
        <v>27.166615</v>
      </c>
      <c r="K29" s="258">
        <v>42610.00625</v>
      </c>
      <c r="L29" s="258">
        <v>42610.086805555555</v>
      </c>
      <c r="M29" s="11">
        <f t="shared" si="13"/>
        <v>1.9333333333488554</v>
      </c>
      <c r="N29" s="12">
        <f t="shared" si="14"/>
        <v>116</v>
      </c>
      <c r="O29" s="94" t="s">
        <v>106</v>
      </c>
      <c r="P29" s="95" t="str">
        <f>IF(F29="","","--")</f>
        <v>--</v>
      </c>
      <c r="Q29" s="198" t="str">
        <f t="shared" si="1"/>
        <v>--</v>
      </c>
      <c r="R29" s="199" t="str">
        <f t="shared" si="2"/>
        <v>--</v>
      </c>
      <c r="S29" s="200">
        <f t="shared" si="3"/>
        <v>1629.9969</v>
      </c>
      <c r="T29" s="201">
        <f t="shared" si="4"/>
        <v>3145.894017</v>
      </c>
      <c r="U29" s="202" t="str">
        <f t="shared" si="5"/>
        <v>--</v>
      </c>
      <c r="V29" s="203" t="str">
        <f t="shared" si="6"/>
        <v>--</v>
      </c>
      <c r="W29" s="204" t="str">
        <f t="shared" si="7"/>
        <v>--</v>
      </c>
      <c r="X29" s="205" t="str">
        <f t="shared" si="8"/>
        <v>--</v>
      </c>
      <c r="Y29" s="206" t="str">
        <f t="shared" si="9"/>
        <v>--</v>
      </c>
      <c r="Z29" s="207" t="str">
        <f t="shared" si="10"/>
        <v>--</v>
      </c>
      <c r="AA29" s="96" t="str">
        <f t="shared" si="11"/>
        <v>SI</v>
      </c>
      <c r="AB29" s="167">
        <f t="shared" si="15"/>
        <v>4775.890917000001</v>
      </c>
      <c r="AC29" s="115"/>
    </row>
    <row r="30" spans="1:29" s="103" customFormat="1" ht="16.5" customHeight="1">
      <c r="A30" s="26"/>
      <c r="B30" s="114"/>
      <c r="C30" s="93">
        <v>9</v>
      </c>
      <c r="D30" s="93">
        <v>306519</v>
      </c>
      <c r="E30" s="93">
        <v>5693</v>
      </c>
      <c r="F30" s="192" t="s">
        <v>110</v>
      </c>
      <c r="G30" s="192" t="s">
        <v>105</v>
      </c>
      <c r="H30" s="192">
        <v>132</v>
      </c>
      <c r="I30" s="193">
        <v>54.5</v>
      </c>
      <c r="J30" s="81">
        <f t="shared" si="12"/>
        <v>27.166615</v>
      </c>
      <c r="K30" s="258">
        <v>42611.35763888889</v>
      </c>
      <c r="L30" s="258">
        <v>42611.756944444445</v>
      </c>
      <c r="M30" s="11">
        <f t="shared" si="13"/>
        <v>9.58333333331393</v>
      </c>
      <c r="N30" s="12">
        <f t="shared" si="14"/>
        <v>575</v>
      </c>
      <c r="O30" s="94" t="s">
        <v>108</v>
      </c>
      <c r="P30" s="95" t="str">
        <f>IF(F30="","","--")</f>
        <v>--</v>
      </c>
      <c r="Q30" s="198">
        <f t="shared" si="1"/>
        <v>156.15370302</v>
      </c>
      <c r="R30" s="199" t="str">
        <f t="shared" si="2"/>
        <v>--</v>
      </c>
      <c r="S30" s="200" t="str">
        <f t="shared" si="3"/>
        <v>--</v>
      </c>
      <c r="T30" s="201" t="str">
        <f t="shared" si="4"/>
        <v>--</v>
      </c>
      <c r="U30" s="202" t="str">
        <f t="shared" si="5"/>
        <v>--</v>
      </c>
      <c r="V30" s="203" t="str">
        <f t="shared" si="6"/>
        <v>--</v>
      </c>
      <c r="W30" s="204" t="str">
        <f t="shared" si="7"/>
        <v>--</v>
      </c>
      <c r="X30" s="205" t="str">
        <f t="shared" si="8"/>
        <v>--</v>
      </c>
      <c r="Y30" s="206" t="str">
        <f t="shared" si="9"/>
        <v>--</v>
      </c>
      <c r="Z30" s="207" t="str">
        <f t="shared" si="10"/>
        <v>--</v>
      </c>
      <c r="AA30" s="96" t="str">
        <f t="shared" si="11"/>
        <v>SI</v>
      </c>
      <c r="AB30" s="167">
        <f t="shared" si="15"/>
        <v>156.15370302</v>
      </c>
      <c r="AC30" s="115"/>
    </row>
    <row r="31" spans="1:29" s="103" customFormat="1" ht="16.5" customHeight="1">
      <c r="A31" s="26"/>
      <c r="B31" s="114"/>
      <c r="C31" s="93">
        <v>10</v>
      </c>
      <c r="D31" s="93">
        <v>306520</v>
      </c>
      <c r="E31" s="93">
        <v>5693</v>
      </c>
      <c r="F31" s="192" t="s">
        <v>110</v>
      </c>
      <c r="G31" s="192" t="s">
        <v>105</v>
      </c>
      <c r="H31" s="192">
        <v>132</v>
      </c>
      <c r="I31" s="193">
        <v>54.5</v>
      </c>
      <c r="J31" s="81">
        <f t="shared" si="12"/>
        <v>27.166615</v>
      </c>
      <c r="K31" s="258">
        <v>42612.35208333333</v>
      </c>
      <c r="L31" s="258">
        <v>42612.75555555556</v>
      </c>
      <c r="M31" s="11">
        <f t="shared" si="13"/>
        <v>9.68333333346527</v>
      </c>
      <c r="N31" s="12">
        <f t="shared" si="14"/>
        <v>581</v>
      </c>
      <c r="O31" s="94" t="s">
        <v>108</v>
      </c>
      <c r="P31" s="95" t="str">
        <f aca="true" t="shared" si="16" ref="P31:P42">IF(F31="","","--")</f>
        <v>--</v>
      </c>
      <c r="Q31" s="198">
        <f aca="true" t="shared" si="17" ref="Q31:Q42">IF(O31="P",ROUND(N31/60,2)*J31*$M$16*0.01,"--")</f>
        <v>157.78369991999998</v>
      </c>
      <c r="R31" s="199" t="str">
        <f aca="true" t="shared" si="18" ref="R31:R42">IF(O31="RP",ROUND(N31/60,2)*J31*$M$16*0.01*P31/100,"--")</f>
        <v>--</v>
      </c>
      <c r="S31" s="200" t="str">
        <f aca="true" t="shared" si="19" ref="S31:S42">IF(O31="F",J31*$M$16,"--")</f>
        <v>--</v>
      </c>
      <c r="T31" s="201" t="str">
        <f aca="true" t="shared" si="20" ref="T31:T42">IF(AND(N31&gt;=10,O31="F"),J31*$M$16*IF(N31&gt;180,3,ROUND(N31/60,2)),"--")</f>
        <v>--</v>
      </c>
      <c r="U31" s="202" t="str">
        <f aca="true" t="shared" si="21" ref="U31:U42">IF(AND(N31&gt;180,O31="F"),(ROUND(N31/60,2)-3)*J31*$M$16*0.1,"--")</f>
        <v>--</v>
      </c>
      <c r="V31" s="203" t="str">
        <f aca="true" t="shared" si="22" ref="V31:V42">IF(O31="R",J31*$M$16*P31/100,"--")</f>
        <v>--</v>
      </c>
      <c r="W31" s="204" t="str">
        <f aca="true" t="shared" si="23" ref="W31:W42">IF(AND(N31&gt;=10,O31="R"),J31*$M$16*IF(N31&gt;180,3,ROUND(N31/60,2))*P31/100,"--")</f>
        <v>--</v>
      </c>
      <c r="X31" s="205" t="str">
        <f aca="true" t="shared" si="24" ref="X31:X42">IF(AND(N31&gt;180,O31="R"),(ROUND(N31/60,2)-3)*J31*$M$16*0.1*P31/100,"--")</f>
        <v>--</v>
      </c>
      <c r="Y31" s="206" t="str">
        <f aca="true" t="shared" si="25" ref="Y31:Y42">IF(O31="RF",ROUND(N31/60,2)*J31*$M$16*0.1,"--")</f>
        <v>--</v>
      </c>
      <c r="Z31" s="207" t="str">
        <f aca="true" t="shared" si="26" ref="Z31:Z42">IF(O31="RR",ROUND(N31/60,2)*J31*$M$16*0.1*P31/100,"--")</f>
        <v>--</v>
      </c>
      <c r="AA31" s="96" t="str">
        <f aca="true" t="shared" si="27" ref="AA31:AA45">IF(F31=""," ","SI")</f>
        <v>SI</v>
      </c>
      <c r="AB31" s="167">
        <f t="shared" si="15"/>
        <v>157.78369991999998</v>
      </c>
      <c r="AC31" s="115"/>
    </row>
    <row r="32" spans="1:29" s="103" customFormat="1" ht="16.5" customHeight="1">
      <c r="A32" s="26"/>
      <c r="B32" s="114"/>
      <c r="C32" s="93">
        <v>11</v>
      </c>
      <c r="D32" s="93">
        <v>306521</v>
      </c>
      <c r="E32" s="93">
        <v>5693</v>
      </c>
      <c r="F32" s="192" t="s">
        <v>110</v>
      </c>
      <c r="G32" s="192" t="s">
        <v>105</v>
      </c>
      <c r="H32" s="192">
        <v>132</v>
      </c>
      <c r="I32" s="193">
        <v>54.5</v>
      </c>
      <c r="J32" s="81">
        <f t="shared" si="12"/>
        <v>27.166615</v>
      </c>
      <c r="K32" s="258">
        <v>42613.350694444445</v>
      </c>
      <c r="L32" s="258">
        <v>42613.76944444444</v>
      </c>
      <c r="M32" s="11">
        <f t="shared" si="13"/>
        <v>10.04999999993015</v>
      </c>
      <c r="N32" s="12">
        <f t="shared" si="14"/>
        <v>603</v>
      </c>
      <c r="O32" s="94" t="s">
        <v>108</v>
      </c>
      <c r="P32" s="95" t="str">
        <f t="shared" si="16"/>
        <v>--</v>
      </c>
      <c r="Q32" s="198">
        <f t="shared" si="17"/>
        <v>163.81468845</v>
      </c>
      <c r="R32" s="199" t="str">
        <f t="shared" si="18"/>
        <v>--</v>
      </c>
      <c r="S32" s="200" t="str">
        <f t="shared" si="19"/>
        <v>--</v>
      </c>
      <c r="T32" s="201" t="str">
        <f t="shared" si="20"/>
        <v>--</v>
      </c>
      <c r="U32" s="202" t="str">
        <f t="shared" si="21"/>
        <v>--</v>
      </c>
      <c r="V32" s="203" t="str">
        <f t="shared" si="22"/>
        <v>--</v>
      </c>
      <c r="W32" s="204" t="str">
        <f t="shared" si="23"/>
        <v>--</v>
      </c>
      <c r="X32" s="205" t="str">
        <f t="shared" si="24"/>
        <v>--</v>
      </c>
      <c r="Y32" s="206" t="str">
        <f t="shared" si="25"/>
        <v>--</v>
      </c>
      <c r="Z32" s="207" t="str">
        <f t="shared" si="26"/>
        <v>--</v>
      </c>
      <c r="AA32" s="96" t="str">
        <f t="shared" si="27"/>
        <v>SI</v>
      </c>
      <c r="AB32" s="167">
        <f t="shared" si="15"/>
        <v>163.81468845</v>
      </c>
      <c r="AC32" s="115"/>
    </row>
    <row r="33" spans="1:29" s="103" customFormat="1" ht="16.5" customHeight="1">
      <c r="A33" s="26"/>
      <c r="B33" s="114"/>
      <c r="C33" s="93"/>
      <c r="D33" s="93"/>
      <c r="E33" s="93"/>
      <c r="F33" s="192"/>
      <c r="G33" s="192"/>
      <c r="H33" s="192"/>
      <c r="I33" s="193"/>
      <c r="J33" s="81">
        <f t="shared" si="12"/>
        <v>24.63375</v>
      </c>
      <c r="K33" s="258"/>
      <c r="L33" s="258"/>
      <c r="M33" s="11">
        <f t="shared" si="13"/>
      </c>
      <c r="N33" s="12">
        <f t="shared" si="14"/>
      </c>
      <c r="O33" s="94"/>
      <c r="P33" s="95">
        <f t="shared" si="16"/>
      </c>
      <c r="Q33" s="198" t="str">
        <f t="shared" si="17"/>
        <v>--</v>
      </c>
      <c r="R33" s="199" t="str">
        <f t="shared" si="18"/>
        <v>--</v>
      </c>
      <c r="S33" s="200" t="str">
        <f t="shared" si="19"/>
        <v>--</v>
      </c>
      <c r="T33" s="201" t="str">
        <f t="shared" si="20"/>
        <v>--</v>
      </c>
      <c r="U33" s="202" t="str">
        <f t="shared" si="21"/>
        <v>--</v>
      </c>
      <c r="V33" s="203" t="str">
        <f t="shared" si="22"/>
        <v>--</v>
      </c>
      <c r="W33" s="204" t="str">
        <f t="shared" si="23"/>
        <v>--</v>
      </c>
      <c r="X33" s="205" t="str">
        <f t="shared" si="24"/>
        <v>--</v>
      </c>
      <c r="Y33" s="206" t="str">
        <f t="shared" si="25"/>
        <v>--</v>
      </c>
      <c r="Z33" s="207" t="str">
        <f t="shared" si="26"/>
        <v>--</v>
      </c>
      <c r="AA33" s="96" t="str">
        <f t="shared" si="27"/>
        <v> </v>
      </c>
      <c r="AB33" s="167">
        <f t="shared" si="15"/>
      </c>
      <c r="AC33" s="115"/>
    </row>
    <row r="34" spans="1:29" s="103" customFormat="1" ht="16.5" customHeight="1">
      <c r="A34" s="26"/>
      <c r="B34" s="114"/>
      <c r="C34" s="93"/>
      <c r="D34" s="93"/>
      <c r="E34" s="93"/>
      <c r="F34" s="192"/>
      <c r="G34" s="192"/>
      <c r="H34" s="192"/>
      <c r="I34" s="193"/>
      <c r="J34" s="81">
        <f t="shared" si="12"/>
        <v>24.63375</v>
      </c>
      <c r="K34" s="258"/>
      <c r="L34" s="258"/>
      <c r="M34" s="11">
        <f t="shared" si="13"/>
      </c>
      <c r="N34" s="12">
        <f t="shared" si="14"/>
      </c>
      <c r="O34" s="94"/>
      <c r="P34" s="95">
        <f t="shared" si="16"/>
      </c>
      <c r="Q34" s="198" t="str">
        <f t="shared" si="17"/>
        <v>--</v>
      </c>
      <c r="R34" s="199" t="str">
        <f t="shared" si="18"/>
        <v>--</v>
      </c>
      <c r="S34" s="200" t="str">
        <f t="shared" si="19"/>
        <v>--</v>
      </c>
      <c r="T34" s="201" t="str">
        <f t="shared" si="20"/>
        <v>--</v>
      </c>
      <c r="U34" s="202" t="str">
        <f t="shared" si="21"/>
        <v>--</v>
      </c>
      <c r="V34" s="203" t="str">
        <f t="shared" si="22"/>
        <v>--</v>
      </c>
      <c r="W34" s="204" t="str">
        <f t="shared" si="23"/>
        <v>--</v>
      </c>
      <c r="X34" s="205" t="str">
        <f t="shared" si="24"/>
        <v>--</v>
      </c>
      <c r="Y34" s="206" t="str">
        <f t="shared" si="25"/>
        <v>--</v>
      </c>
      <c r="Z34" s="207" t="str">
        <f t="shared" si="26"/>
        <v>--</v>
      </c>
      <c r="AA34" s="96" t="str">
        <f t="shared" si="27"/>
        <v> </v>
      </c>
      <c r="AB34" s="167">
        <f t="shared" si="15"/>
      </c>
      <c r="AC34" s="115"/>
    </row>
    <row r="35" spans="1:29" s="103" customFormat="1" ht="16.5" customHeight="1">
      <c r="A35" s="26"/>
      <c r="B35" s="114"/>
      <c r="C35" s="93"/>
      <c r="D35" s="93"/>
      <c r="E35" s="93"/>
      <c r="F35" s="192"/>
      <c r="G35" s="192"/>
      <c r="H35" s="192"/>
      <c r="I35" s="193"/>
      <c r="J35" s="81">
        <f t="shared" si="12"/>
        <v>24.63375</v>
      </c>
      <c r="K35" s="258"/>
      <c r="L35" s="258"/>
      <c r="M35" s="11">
        <f t="shared" si="13"/>
      </c>
      <c r="N35" s="12">
        <f t="shared" si="14"/>
      </c>
      <c r="O35" s="94"/>
      <c r="P35" s="95">
        <f t="shared" si="16"/>
      </c>
      <c r="Q35" s="198" t="str">
        <f t="shared" si="17"/>
        <v>--</v>
      </c>
      <c r="R35" s="199" t="str">
        <f t="shared" si="18"/>
        <v>--</v>
      </c>
      <c r="S35" s="200" t="str">
        <f t="shared" si="19"/>
        <v>--</v>
      </c>
      <c r="T35" s="201" t="str">
        <f t="shared" si="20"/>
        <v>--</v>
      </c>
      <c r="U35" s="202" t="str">
        <f t="shared" si="21"/>
        <v>--</v>
      </c>
      <c r="V35" s="203" t="str">
        <f t="shared" si="22"/>
        <v>--</v>
      </c>
      <c r="W35" s="204" t="str">
        <f t="shared" si="23"/>
        <v>--</v>
      </c>
      <c r="X35" s="205" t="str">
        <f t="shared" si="24"/>
        <v>--</v>
      </c>
      <c r="Y35" s="206" t="str">
        <f t="shared" si="25"/>
        <v>--</v>
      </c>
      <c r="Z35" s="207" t="str">
        <f t="shared" si="26"/>
        <v>--</v>
      </c>
      <c r="AA35" s="96" t="str">
        <f t="shared" si="27"/>
        <v> </v>
      </c>
      <c r="AB35" s="167">
        <f t="shared" si="15"/>
      </c>
      <c r="AC35" s="115"/>
    </row>
    <row r="36" spans="1:29" s="103" customFormat="1" ht="16.5" customHeight="1">
      <c r="A36" s="26"/>
      <c r="B36" s="114"/>
      <c r="C36" s="93"/>
      <c r="D36" s="93"/>
      <c r="E36" s="93"/>
      <c r="F36" s="192"/>
      <c r="G36" s="192"/>
      <c r="H36" s="192"/>
      <c r="I36" s="193"/>
      <c r="J36" s="81">
        <f t="shared" si="12"/>
        <v>24.63375</v>
      </c>
      <c r="K36" s="258"/>
      <c r="L36" s="258"/>
      <c r="M36" s="11">
        <f t="shared" si="13"/>
      </c>
      <c r="N36" s="12">
        <f t="shared" si="14"/>
      </c>
      <c r="O36" s="94"/>
      <c r="P36" s="95">
        <f t="shared" si="16"/>
      </c>
      <c r="Q36" s="198" t="str">
        <f t="shared" si="17"/>
        <v>--</v>
      </c>
      <c r="R36" s="199" t="str">
        <f t="shared" si="18"/>
        <v>--</v>
      </c>
      <c r="S36" s="200" t="str">
        <f t="shared" si="19"/>
        <v>--</v>
      </c>
      <c r="T36" s="201" t="str">
        <f t="shared" si="20"/>
        <v>--</v>
      </c>
      <c r="U36" s="202" t="str">
        <f t="shared" si="21"/>
        <v>--</v>
      </c>
      <c r="V36" s="203" t="str">
        <f t="shared" si="22"/>
        <v>--</v>
      </c>
      <c r="W36" s="204" t="str">
        <f t="shared" si="23"/>
        <v>--</v>
      </c>
      <c r="X36" s="205" t="str">
        <f t="shared" si="24"/>
        <v>--</v>
      </c>
      <c r="Y36" s="206" t="str">
        <f t="shared" si="25"/>
        <v>--</v>
      </c>
      <c r="Z36" s="207" t="str">
        <f t="shared" si="26"/>
        <v>--</v>
      </c>
      <c r="AA36" s="96" t="str">
        <f t="shared" si="27"/>
        <v> </v>
      </c>
      <c r="AB36" s="167">
        <f t="shared" si="15"/>
      </c>
      <c r="AC36" s="115"/>
    </row>
    <row r="37" spans="1:29" s="103" customFormat="1" ht="16.5" customHeight="1">
      <c r="A37" s="26"/>
      <c r="B37" s="114"/>
      <c r="C37" s="93"/>
      <c r="D37" s="93"/>
      <c r="E37" s="93"/>
      <c r="F37" s="192"/>
      <c r="G37" s="192"/>
      <c r="H37" s="192"/>
      <c r="I37" s="193"/>
      <c r="J37" s="81">
        <f t="shared" si="12"/>
        <v>24.63375</v>
      </c>
      <c r="K37" s="258"/>
      <c r="L37" s="258"/>
      <c r="M37" s="11">
        <f t="shared" si="13"/>
      </c>
      <c r="N37" s="12">
        <f t="shared" si="14"/>
      </c>
      <c r="O37" s="94"/>
      <c r="P37" s="95">
        <f t="shared" si="16"/>
      </c>
      <c r="Q37" s="198" t="str">
        <f t="shared" si="17"/>
        <v>--</v>
      </c>
      <c r="R37" s="199" t="str">
        <f t="shared" si="18"/>
        <v>--</v>
      </c>
      <c r="S37" s="200" t="str">
        <f t="shared" si="19"/>
        <v>--</v>
      </c>
      <c r="T37" s="201" t="str">
        <f t="shared" si="20"/>
        <v>--</v>
      </c>
      <c r="U37" s="202" t="str">
        <f t="shared" si="21"/>
        <v>--</v>
      </c>
      <c r="V37" s="203" t="str">
        <f t="shared" si="22"/>
        <v>--</v>
      </c>
      <c r="W37" s="204" t="str">
        <f t="shared" si="23"/>
        <v>--</v>
      </c>
      <c r="X37" s="205" t="str">
        <f t="shared" si="24"/>
        <v>--</v>
      </c>
      <c r="Y37" s="206" t="str">
        <f t="shared" si="25"/>
        <v>--</v>
      </c>
      <c r="Z37" s="207" t="str">
        <f t="shared" si="26"/>
        <v>--</v>
      </c>
      <c r="AA37" s="96" t="str">
        <f t="shared" si="27"/>
        <v> </v>
      </c>
      <c r="AB37" s="167">
        <f t="shared" si="15"/>
      </c>
      <c r="AC37" s="115"/>
    </row>
    <row r="38" spans="1:29" s="103" customFormat="1" ht="16.5" customHeight="1">
      <c r="A38" s="26"/>
      <c r="B38" s="114"/>
      <c r="C38" s="93"/>
      <c r="D38" s="93"/>
      <c r="E38" s="93"/>
      <c r="F38" s="192"/>
      <c r="G38" s="192"/>
      <c r="H38" s="192"/>
      <c r="I38" s="193"/>
      <c r="J38" s="81">
        <f t="shared" si="12"/>
        <v>24.63375</v>
      </c>
      <c r="K38" s="258"/>
      <c r="L38" s="258"/>
      <c r="M38" s="11">
        <f t="shared" si="13"/>
      </c>
      <c r="N38" s="12">
        <f t="shared" si="14"/>
      </c>
      <c r="O38" s="94"/>
      <c r="P38" s="95">
        <f t="shared" si="16"/>
      </c>
      <c r="Q38" s="198" t="str">
        <f t="shared" si="17"/>
        <v>--</v>
      </c>
      <c r="R38" s="199" t="str">
        <f t="shared" si="18"/>
        <v>--</v>
      </c>
      <c r="S38" s="200" t="str">
        <f t="shared" si="19"/>
        <v>--</v>
      </c>
      <c r="T38" s="201" t="str">
        <f t="shared" si="20"/>
        <v>--</v>
      </c>
      <c r="U38" s="202" t="str">
        <f t="shared" si="21"/>
        <v>--</v>
      </c>
      <c r="V38" s="203" t="str">
        <f t="shared" si="22"/>
        <v>--</v>
      </c>
      <c r="W38" s="204" t="str">
        <f t="shared" si="23"/>
        <v>--</v>
      </c>
      <c r="X38" s="205" t="str">
        <f t="shared" si="24"/>
        <v>--</v>
      </c>
      <c r="Y38" s="206" t="str">
        <f t="shared" si="25"/>
        <v>--</v>
      </c>
      <c r="Z38" s="207" t="str">
        <f t="shared" si="26"/>
        <v>--</v>
      </c>
      <c r="AA38" s="96" t="str">
        <f t="shared" si="27"/>
        <v> </v>
      </c>
      <c r="AB38" s="167">
        <f t="shared" si="15"/>
      </c>
      <c r="AC38" s="115"/>
    </row>
    <row r="39" spans="1:29" s="103" customFormat="1" ht="16.5" customHeight="1">
      <c r="A39" s="26"/>
      <c r="B39" s="114"/>
      <c r="C39" s="93"/>
      <c r="D39" s="93"/>
      <c r="E39" s="93"/>
      <c r="F39" s="192"/>
      <c r="G39" s="192"/>
      <c r="H39" s="192"/>
      <c r="I39" s="193"/>
      <c r="J39" s="81">
        <f t="shared" si="12"/>
        <v>24.63375</v>
      </c>
      <c r="K39" s="258"/>
      <c r="L39" s="258"/>
      <c r="M39" s="11">
        <f t="shared" si="13"/>
      </c>
      <c r="N39" s="12">
        <f t="shared" si="14"/>
      </c>
      <c r="O39" s="94"/>
      <c r="P39" s="95">
        <f t="shared" si="16"/>
      </c>
      <c r="Q39" s="198" t="str">
        <f t="shared" si="17"/>
        <v>--</v>
      </c>
      <c r="R39" s="199" t="str">
        <f t="shared" si="18"/>
        <v>--</v>
      </c>
      <c r="S39" s="200" t="str">
        <f t="shared" si="19"/>
        <v>--</v>
      </c>
      <c r="T39" s="201" t="str">
        <f t="shared" si="20"/>
        <v>--</v>
      </c>
      <c r="U39" s="202" t="str">
        <f t="shared" si="21"/>
        <v>--</v>
      </c>
      <c r="V39" s="203" t="str">
        <f t="shared" si="22"/>
        <v>--</v>
      </c>
      <c r="W39" s="204" t="str">
        <f t="shared" si="23"/>
        <v>--</v>
      </c>
      <c r="X39" s="205" t="str">
        <f t="shared" si="24"/>
        <v>--</v>
      </c>
      <c r="Y39" s="206" t="str">
        <f t="shared" si="25"/>
        <v>--</v>
      </c>
      <c r="Z39" s="207" t="str">
        <f t="shared" si="26"/>
        <v>--</v>
      </c>
      <c r="AA39" s="96" t="str">
        <f t="shared" si="27"/>
        <v> </v>
      </c>
      <c r="AB39" s="167">
        <f t="shared" si="15"/>
      </c>
      <c r="AC39" s="115"/>
    </row>
    <row r="40" spans="1:29" s="103" customFormat="1" ht="16.5" customHeight="1">
      <c r="A40" s="26"/>
      <c r="B40" s="114"/>
      <c r="C40" s="93"/>
      <c r="D40" s="93"/>
      <c r="E40" s="93"/>
      <c r="F40" s="192"/>
      <c r="G40" s="192"/>
      <c r="H40" s="192"/>
      <c r="I40" s="193"/>
      <c r="J40" s="81">
        <f t="shared" si="12"/>
        <v>24.63375</v>
      </c>
      <c r="K40" s="258"/>
      <c r="L40" s="258"/>
      <c r="M40" s="11">
        <f t="shared" si="13"/>
      </c>
      <c r="N40" s="12">
        <f t="shared" si="14"/>
      </c>
      <c r="O40" s="94"/>
      <c r="P40" s="95">
        <f t="shared" si="16"/>
      </c>
      <c r="Q40" s="198" t="str">
        <f t="shared" si="17"/>
        <v>--</v>
      </c>
      <c r="R40" s="199" t="str">
        <f t="shared" si="18"/>
        <v>--</v>
      </c>
      <c r="S40" s="200" t="str">
        <f t="shared" si="19"/>
        <v>--</v>
      </c>
      <c r="T40" s="201" t="str">
        <f t="shared" si="20"/>
        <v>--</v>
      </c>
      <c r="U40" s="202" t="str">
        <f t="shared" si="21"/>
        <v>--</v>
      </c>
      <c r="V40" s="203" t="str">
        <f t="shared" si="22"/>
        <v>--</v>
      </c>
      <c r="W40" s="204" t="str">
        <f t="shared" si="23"/>
        <v>--</v>
      </c>
      <c r="X40" s="205" t="str">
        <f t="shared" si="24"/>
        <v>--</v>
      </c>
      <c r="Y40" s="206" t="str">
        <f t="shared" si="25"/>
        <v>--</v>
      </c>
      <c r="Z40" s="207" t="str">
        <f t="shared" si="26"/>
        <v>--</v>
      </c>
      <c r="AA40" s="96" t="str">
        <f t="shared" si="27"/>
        <v> </v>
      </c>
      <c r="AB40" s="167">
        <f t="shared" si="15"/>
      </c>
      <c r="AC40" s="115"/>
    </row>
    <row r="41" spans="1:29" s="103" customFormat="1" ht="16.5" customHeight="1">
      <c r="A41" s="26"/>
      <c r="B41" s="114"/>
      <c r="C41" s="93"/>
      <c r="D41" s="93"/>
      <c r="E41" s="93"/>
      <c r="F41" s="192"/>
      <c r="G41" s="192"/>
      <c r="H41" s="192"/>
      <c r="I41" s="193"/>
      <c r="J41" s="81">
        <f t="shared" si="12"/>
        <v>24.63375</v>
      </c>
      <c r="K41" s="258"/>
      <c r="L41" s="258"/>
      <c r="M41" s="11">
        <f t="shared" si="13"/>
      </c>
      <c r="N41" s="12">
        <f t="shared" si="14"/>
      </c>
      <c r="O41" s="94"/>
      <c r="P41" s="95">
        <f t="shared" si="16"/>
      </c>
      <c r="Q41" s="198" t="str">
        <f t="shared" si="17"/>
        <v>--</v>
      </c>
      <c r="R41" s="199" t="str">
        <f t="shared" si="18"/>
        <v>--</v>
      </c>
      <c r="S41" s="200" t="str">
        <f t="shared" si="19"/>
        <v>--</v>
      </c>
      <c r="T41" s="201" t="str">
        <f t="shared" si="20"/>
        <v>--</v>
      </c>
      <c r="U41" s="202" t="str">
        <f t="shared" si="21"/>
        <v>--</v>
      </c>
      <c r="V41" s="203" t="str">
        <f t="shared" si="22"/>
        <v>--</v>
      </c>
      <c r="W41" s="204" t="str">
        <f t="shared" si="23"/>
        <v>--</v>
      </c>
      <c r="X41" s="205" t="str">
        <f t="shared" si="24"/>
        <v>--</v>
      </c>
      <c r="Y41" s="206" t="str">
        <f t="shared" si="25"/>
        <v>--</v>
      </c>
      <c r="Z41" s="207" t="str">
        <f t="shared" si="26"/>
        <v>--</v>
      </c>
      <c r="AA41" s="96" t="str">
        <f t="shared" si="27"/>
        <v> </v>
      </c>
      <c r="AB41" s="167">
        <f t="shared" si="15"/>
      </c>
      <c r="AC41" s="115"/>
    </row>
    <row r="42" spans="2:29" s="103" customFormat="1" ht="16.5" customHeight="1">
      <c r="B42" s="168"/>
      <c r="C42" s="93"/>
      <c r="D42" s="93"/>
      <c r="E42" s="93"/>
      <c r="F42" s="192"/>
      <c r="G42" s="192"/>
      <c r="H42" s="192"/>
      <c r="I42" s="193"/>
      <c r="J42" s="81">
        <f t="shared" si="12"/>
        <v>24.63375</v>
      </c>
      <c r="K42" s="258"/>
      <c r="L42" s="258"/>
      <c r="M42" s="11">
        <f t="shared" si="13"/>
      </c>
      <c r="N42" s="12">
        <f t="shared" si="14"/>
      </c>
      <c r="O42" s="94"/>
      <c r="P42" s="95">
        <f t="shared" si="16"/>
      </c>
      <c r="Q42" s="198" t="str">
        <f t="shared" si="17"/>
        <v>--</v>
      </c>
      <c r="R42" s="199" t="str">
        <f t="shared" si="18"/>
        <v>--</v>
      </c>
      <c r="S42" s="200" t="str">
        <f t="shared" si="19"/>
        <v>--</v>
      </c>
      <c r="T42" s="201" t="str">
        <f t="shared" si="20"/>
        <v>--</v>
      </c>
      <c r="U42" s="202" t="str">
        <f t="shared" si="21"/>
        <v>--</v>
      </c>
      <c r="V42" s="203" t="str">
        <f t="shared" si="22"/>
        <v>--</v>
      </c>
      <c r="W42" s="204" t="str">
        <f t="shared" si="23"/>
        <v>--</v>
      </c>
      <c r="X42" s="205" t="str">
        <f t="shared" si="24"/>
        <v>--</v>
      </c>
      <c r="Y42" s="206" t="str">
        <f t="shared" si="25"/>
        <v>--</v>
      </c>
      <c r="Z42" s="207" t="str">
        <f t="shared" si="26"/>
        <v>--</v>
      </c>
      <c r="AA42" s="96" t="str">
        <f t="shared" si="27"/>
        <v> </v>
      </c>
      <c r="AB42" s="167">
        <f t="shared" si="15"/>
      </c>
      <c r="AC42" s="115"/>
    </row>
    <row r="43" spans="2:29" s="103" customFormat="1" ht="16.5" customHeight="1">
      <c r="B43" s="168"/>
      <c r="C43" s="93"/>
      <c r="D43" s="93"/>
      <c r="E43" s="93"/>
      <c r="F43" s="192"/>
      <c r="G43" s="192"/>
      <c r="H43" s="192"/>
      <c r="I43" s="193"/>
      <c r="J43" s="81">
        <f>IF(I43&gt;25,I43,25)*IF(H43=220,IF(G43="L",$G$14,$G$16),IF(G43="L",$G$15,$G$17))/100</f>
        <v>24.63375</v>
      </c>
      <c r="K43" s="258"/>
      <c r="L43" s="258"/>
      <c r="M43" s="11">
        <f>IF(F43="","",(L43-K43)*24)</f>
      </c>
      <c r="N43" s="12">
        <f>IF(F43="","",ROUND((L43-K43)*24*60,0))</f>
      </c>
      <c r="O43" s="94"/>
      <c r="P43" s="95">
        <f>IF(F43="","","--")</f>
      </c>
      <c r="Q43" s="198" t="str">
        <f>IF(O43="P",ROUND(N43/60,2)*J43*$M$16*0.01,"--")</f>
        <v>--</v>
      </c>
      <c r="R43" s="199" t="str">
        <f>IF(O43="RP",ROUND(N43/60,2)*J43*$M$16*0.01*P43/100,"--")</f>
        <v>--</v>
      </c>
      <c r="S43" s="200" t="str">
        <f>IF(O43="F",J43*$M$16,"--")</f>
        <v>--</v>
      </c>
      <c r="T43" s="201" t="str">
        <f>IF(AND(N43&gt;=10,O43="F"),J43*$M$16*IF(N43&gt;180,3,ROUND(N43/60,2)),"--")</f>
        <v>--</v>
      </c>
      <c r="U43" s="202" t="str">
        <f>IF(AND(N43&gt;180,O43="F"),(ROUND(N43/60,2)-3)*J43*$M$16*0.1,"--")</f>
        <v>--</v>
      </c>
      <c r="V43" s="203" t="str">
        <f>IF(O43="R",J43*$M$16*P43/100,"--")</f>
        <v>--</v>
      </c>
      <c r="W43" s="204" t="str">
        <f>IF(AND(N43&gt;=10,O43="R"),J43*$M$16*IF(N43&gt;180,3,ROUND(N43/60,2))*P43/100,"--")</f>
        <v>--</v>
      </c>
      <c r="X43" s="205" t="str">
        <f>IF(AND(N43&gt;180,O43="R"),(ROUND(N43/60,2)-3)*J43*$M$16*0.1*P43/100,"--")</f>
        <v>--</v>
      </c>
      <c r="Y43" s="206" t="str">
        <f>IF(O43="RF",ROUND(N43/60,2)*J43*$M$16*0.1,"--")</f>
        <v>--</v>
      </c>
      <c r="Z43" s="207" t="str">
        <f>IF(O43="RR",ROUND(N43/60,2)*J43*$M$16*0.1*P43/100,"--")</f>
        <v>--</v>
      </c>
      <c r="AA43" s="96" t="str">
        <f t="shared" si="27"/>
        <v> </v>
      </c>
      <c r="AB43" s="167">
        <f>IF(F43="","",SUM(Q43:Z43)*IF(AA43="SI",1,2))</f>
      </c>
      <c r="AC43" s="115"/>
    </row>
    <row r="44" spans="2:29" s="103" customFormat="1" ht="16.5" customHeight="1">
      <c r="B44" s="168"/>
      <c r="C44" s="93"/>
      <c r="D44" s="93"/>
      <c r="E44" s="93"/>
      <c r="F44" s="192"/>
      <c r="G44" s="192"/>
      <c r="H44" s="192"/>
      <c r="I44" s="193"/>
      <c r="J44" s="81">
        <f>IF(I44&gt;25,I44,25)*IF(H44=220,IF(G44="L",$G$14,$G$16),IF(G44="L",$G$15,$G$17))/100</f>
        <v>24.63375</v>
      </c>
      <c r="K44" s="258"/>
      <c r="L44" s="258"/>
      <c r="M44" s="11">
        <f t="shared" si="13"/>
      </c>
      <c r="N44" s="12">
        <f>IF(F44="","",ROUND((L44-K44)*24*60,0))</f>
      </c>
      <c r="O44" s="94"/>
      <c r="P44" s="95">
        <f>IF(F44="","","--")</f>
      </c>
      <c r="Q44" s="198" t="str">
        <f>IF(O44="P",ROUND(N44/60,2)*J44*$M$16*0.01,"--")</f>
        <v>--</v>
      </c>
      <c r="R44" s="199" t="str">
        <f>IF(O44="RP",ROUND(N44/60,2)*J44*$M$16*0.01*P44/100,"--")</f>
        <v>--</v>
      </c>
      <c r="S44" s="200" t="str">
        <f>IF(O44="F",J44*$M$16,"--")</f>
        <v>--</v>
      </c>
      <c r="T44" s="201" t="str">
        <f>IF(AND(N44&gt;=10,O44="F"),J44*$M$16*IF(N44&gt;180,3,ROUND(N44/60,2)),"--")</f>
        <v>--</v>
      </c>
      <c r="U44" s="202" t="str">
        <f>IF(AND(N44&gt;180,O44="F"),(ROUND(N44/60,2)-3)*J44*$M$16*0.1,"--")</f>
        <v>--</v>
      </c>
      <c r="V44" s="203" t="str">
        <f>IF(O44="R",J44*$M$16*P44/100,"--")</f>
        <v>--</v>
      </c>
      <c r="W44" s="204" t="str">
        <f>IF(AND(N44&gt;=10,O44="R"),J44*$M$16*IF(N44&gt;180,3,ROUND(N44/60,2))*P44/100,"--")</f>
        <v>--</v>
      </c>
      <c r="X44" s="205" t="str">
        <f>IF(AND(N44&gt;180,O44="R"),(ROUND(N44/60,2)-3)*J44*$M$16*0.1*P44/100,"--")</f>
        <v>--</v>
      </c>
      <c r="Y44" s="206" t="str">
        <f>IF(O44="RF",ROUND(N44/60,2)*J44*$M$16*0.1,"--")</f>
        <v>--</v>
      </c>
      <c r="Z44" s="207" t="str">
        <f>IF(O44="RR",ROUND(N44/60,2)*J44*$M$16*0.1*P44/100,"--")</f>
        <v>--</v>
      </c>
      <c r="AA44" s="96" t="str">
        <f t="shared" si="27"/>
        <v> </v>
      </c>
      <c r="AB44" s="167">
        <f>IF(F44="","",SUM(Q44:Z44)*IF(AA44="SI",1,2))</f>
      </c>
      <c r="AC44" s="115"/>
    </row>
    <row r="45" spans="2:29" s="103" customFormat="1" ht="16.5" customHeight="1">
      <c r="B45" s="168"/>
      <c r="C45" s="93"/>
      <c r="D45" s="93"/>
      <c r="E45" s="93"/>
      <c r="F45" s="192"/>
      <c r="G45" s="192"/>
      <c r="H45" s="192"/>
      <c r="I45" s="193"/>
      <c r="J45" s="81">
        <f>IF(I45&gt;25,I45,25)*IF(H45=220,IF(G45="L",$G$14,$G$16),IF(G45="L",$G$15,$G$17))/100</f>
        <v>24.63375</v>
      </c>
      <c r="K45" s="258"/>
      <c r="L45" s="258"/>
      <c r="M45" s="11">
        <f t="shared" si="13"/>
      </c>
      <c r="N45" s="12">
        <f>IF(F45="","",ROUND((L45-K45)*24*60,0))</f>
      </c>
      <c r="O45" s="94"/>
      <c r="P45" s="95">
        <f>IF(F45="","","--")</f>
      </c>
      <c r="Q45" s="198" t="str">
        <f>IF(O45="P",ROUND(N45/60,2)*J45*$M$16*0.01,"--")</f>
        <v>--</v>
      </c>
      <c r="R45" s="199" t="str">
        <f>IF(O45="RP",ROUND(N45/60,2)*J45*$M$16*0.01*P45/100,"--")</f>
        <v>--</v>
      </c>
      <c r="S45" s="200" t="str">
        <f>IF(O45="F",J45*$M$16,"--")</f>
        <v>--</v>
      </c>
      <c r="T45" s="201" t="str">
        <f>IF(AND(N45&gt;=10,O45="F"),J45*$M$16*IF(N45&gt;180,3,ROUND(N45/60,2)),"--")</f>
        <v>--</v>
      </c>
      <c r="U45" s="202" t="str">
        <f>IF(AND(N45&gt;180,O45="F"),(ROUND(N45/60,2)-3)*J45*$M$16*0.1,"--")</f>
        <v>--</v>
      </c>
      <c r="V45" s="203" t="str">
        <f>IF(O45="R",J45*$M$16*P45/100,"--")</f>
        <v>--</v>
      </c>
      <c r="W45" s="204" t="str">
        <f>IF(AND(N45&gt;=10,O45="R"),J45*$M$16*IF(N45&gt;180,3,ROUND(N45/60,2))*P45/100,"--")</f>
        <v>--</v>
      </c>
      <c r="X45" s="205" t="str">
        <f>IF(AND(N45&gt;180,O45="R"),(ROUND(N45/60,2)-3)*J45*$M$16*0.1*P45/100,"--")</f>
        <v>--</v>
      </c>
      <c r="Y45" s="206" t="str">
        <f>IF(O45="RF",ROUND(N45/60,2)*J45*$M$16*0.1,"--")</f>
        <v>--</v>
      </c>
      <c r="Z45" s="207" t="str">
        <f>IF(O45="RR",ROUND(N45/60,2)*J45*$M$16*0.1*P45/100,"--")</f>
        <v>--</v>
      </c>
      <c r="AA45" s="96" t="str">
        <f t="shared" si="27"/>
        <v> </v>
      </c>
      <c r="AB45" s="167">
        <f>IF(F45="","",SUM(Q45:Z45)*IF(AA45="SI",1,2))</f>
      </c>
      <c r="AC45" s="115"/>
    </row>
    <row r="46" spans="1:29" s="103" customFormat="1" ht="16.5" customHeight="1" thickBot="1">
      <c r="A46" s="26"/>
      <c r="B46" s="114"/>
      <c r="C46" s="194"/>
      <c r="D46" s="194"/>
      <c r="E46" s="194"/>
      <c r="F46" s="195"/>
      <c r="G46" s="195"/>
      <c r="H46" s="196"/>
      <c r="I46" s="197"/>
      <c r="J46" s="82"/>
      <c r="K46" s="227"/>
      <c r="L46" s="227"/>
      <c r="M46" s="13"/>
      <c r="N46" s="13"/>
      <c r="O46" s="197"/>
      <c r="P46" s="208"/>
      <c r="Q46" s="209"/>
      <c r="R46" s="210"/>
      <c r="S46" s="211"/>
      <c r="T46" s="212"/>
      <c r="U46" s="213"/>
      <c r="V46" s="214"/>
      <c r="W46" s="215"/>
      <c r="X46" s="216"/>
      <c r="Y46" s="217"/>
      <c r="Z46" s="218"/>
      <c r="AA46" s="219"/>
      <c r="AB46" s="169"/>
      <c r="AC46" s="115"/>
    </row>
    <row r="47" spans="1:29" s="103" customFormat="1" ht="16.5" customHeight="1" thickBot="1" thickTop="1">
      <c r="A47" s="26"/>
      <c r="B47" s="114"/>
      <c r="C47" s="170" t="s">
        <v>31</v>
      </c>
      <c r="D47" s="259" t="s">
        <v>109</v>
      </c>
      <c r="E47" s="73"/>
      <c r="F47" s="71"/>
      <c r="G47" s="14"/>
      <c r="H47" s="14"/>
      <c r="I47" s="15"/>
      <c r="J47" s="16"/>
      <c r="K47" s="16"/>
      <c r="L47" s="16"/>
      <c r="M47" s="16"/>
      <c r="N47" s="16"/>
      <c r="O47" s="16"/>
      <c r="P47" s="17"/>
      <c r="Q47" s="171">
        <f aca="true" t="shared" si="28" ref="Q47:Z47">ROUND(SUM(Q20:Q46),2)</f>
        <v>856.71</v>
      </c>
      <c r="R47" s="172">
        <f t="shared" si="28"/>
        <v>0</v>
      </c>
      <c r="S47" s="88">
        <f t="shared" si="28"/>
        <v>6624.67</v>
      </c>
      <c r="T47" s="88">
        <f t="shared" si="28"/>
        <v>6699.29</v>
      </c>
      <c r="U47" s="173">
        <f t="shared" si="28"/>
        <v>0</v>
      </c>
      <c r="V47" s="89">
        <f t="shared" si="28"/>
        <v>0</v>
      </c>
      <c r="W47" s="89">
        <f t="shared" si="28"/>
        <v>0</v>
      </c>
      <c r="X47" s="174">
        <f t="shared" si="28"/>
        <v>0</v>
      </c>
      <c r="Y47" s="175">
        <f t="shared" si="28"/>
        <v>0</v>
      </c>
      <c r="Z47" s="176">
        <f t="shared" si="28"/>
        <v>0</v>
      </c>
      <c r="AA47" s="177"/>
      <c r="AB47" s="178">
        <f>ROUND(SUM(AB20:AB46),2)</f>
        <v>14180.67</v>
      </c>
      <c r="AC47" s="179"/>
    </row>
    <row r="48" spans="1:29" s="187" customFormat="1" ht="9.75" thickTop="1">
      <c r="A48" s="180"/>
      <c r="B48" s="181"/>
      <c r="C48" s="182"/>
      <c r="D48" s="182"/>
      <c r="E48" s="182"/>
      <c r="F48" s="72"/>
      <c r="G48" s="73"/>
      <c r="H48" s="73"/>
      <c r="I48" s="74"/>
      <c r="J48" s="75"/>
      <c r="K48" s="75"/>
      <c r="L48" s="75"/>
      <c r="M48" s="75"/>
      <c r="N48" s="75"/>
      <c r="O48" s="75"/>
      <c r="P48" s="76"/>
      <c r="Q48" s="183"/>
      <c r="R48" s="183"/>
      <c r="S48" s="77"/>
      <c r="T48" s="77"/>
      <c r="U48" s="184"/>
      <c r="V48" s="184"/>
      <c r="W48" s="184"/>
      <c r="X48" s="184"/>
      <c r="Y48" s="184"/>
      <c r="Z48" s="184"/>
      <c r="AA48" s="184"/>
      <c r="AB48" s="185"/>
      <c r="AC48" s="186"/>
    </row>
    <row r="49" spans="1:29" s="103" customFormat="1" ht="16.5" customHeight="1" thickBot="1">
      <c r="A49" s="26"/>
      <c r="B49" s="188"/>
      <c r="C49" s="189"/>
      <c r="D49" s="189"/>
      <c r="E49" s="189"/>
      <c r="F49" s="189"/>
      <c r="G49" s="189"/>
      <c r="H49" s="189"/>
      <c r="I49" s="189"/>
      <c r="J49" s="189"/>
      <c r="K49" s="190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91"/>
    </row>
    <row r="50" ht="13.5" thickTop="1"/>
  </sheetData>
  <sheetProtection/>
  <conditionalFormatting sqref="AA25:AA45">
    <cfRule type="cellIs" priority="15" dxfId="0" operator="equal" stopIfTrue="1">
      <formula>"SI"</formula>
    </cfRule>
    <cfRule type="cellIs" priority="16" dxfId="0" operator="equal" stopIfTrue="1">
      <formula>"NO"</formula>
    </cfRule>
    <cfRule type="cellIs" priority="17" dxfId="0" operator="equal" stopIfTrue="1">
      <formula>" "</formula>
    </cfRule>
  </conditionalFormatting>
  <conditionalFormatting sqref="M27:M45">
    <cfRule type="cellIs" priority="18" dxfId="3" operator="lessThanOrEqual" stopIfTrue="1">
      <formula>0</formula>
    </cfRule>
  </conditionalFormatting>
  <conditionalFormatting sqref="K27:L45">
    <cfRule type="expression" priority="19" dxfId="1" stopIfTrue="1">
      <formula>MONTH(K27)&lt;&gt;$J$20</formula>
    </cfRule>
    <cfRule type="expression" priority="20" dxfId="1" stopIfTrue="1">
      <formula>YEAR(K27)&lt;&gt;$J$21</formula>
    </cfRule>
    <cfRule type="expression" priority="21" dxfId="0" stopIfTrue="1">
      <formula>""""""</formula>
    </cfRule>
  </conditionalFormatting>
  <conditionalFormatting sqref="AA24">
    <cfRule type="cellIs" priority="8" dxfId="0" operator="equal" stopIfTrue="1">
      <formula>"SI"</formula>
    </cfRule>
    <cfRule type="cellIs" priority="9" dxfId="0" operator="equal" stopIfTrue="1">
      <formula>"NO"</formula>
    </cfRule>
    <cfRule type="cellIs" priority="10" dxfId="0" operator="equal" stopIfTrue="1">
      <formula>" "</formula>
    </cfRule>
  </conditionalFormatting>
  <conditionalFormatting sqref="M24:M26">
    <cfRule type="cellIs" priority="11" dxfId="3" operator="lessThanOrEqual" stopIfTrue="1">
      <formula>0</formula>
    </cfRule>
  </conditionalFormatting>
  <conditionalFormatting sqref="K24:L26">
    <cfRule type="expression" priority="12" dxfId="1" stopIfTrue="1">
      <formula>MONTH(K24)&lt;&gt;$J$20</formula>
    </cfRule>
    <cfRule type="expression" priority="13" dxfId="1" stopIfTrue="1">
      <formula>YEAR(K24)&lt;&gt;$J$21</formula>
    </cfRule>
    <cfRule type="expression" priority="14" dxfId="0" stopIfTrue="1">
      <formula>""""""</formula>
    </cfRule>
  </conditionalFormatting>
  <conditionalFormatting sqref="AA22:AA23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M22:M23">
    <cfRule type="cellIs" priority="4" dxfId="3" operator="lessThanOrEqual" stopIfTrue="1">
      <formula>0</formula>
    </cfRule>
  </conditionalFormatting>
  <conditionalFormatting sqref="K22:L23">
    <cfRule type="expression" priority="5" dxfId="1" stopIfTrue="1">
      <formula>MONTH(K22)&lt;&gt;$J$20</formula>
    </cfRule>
    <cfRule type="expression" priority="6" dxfId="1" stopIfTrue="1">
      <formula>YEAR(K22)&lt;&gt;$J$21</formula>
    </cfRule>
    <cfRule type="expression" priority="7" dxfId="0" stopIfTrue="1">
      <formula>""""""</formula>
    </cfRule>
  </conditionalFormatting>
  <printOptions/>
  <pageMargins left="0.2755905511811024" right="0.6692913385826772" top="0.7874015748031497" bottom="0.7874015748031497" header="0.5118110236220472" footer="0.5118110236220472"/>
  <pageSetup fitToHeight="1" fitToWidth="1" horizontalDpi="600" verticalDpi="600" orientation="landscape" paperSize="9" scale="5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="75" zoomScaleNormal="75" zoomScalePageLayoutView="0" workbookViewId="0" topLeftCell="E1">
      <selection activeCell="D8" sqref="D8"/>
    </sheetView>
  </sheetViews>
  <sheetFormatPr defaultColWidth="11.421875" defaultRowHeight="12.75"/>
  <cols>
    <col min="1" max="2" width="15.7109375" style="260" customWidth="1"/>
    <col min="3" max="3" width="3.7109375" style="260" customWidth="1"/>
    <col min="4" max="4" width="47.00390625" style="260" bestFit="1" customWidth="1"/>
    <col min="5" max="7" width="11.421875" style="260" customWidth="1"/>
    <col min="8" max="20" width="8.7109375" style="260" customWidth="1"/>
    <col min="21" max="21" width="15.7109375" style="260" customWidth="1"/>
    <col min="22" max="16384" width="11.421875" style="260" customWidth="1"/>
  </cols>
  <sheetData>
    <row r="1" ht="40.5" customHeight="1">
      <c r="U1" s="261"/>
    </row>
    <row r="2" spans="2:21" s="262" customFormat="1" ht="26.25">
      <c r="B2" s="263" t="str">
        <f>'TOT-0816'!B2</f>
        <v>ANEXO II a la Resolución AAANR N°   3 / 2017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" s="265" customFormat="1" ht="11.25">
      <c r="A3" s="264" t="s">
        <v>2</v>
      </c>
      <c r="B3" s="264"/>
    </row>
    <row r="4" spans="1:2" s="265" customFormat="1" ht="11.25">
      <c r="A4" s="264" t="s">
        <v>3</v>
      </c>
      <c r="B4" s="264"/>
    </row>
    <row r="5" spans="1:2" ht="9.75" customHeight="1">
      <c r="A5" s="266"/>
      <c r="B5" s="266"/>
    </row>
    <row r="6" spans="1:21" ht="20.25">
      <c r="A6" s="266"/>
      <c r="B6" s="267" t="s">
        <v>0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</row>
    <row r="7" spans="1:3" ht="18.75" customHeight="1">
      <c r="A7" s="266"/>
      <c r="B7" s="266"/>
      <c r="C7" s="269"/>
    </row>
    <row r="8" spans="1:21" ht="20.25">
      <c r="A8" s="266"/>
      <c r="B8" s="267" t="s">
        <v>116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</row>
    <row r="9" spans="1:3" ht="18.75" customHeight="1">
      <c r="A9" s="266"/>
      <c r="B9" s="266"/>
      <c r="C9" s="269"/>
    </row>
    <row r="10" spans="2:21" ht="20.25">
      <c r="B10" s="270" t="s">
        <v>117</v>
      </c>
      <c r="C10" s="268"/>
      <c r="D10" s="268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68"/>
    </row>
    <row r="11" ht="18.75" customHeight="1" thickBot="1"/>
    <row r="12" spans="2:21" ht="18.75" customHeight="1" thickTop="1">
      <c r="B12" s="272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4"/>
    </row>
    <row r="13" spans="2:21" ht="19.5">
      <c r="B13" s="275" t="s">
        <v>128</v>
      </c>
      <c r="C13" s="268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7"/>
    </row>
    <row r="14" spans="2:21" ht="18.75" customHeight="1" thickBot="1"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80"/>
    </row>
    <row r="15" spans="2:21" s="281" customFormat="1" ht="30" customHeight="1" thickBot="1" thickTop="1">
      <c r="B15" s="282"/>
      <c r="C15" s="283"/>
      <c r="D15" s="284" t="s">
        <v>5</v>
      </c>
      <c r="E15" s="283" t="s">
        <v>1</v>
      </c>
      <c r="F15" s="283" t="s">
        <v>118</v>
      </c>
      <c r="G15" s="283" t="s">
        <v>119</v>
      </c>
      <c r="H15" s="285">
        <v>42217</v>
      </c>
      <c r="I15" s="285">
        <v>42248</v>
      </c>
      <c r="J15" s="285">
        <v>42278</v>
      </c>
      <c r="K15" s="285">
        <v>42309</v>
      </c>
      <c r="L15" s="285">
        <v>42339</v>
      </c>
      <c r="M15" s="285">
        <v>42370</v>
      </c>
      <c r="N15" s="285">
        <v>42401</v>
      </c>
      <c r="O15" s="285">
        <v>42430</v>
      </c>
      <c r="P15" s="285">
        <v>42461</v>
      </c>
      <c r="Q15" s="285">
        <v>42491</v>
      </c>
      <c r="R15" s="285">
        <v>42522</v>
      </c>
      <c r="S15" s="285">
        <v>42552</v>
      </c>
      <c r="T15" s="285">
        <v>42583</v>
      </c>
      <c r="U15" s="286"/>
    </row>
    <row r="16" spans="2:21" s="287" customFormat="1" ht="18.75" thickTop="1">
      <c r="B16" s="288"/>
      <c r="C16" s="289"/>
      <c r="D16" s="289"/>
      <c r="E16" s="289"/>
      <c r="F16" s="289"/>
      <c r="G16" s="289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  <c r="U16" s="292"/>
    </row>
    <row r="17" spans="2:21" s="287" customFormat="1" ht="19.5" customHeight="1">
      <c r="B17" s="288"/>
      <c r="C17" s="293">
        <f>'[1]TASA DE FALLA'!C17</f>
        <v>1</v>
      </c>
      <c r="D17" s="293" t="str">
        <f>'[1]TASA DE FALLA'!D17</f>
        <v>CENTENARIO - VISTA ALEGRE</v>
      </c>
      <c r="E17" s="293" t="str">
        <f>'[1]TASA DE FALLA'!E17</f>
        <v>L</v>
      </c>
      <c r="F17" s="293">
        <f>'[1]TASA DE FALLA'!F17</f>
        <v>33</v>
      </c>
      <c r="G17" s="293">
        <f>'[1]TASA DE FALLA'!G17</f>
        <v>11.8</v>
      </c>
      <c r="H17" s="294" t="str">
        <f>IF('[1]TASA DE FALLA'!AM17=0,"",'[1]TASA DE FALLA'!AM17)</f>
        <v>XXXX</v>
      </c>
      <c r="I17" s="294" t="str">
        <f>IF('[1]TASA DE FALLA'!AN17=0,"",'[1]TASA DE FALLA'!AN17)</f>
        <v>XXXX</v>
      </c>
      <c r="J17" s="294" t="str">
        <f>IF('[1]TASA DE FALLA'!AO17=0,"",'[1]TASA DE FALLA'!AO17)</f>
        <v>XXXX</v>
      </c>
      <c r="K17" s="294" t="str">
        <f>IF('[1]TASA DE FALLA'!AP17=0,"",'[1]TASA DE FALLA'!AP17)</f>
        <v>XXXX</v>
      </c>
      <c r="L17" s="294" t="str">
        <f>IF('[1]TASA DE FALLA'!AQ17=0,"",'[1]TASA DE FALLA'!AQ17)</f>
        <v>XXXX</v>
      </c>
      <c r="M17" s="294" t="str">
        <f>IF('[1]TASA DE FALLA'!AR17=0,"",'[1]TASA DE FALLA'!AR17)</f>
        <v>XXXX</v>
      </c>
      <c r="N17" s="294" t="str">
        <f>IF('[1]TASA DE FALLA'!AS17=0,"",'[1]TASA DE FALLA'!AS17)</f>
        <v>XXXX</v>
      </c>
      <c r="O17" s="294" t="str">
        <f>IF('[1]TASA DE FALLA'!AT17=0,"",'[1]TASA DE FALLA'!AT17)</f>
        <v>XXXX</v>
      </c>
      <c r="P17" s="294" t="str">
        <f>IF('[1]TASA DE FALLA'!AU17=0,"",'[1]TASA DE FALLA'!AU17)</f>
        <v>XXXX</v>
      </c>
      <c r="Q17" s="294" t="str">
        <f>IF('[1]TASA DE FALLA'!AV17=0,"",'[1]TASA DE FALLA'!AV17)</f>
        <v>XXXX</v>
      </c>
      <c r="R17" s="294" t="str">
        <f>IF('[1]TASA DE FALLA'!AW17=0,"",'[1]TASA DE FALLA'!AW17)</f>
        <v>XXXX</v>
      </c>
      <c r="S17" s="294" t="str">
        <f>IF('[1]TASA DE FALLA'!AX17=0,"",'[1]TASA DE FALLA'!AX17)</f>
        <v>XXXX</v>
      </c>
      <c r="T17" s="295"/>
      <c r="U17" s="292"/>
    </row>
    <row r="18" spans="2:21" s="287" customFormat="1" ht="19.5" customHeight="1">
      <c r="B18" s="288"/>
      <c r="C18" s="293">
        <f>'[1]TASA DE FALLA'!C18</f>
        <v>26</v>
      </c>
      <c r="D18" s="293" t="str">
        <f>'[1]TASA DE FALLA'!D18</f>
        <v>CENTENARIO - CAMPO GRANDE</v>
      </c>
      <c r="E18" s="293" t="str">
        <f>'[1]TASA DE FALLA'!E18</f>
        <v>L</v>
      </c>
      <c r="F18" s="293">
        <f>'[1]TASA DE FALLA'!F18</f>
        <v>33</v>
      </c>
      <c r="G18" s="293">
        <f>'[1]TASA DE FALLA'!G18</f>
        <v>16</v>
      </c>
      <c r="H18" s="294">
        <f>IF('[1]TASA DE FALLA'!AM18=0,"",'[1]TASA DE FALLA'!AM18)</f>
      </c>
      <c r="I18" s="294">
        <f>IF('[1]TASA DE FALLA'!AN18=0,"",'[1]TASA DE FALLA'!AN18)</f>
      </c>
      <c r="J18" s="294">
        <f>IF('[1]TASA DE FALLA'!AO18=0,"",'[1]TASA DE FALLA'!AO18)</f>
      </c>
      <c r="K18" s="294">
        <f>IF('[1]TASA DE FALLA'!AP18=0,"",'[1]TASA DE FALLA'!AP18)</f>
      </c>
      <c r="L18" s="294">
        <f>IF('[1]TASA DE FALLA'!AQ18=0,"",'[1]TASA DE FALLA'!AQ18)</f>
      </c>
      <c r="M18" s="294">
        <f>IF('[1]TASA DE FALLA'!AR18=0,"",'[1]TASA DE FALLA'!AR18)</f>
      </c>
      <c r="N18" s="294">
        <f>IF('[1]TASA DE FALLA'!AS18=0,"",'[1]TASA DE FALLA'!AS18)</f>
      </c>
      <c r="O18" s="294">
        <f>IF('[1]TASA DE FALLA'!AT18=0,"",'[1]TASA DE FALLA'!AT18)</f>
      </c>
      <c r="P18" s="294">
        <f>IF('[1]TASA DE FALLA'!AU18=0,"",'[1]TASA DE FALLA'!AU18)</f>
      </c>
      <c r="Q18" s="294">
        <f>IF('[1]TASA DE FALLA'!AV18=0,"",'[1]TASA DE FALLA'!AV18)</f>
        <v>1</v>
      </c>
      <c r="R18" s="294">
        <f>IF('[1]TASA DE FALLA'!AW18=0,"",'[1]TASA DE FALLA'!AW18)</f>
      </c>
      <c r="S18" s="294">
        <f>IF('[1]TASA DE FALLA'!AX18=0,"",'[1]TASA DE FALLA'!AX18)</f>
        <v>1</v>
      </c>
      <c r="T18" s="295"/>
      <c r="U18" s="292"/>
    </row>
    <row r="19" spans="2:21" s="287" customFormat="1" ht="19.5" customHeight="1">
      <c r="B19" s="288"/>
      <c r="C19" s="293">
        <f>'[1]TASA DE FALLA'!C19</f>
        <v>2</v>
      </c>
      <c r="D19" s="293" t="str">
        <f>'[1]TASA DE FALLA'!D19</f>
        <v>CHOS MALAL - PAMPA TRILL-FILO MORADO</v>
      </c>
      <c r="E19" s="293" t="str">
        <f>'[1]TASA DE FALLA'!E19</f>
        <v>L</v>
      </c>
      <c r="F19" s="293">
        <f>'[1]TASA DE FALLA'!F19</f>
        <v>132</v>
      </c>
      <c r="G19" s="293">
        <f>'[1]TASA DE FALLA'!G19</f>
        <v>66.3</v>
      </c>
      <c r="H19" s="294">
        <f>IF('[1]TASA DE FALLA'!AM19=0,"",'[1]TASA DE FALLA'!AM19)</f>
      </c>
      <c r="I19" s="294">
        <f>IF('[1]TASA DE FALLA'!AN19=0,"",'[1]TASA DE FALLA'!AN19)</f>
      </c>
      <c r="J19" s="294">
        <f>IF('[1]TASA DE FALLA'!AO19=0,"",'[1]TASA DE FALLA'!AO19)</f>
      </c>
      <c r="K19" s="294">
        <f>IF('[1]TASA DE FALLA'!AP19=0,"",'[1]TASA DE FALLA'!AP19)</f>
      </c>
      <c r="L19" s="294">
        <f>IF('[1]TASA DE FALLA'!AQ19=0,"",'[1]TASA DE FALLA'!AQ19)</f>
      </c>
      <c r="M19" s="294">
        <f>IF('[1]TASA DE FALLA'!AR19=0,"",'[1]TASA DE FALLA'!AR19)</f>
      </c>
      <c r="N19" s="294">
        <f>IF('[1]TASA DE FALLA'!AS19=0,"",'[1]TASA DE FALLA'!AS19)</f>
      </c>
      <c r="O19" s="294">
        <f>IF('[1]TASA DE FALLA'!AT19=0,"",'[1]TASA DE FALLA'!AT19)</f>
      </c>
      <c r="P19" s="294">
        <f>IF('[1]TASA DE FALLA'!AU19=0,"",'[1]TASA DE FALLA'!AU19)</f>
        <v>6</v>
      </c>
      <c r="Q19" s="294">
        <f>IF('[1]TASA DE FALLA'!AV19=0,"",'[1]TASA DE FALLA'!AV19)</f>
      </c>
      <c r="R19" s="294">
        <f>IF('[1]TASA DE FALLA'!AW19=0,"",'[1]TASA DE FALLA'!AW19)</f>
      </c>
      <c r="S19" s="294">
        <f>IF('[1]TASA DE FALLA'!AX19=0,"",'[1]TASA DE FALLA'!AX19)</f>
      </c>
      <c r="T19" s="295"/>
      <c r="U19" s="292"/>
    </row>
    <row r="20" spans="2:21" s="287" customFormat="1" ht="19.5" customHeight="1">
      <c r="B20" s="288"/>
      <c r="C20" s="293">
        <f>'[1]TASA DE FALLA'!C20</f>
        <v>3</v>
      </c>
      <c r="D20" s="293" t="str">
        <f>'[1]TASA DE FALLA'!D20</f>
        <v>CUTRAL-CO - PLAZA HUINCUL</v>
      </c>
      <c r="E20" s="293" t="str">
        <f>'[1]TASA DE FALLA'!E20</f>
        <v>L</v>
      </c>
      <c r="F20" s="293">
        <f>'[1]TASA DE FALLA'!F20</f>
        <v>132</v>
      </c>
      <c r="G20" s="293">
        <f>'[1]TASA DE FALLA'!G20</f>
        <v>7.9</v>
      </c>
      <c r="H20" s="294">
        <f>IF('[1]TASA DE FALLA'!AM20=0,"",'[1]TASA DE FALLA'!AM20)</f>
      </c>
      <c r="I20" s="294">
        <f>IF('[1]TASA DE FALLA'!AN20=0,"",'[1]TASA DE FALLA'!AN20)</f>
      </c>
      <c r="J20" s="294">
        <f>IF('[1]TASA DE FALLA'!AO20=0,"",'[1]TASA DE FALLA'!AO20)</f>
      </c>
      <c r="K20" s="294">
        <f>IF('[1]TASA DE FALLA'!AP20=0,"",'[1]TASA DE FALLA'!AP20)</f>
      </c>
      <c r="L20" s="294">
        <f>IF('[1]TASA DE FALLA'!AQ20=0,"",'[1]TASA DE FALLA'!AQ20)</f>
      </c>
      <c r="M20" s="294">
        <f>IF('[1]TASA DE FALLA'!AR20=0,"",'[1]TASA DE FALLA'!AR20)</f>
      </c>
      <c r="N20" s="294">
        <f>IF('[1]TASA DE FALLA'!AS20=0,"",'[1]TASA DE FALLA'!AS20)</f>
      </c>
      <c r="O20" s="294">
        <f>IF('[1]TASA DE FALLA'!AT20=0,"",'[1]TASA DE FALLA'!AT20)</f>
      </c>
      <c r="P20" s="294">
        <f>IF('[1]TASA DE FALLA'!AU20=0,"",'[1]TASA DE FALLA'!AU20)</f>
      </c>
      <c r="Q20" s="294">
        <f>IF('[1]TASA DE FALLA'!AV20=0,"",'[1]TASA DE FALLA'!AV20)</f>
      </c>
      <c r="R20" s="294">
        <f>IF('[1]TASA DE FALLA'!AW20=0,"",'[1]TASA DE FALLA'!AW20)</f>
      </c>
      <c r="S20" s="294">
        <f>IF('[1]TASA DE FALLA'!AX20=0,"",'[1]TASA DE FALLA'!AX20)</f>
      </c>
      <c r="T20" s="295"/>
      <c r="U20" s="292"/>
    </row>
    <row r="21" spans="2:21" s="287" customFormat="1" ht="19.5" customHeight="1">
      <c r="B21" s="288"/>
      <c r="C21" s="293">
        <f>'[1]TASA DE FALLA'!C21</f>
        <v>4</v>
      </c>
      <c r="D21" s="293" t="str">
        <f>'[1]TASA DE FALLA'!D21</f>
        <v>CUTRAL-CO - ZAPALA</v>
      </c>
      <c r="E21" s="293" t="str">
        <f>'[1]TASA DE FALLA'!E21</f>
        <v>L</v>
      </c>
      <c r="F21" s="293">
        <f>'[1]TASA DE FALLA'!F21</f>
        <v>132</v>
      </c>
      <c r="G21" s="293">
        <f>'[1]TASA DE FALLA'!G21</f>
        <v>71.2</v>
      </c>
      <c r="H21" s="294">
        <f>IF('[1]TASA DE FALLA'!AM21=0,"",'[1]TASA DE FALLA'!AM21)</f>
      </c>
      <c r="I21" s="294">
        <f>IF('[1]TASA DE FALLA'!AN21=0,"",'[1]TASA DE FALLA'!AN21)</f>
      </c>
      <c r="J21" s="294">
        <f>IF('[1]TASA DE FALLA'!AO21=0,"",'[1]TASA DE FALLA'!AO21)</f>
        <v>1</v>
      </c>
      <c r="K21" s="294">
        <f>IF('[1]TASA DE FALLA'!AP21=0,"",'[1]TASA DE FALLA'!AP21)</f>
      </c>
      <c r="L21" s="294">
        <f>IF('[1]TASA DE FALLA'!AQ21=0,"",'[1]TASA DE FALLA'!AQ21)</f>
      </c>
      <c r="M21" s="294">
        <f>IF('[1]TASA DE FALLA'!AR21=0,"",'[1]TASA DE FALLA'!AR21)</f>
      </c>
      <c r="N21" s="294">
        <f>IF('[1]TASA DE FALLA'!AS21=0,"",'[1]TASA DE FALLA'!AS21)</f>
      </c>
      <c r="O21" s="294">
        <f>IF('[1]TASA DE FALLA'!AT21=0,"",'[1]TASA DE FALLA'!AT21)</f>
      </c>
      <c r="P21" s="294">
        <f>IF('[1]TASA DE FALLA'!AU21=0,"",'[1]TASA DE FALLA'!AU21)</f>
      </c>
      <c r="Q21" s="294">
        <f>IF('[1]TASA DE FALLA'!AV21=0,"",'[1]TASA DE FALLA'!AV21)</f>
      </c>
      <c r="R21" s="294">
        <f>IF('[1]TASA DE FALLA'!AW21=0,"",'[1]TASA DE FALLA'!AW21)</f>
      </c>
      <c r="S21" s="294">
        <f>IF('[1]TASA DE FALLA'!AX21=0,"",'[1]TASA DE FALLA'!AX21)</f>
      </c>
      <c r="T21" s="295"/>
      <c r="U21" s="292"/>
    </row>
    <row r="22" spans="2:21" s="287" customFormat="1" ht="19.5" customHeight="1">
      <c r="B22" s="288"/>
      <c r="C22" s="293">
        <f>'[1]TASA DE FALLA'!C22</f>
        <v>5</v>
      </c>
      <c r="D22" s="293" t="str">
        <f>'[1]TASA DE FALLA'!D22</f>
        <v>EL CHOCON - CUTRAL CO</v>
      </c>
      <c r="E22" s="293" t="str">
        <f>'[1]TASA DE FALLA'!E22</f>
        <v>L</v>
      </c>
      <c r="F22" s="293">
        <f>'[1]TASA DE FALLA'!F22</f>
        <v>132</v>
      </c>
      <c r="G22" s="293">
        <f>'[1]TASA DE FALLA'!G22</f>
        <v>54.5</v>
      </c>
      <c r="H22" s="294">
        <f>IF('[1]TASA DE FALLA'!AM22=0,"",'[1]TASA DE FALLA'!AM22)</f>
      </c>
      <c r="I22" s="294">
        <f>IF('[1]TASA DE FALLA'!AN22=0,"",'[1]TASA DE FALLA'!AN22)</f>
        <v>1</v>
      </c>
      <c r="J22" s="294">
        <f>IF('[1]TASA DE FALLA'!AO22=0,"",'[1]TASA DE FALLA'!AO22)</f>
      </c>
      <c r="K22" s="294">
        <f>IF('[1]TASA DE FALLA'!AP22=0,"",'[1]TASA DE FALLA'!AP22)</f>
      </c>
      <c r="L22" s="294">
        <f>IF('[1]TASA DE FALLA'!AQ22=0,"",'[1]TASA DE FALLA'!AQ22)</f>
      </c>
      <c r="M22" s="294">
        <f>IF('[1]TASA DE FALLA'!AR22=0,"",'[1]TASA DE FALLA'!AR22)</f>
      </c>
      <c r="N22" s="294">
        <f>IF('[1]TASA DE FALLA'!AS22=0,"",'[1]TASA DE FALLA'!AS22)</f>
      </c>
      <c r="O22" s="294">
        <f>IF('[1]TASA DE FALLA'!AT22=0,"",'[1]TASA DE FALLA'!AT22)</f>
      </c>
      <c r="P22" s="294">
        <f>IF('[1]TASA DE FALLA'!AU22=0,"",'[1]TASA DE FALLA'!AU22)</f>
        <v>1</v>
      </c>
      <c r="Q22" s="294">
        <f>IF('[1]TASA DE FALLA'!AV22=0,"",'[1]TASA DE FALLA'!AV22)</f>
        <v>1</v>
      </c>
      <c r="R22" s="294">
        <f>IF('[1]TASA DE FALLA'!AW22=0,"",'[1]TASA DE FALLA'!AW22)</f>
        <v>1</v>
      </c>
      <c r="S22" s="294">
        <f>IF('[1]TASA DE FALLA'!AX22=0,"",'[1]TASA DE FALLA'!AX22)</f>
        <v>4</v>
      </c>
      <c r="T22" s="295"/>
      <c r="U22" s="292"/>
    </row>
    <row r="23" spans="2:21" s="287" customFormat="1" ht="19.5" customHeight="1">
      <c r="B23" s="288"/>
      <c r="C23" s="293">
        <f>'[1]TASA DE FALLA'!C23</f>
        <v>18</v>
      </c>
      <c r="D23" s="293" t="str">
        <f>'[1]TASA DE FALLA'!D23</f>
        <v>CHOCONCITO - CHOCON   </v>
      </c>
      <c r="E23" s="293" t="str">
        <f>'[1]TASA DE FALLA'!E23</f>
        <v>L</v>
      </c>
      <c r="F23" s="293">
        <f>'[1]TASA DE FALLA'!F23</f>
        <v>132</v>
      </c>
      <c r="G23" s="293">
        <f>'[1]TASA DE FALLA'!G23</f>
        <v>2.4</v>
      </c>
      <c r="H23" s="294" t="str">
        <f>IF('[1]TASA DE FALLA'!AM23=0,"",'[1]TASA DE FALLA'!AM23)</f>
        <v>XXXX</v>
      </c>
      <c r="I23" s="294" t="str">
        <f>IF('[1]TASA DE FALLA'!AN23=0,"",'[1]TASA DE FALLA'!AN23)</f>
        <v>XXXX</v>
      </c>
      <c r="J23" s="294" t="str">
        <f>IF('[1]TASA DE FALLA'!AO23=0,"",'[1]TASA DE FALLA'!AO23)</f>
        <v>XXXX</v>
      </c>
      <c r="K23" s="294" t="str">
        <f>IF('[1]TASA DE FALLA'!AP23=0,"",'[1]TASA DE FALLA'!AP23)</f>
        <v>XXXX</v>
      </c>
      <c r="L23" s="294" t="str">
        <f>IF('[1]TASA DE FALLA'!AQ23=0,"",'[1]TASA DE FALLA'!AQ23)</f>
        <v>XXXX</v>
      </c>
      <c r="M23" s="294" t="str">
        <f>IF('[1]TASA DE FALLA'!AR23=0,"",'[1]TASA DE FALLA'!AR23)</f>
        <v>XXXX</v>
      </c>
      <c r="N23" s="294" t="str">
        <f>IF('[1]TASA DE FALLA'!AS23=0,"",'[1]TASA DE FALLA'!AS23)</f>
        <v>XXXX</v>
      </c>
      <c r="O23" s="294" t="str">
        <f>IF('[1]TASA DE FALLA'!AT23=0,"",'[1]TASA DE FALLA'!AT23)</f>
        <v>XXXX</v>
      </c>
      <c r="P23" s="294" t="str">
        <f>IF('[1]TASA DE FALLA'!AU23=0,"",'[1]TASA DE FALLA'!AU23)</f>
        <v>XXXX</v>
      </c>
      <c r="Q23" s="294" t="str">
        <f>IF('[1]TASA DE FALLA'!AV23=0,"",'[1]TASA DE FALLA'!AV23)</f>
        <v>XXXX</v>
      </c>
      <c r="R23" s="294" t="str">
        <f>IF('[1]TASA DE FALLA'!AW23=0,"",'[1]TASA DE FALLA'!AW23)</f>
        <v>XXXX</v>
      </c>
      <c r="S23" s="294" t="str">
        <f>IF('[1]TASA DE FALLA'!AX23=0,"",'[1]TASA DE FALLA'!AX23)</f>
        <v>XXXX</v>
      </c>
      <c r="T23" s="295"/>
      <c r="U23" s="292"/>
    </row>
    <row r="24" spans="2:21" s="287" customFormat="1" ht="19.5" customHeight="1">
      <c r="B24" s="288"/>
      <c r="C24" s="293">
        <f>'[1]TASA DE FALLA'!C24</f>
        <v>19</v>
      </c>
      <c r="D24" s="293" t="str">
        <f>'[1]TASA DE FALLA'!D24</f>
        <v>CUTRALCO - CHOCONCITO</v>
      </c>
      <c r="E24" s="293" t="str">
        <f>'[1]TASA DE FALLA'!E24</f>
        <v>L</v>
      </c>
      <c r="F24" s="293">
        <f>'[1]TASA DE FALLA'!F24</f>
        <v>132</v>
      </c>
      <c r="G24" s="293">
        <f>'[1]TASA DE FALLA'!G24</f>
        <v>52.1</v>
      </c>
      <c r="H24" s="294" t="str">
        <f>IF('[1]TASA DE FALLA'!AM24=0,"",'[1]TASA DE FALLA'!AM24)</f>
        <v>XXXX</v>
      </c>
      <c r="I24" s="294" t="str">
        <f>IF('[1]TASA DE FALLA'!AN24=0,"",'[1]TASA DE FALLA'!AN24)</f>
        <v>XXXX</v>
      </c>
      <c r="J24" s="294" t="str">
        <f>IF('[1]TASA DE FALLA'!AO24=0,"",'[1]TASA DE FALLA'!AO24)</f>
        <v>XXXX</v>
      </c>
      <c r="K24" s="294" t="str">
        <f>IF('[1]TASA DE FALLA'!AP24=0,"",'[1]TASA DE FALLA'!AP24)</f>
        <v>XXXX</v>
      </c>
      <c r="L24" s="294" t="str">
        <f>IF('[1]TASA DE FALLA'!AQ24=0,"",'[1]TASA DE FALLA'!AQ24)</f>
        <v>XXXX</v>
      </c>
      <c r="M24" s="294" t="str">
        <f>IF('[1]TASA DE FALLA'!AR24=0,"",'[1]TASA DE FALLA'!AR24)</f>
        <v>XXXX</v>
      </c>
      <c r="N24" s="294" t="str">
        <f>IF('[1]TASA DE FALLA'!AS24=0,"",'[1]TASA DE FALLA'!AS24)</f>
        <v>XXXX</v>
      </c>
      <c r="O24" s="294" t="str">
        <f>IF('[1]TASA DE FALLA'!AT24=0,"",'[1]TASA DE FALLA'!AT24)</f>
        <v>XXXX</v>
      </c>
      <c r="P24" s="294" t="str">
        <f>IF('[1]TASA DE FALLA'!AU24=0,"",'[1]TASA DE FALLA'!AU24)</f>
        <v>XXXX</v>
      </c>
      <c r="Q24" s="294" t="str">
        <f>IF('[1]TASA DE FALLA'!AV24=0,"",'[1]TASA DE FALLA'!AV24)</f>
        <v>XXXX</v>
      </c>
      <c r="R24" s="294" t="str">
        <f>IF('[1]TASA DE FALLA'!AW24=0,"",'[1]TASA DE FALLA'!AW24)</f>
        <v>XXXX</v>
      </c>
      <c r="S24" s="294" t="str">
        <f>IF('[1]TASA DE FALLA'!AX24=0,"",'[1]TASA DE FALLA'!AX24)</f>
        <v>XXXX</v>
      </c>
      <c r="T24" s="295"/>
      <c r="U24" s="292"/>
    </row>
    <row r="25" spans="2:21" s="287" customFormat="1" ht="19.5" customHeight="1">
      <c r="B25" s="288"/>
      <c r="C25" s="293">
        <f>'[1]TASA DE FALLA'!C25</f>
        <v>6</v>
      </c>
      <c r="D25" s="293" t="str">
        <f>'[1]TASA DE FALLA'!D25</f>
        <v>GRAN NEUQUÉN - ARROYITO</v>
      </c>
      <c r="E25" s="293" t="str">
        <f>'[1]TASA DE FALLA'!E25</f>
        <v>L</v>
      </c>
      <c r="F25" s="293">
        <f>'[1]TASA DE FALLA'!F25</f>
        <v>132</v>
      </c>
      <c r="G25" s="293">
        <f>'[1]TASA DE FALLA'!G25</f>
        <v>51.3</v>
      </c>
      <c r="H25" s="294">
        <f>IF('[1]TASA DE FALLA'!AM25=0,"",'[1]TASA DE FALLA'!AM25)</f>
      </c>
      <c r="I25" s="294">
        <f>IF('[1]TASA DE FALLA'!AN25=0,"",'[1]TASA DE FALLA'!AN25)</f>
      </c>
      <c r="J25" s="294">
        <f>IF('[1]TASA DE FALLA'!AO25=0,"",'[1]TASA DE FALLA'!AO25)</f>
      </c>
      <c r="K25" s="294">
        <f>IF('[1]TASA DE FALLA'!AP25=0,"",'[1]TASA DE FALLA'!AP25)</f>
      </c>
      <c r="L25" s="294">
        <f>IF('[1]TASA DE FALLA'!AQ25=0,"",'[1]TASA DE FALLA'!AQ25)</f>
      </c>
      <c r="M25" s="294">
        <f>IF('[1]TASA DE FALLA'!AR25=0,"",'[1]TASA DE FALLA'!AR25)</f>
      </c>
      <c r="N25" s="294">
        <f>IF('[1]TASA DE FALLA'!AS25=0,"",'[1]TASA DE FALLA'!AS25)</f>
        <v>2</v>
      </c>
      <c r="O25" s="294">
        <f>IF('[1]TASA DE FALLA'!AT25=0,"",'[1]TASA DE FALLA'!AT25)</f>
      </c>
      <c r="P25" s="294">
        <f>IF('[1]TASA DE FALLA'!AU25=0,"",'[1]TASA DE FALLA'!AU25)</f>
      </c>
      <c r="Q25" s="294">
        <f>IF('[1]TASA DE FALLA'!AV25=0,"",'[1]TASA DE FALLA'!AV25)</f>
      </c>
      <c r="R25" s="294">
        <f>IF('[1]TASA DE FALLA'!AW25=0,"",'[1]TASA DE FALLA'!AW25)</f>
      </c>
      <c r="S25" s="294">
        <f>IF('[1]TASA DE FALLA'!AX25=0,"",'[1]TASA DE FALLA'!AX25)</f>
        <v>1</v>
      </c>
      <c r="T25" s="295"/>
      <c r="U25" s="292"/>
    </row>
    <row r="26" spans="2:21" s="287" customFormat="1" ht="19.5" customHeight="1">
      <c r="B26" s="288"/>
      <c r="C26" s="293">
        <f>'[1]TASA DE FALLA'!C26</f>
        <v>7</v>
      </c>
      <c r="D26" s="293" t="str">
        <f>'[1]TASA DE FALLA'!D26</f>
        <v>GRAN NEUQUÉN - CENTENARIO</v>
      </c>
      <c r="E26" s="293" t="str">
        <f>'[1]TASA DE FALLA'!E26</f>
        <v>L</v>
      </c>
      <c r="F26" s="293">
        <f>'[1]TASA DE FALLA'!F26</f>
        <v>132</v>
      </c>
      <c r="G26" s="293">
        <f>'[1]TASA DE FALLA'!G26</f>
        <v>9.5</v>
      </c>
      <c r="H26" s="294">
        <f>IF('[1]TASA DE FALLA'!AM26=0,"",'[1]TASA DE FALLA'!AM26)</f>
      </c>
      <c r="I26" s="294">
        <f>IF('[1]TASA DE FALLA'!AN26=0,"",'[1]TASA DE FALLA'!AN26)</f>
      </c>
      <c r="J26" s="294">
        <f>IF('[1]TASA DE FALLA'!AO26=0,"",'[1]TASA DE FALLA'!AO26)</f>
      </c>
      <c r="K26" s="294">
        <f>IF('[1]TASA DE FALLA'!AP26=0,"",'[1]TASA DE FALLA'!AP26)</f>
      </c>
      <c r="L26" s="294">
        <f>IF('[1]TASA DE FALLA'!AQ26=0,"",'[1]TASA DE FALLA'!AQ26)</f>
      </c>
      <c r="M26" s="294">
        <f>IF('[1]TASA DE FALLA'!AR26=0,"",'[1]TASA DE FALLA'!AR26)</f>
        <v>1</v>
      </c>
      <c r="N26" s="294">
        <f>IF('[1]TASA DE FALLA'!AS26=0,"",'[1]TASA DE FALLA'!AS26)</f>
      </c>
      <c r="O26" s="294">
        <f>IF('[1]TASA DE FALLA'!AT26=0,"",'[1]TASA DE FALLA'!AT26)</f>
      </c>
      <c r="P26" s="294">
        <f>IF('[1]TASA DE FALLA'!AU26=0,"",'[1]TASA DE FALLA'!AU26)</f>
      </c>
      <c r="Q26" s="294">
        <f>IF('[1]TASA DE FALLA'!AV26=0,"",'[1]TASA DE FALLA'!AV26)</f>
      </c>
      <c r="R26" s="294">
        <f>IF('[1]TASA DE FALLA'!AW26=0,"",'[1]TASA DE FALLA'!AW26)</f>
      </c>
      <c r="S26" s="294">
        <f>IF('[1]TASA DE FALLA'!AX26=0,"",'[1]TASA DE FALLA'!AX26)</f>
      </c>
      <c r="T26" s="295"/>
      <c r="U26" s="292"/>
    </row>
    <row r="27" spans="2:21" s="287" customFormat="1" ht="19.5" customHeight="1">
      <c r="B27" s="288"/>
      <c r="C27" s="293">
        <f>'[1]TASA DE FALLA'!C27</f>
        <v>8</v>
      </c>
      <c r="D27" s="293" t="str">
        <f>'[1]TASA DE FALLA'!D27</f>
        <v>LAS LAJAS - ZAPALA</v>
      </c>
      <c r="E27" s="293" t="str">
        <f>'[1]TASA DE FALLA'!E27</f>
        <v>L</v>
      </c>
      <c r="F27" s="293">
        <f>'[1]TASA DE FALLA'!F27</f>
        <v>132</v>
      </c>
      <c r="G27" s="293">
        <f>'[1]TASA DE FALLA'!G27</f>
        <v>54.7</v>
      </c>
      <c r="H27" s="294">
        <f>IF('[1]TASA DE FALLA'!AM27=0,"",'[1]TASA DE FALLA'!AM27)</f>
      </c>
      <c r="I27" s="294">
        <f>IF('[1]TASA DE FALLA'!AN27=0,"",'[1]TASA DE FALLA'!AN27)</f>
      </c>
      <c r="J27" s="294">
        <f>IF('[1]TASA DE FALLA'!AO27=0,"",'[1]TASA DE FALLA'!AO27)</f>
        <v>1</v>
      </c>
      <c r="K27" s="294">
        <f>IF('[1]TASA DE FALLA'!AP27=0,"",'[1]TASA DE FALLA'!AP27)</f>
      </c>
      <c r="L27" s="294">
        <f>IF('[1]TASA DE FALLA'!AQ27=0,"",'[1]TASA DE FALLA'!AQ27)</f>
      </c>
      <c r="M27" s="294">
        <f>IF('[1]TASA DE FALLA'!AR27=0,"",'[1]TASA DE FALLA'!AR27)</f>
        <v>2</v>
      </c>
      <c r="N27" s="294">
        <f>IF('[1]TASA DE FALLA'!AS27=0,"",'[1]TASA DE FALLA'!AS27)</f>
      </c>
      <c r="O27" s="294">
        <f>IF('[1]TASA DE FALLA'!AT27=0,"",'[1]TASA DE FALLA'!AT27)</f>
      </c>
      <c r="P27" s="294">
        <f>IF('[1]TASA DE FALLA'!AU27=0,"",'[1]TASA DE FALLA'!AU27)</f>
      </c>
      <c r="Q27" s="294">
        <f>IF('[1]TASA DE FALLA'!AV27=0,"",'[1]TASA DE FALLA'!AV27)</f>
      </c>
      <c r="R27" s="294">
        <f>IF('[1]TASA DE FALLA'!AW27=0,"",'[1]TASA DE FALLA'!AW27)</f>
      </c>
      <c r="S27" s="294">
        <f>IF('[1]TASA DE FALLA'!AX27=0,"",'[1]TASA DE FALLA'!AX27)</f>
      </c>
      <c r="T27" s="295"/>
      <c r="U27" s="292"/>
    </row>
    <row r="28" spans="2:21" s="287" customFormat="1" ht="19.5" customHeight="1">
      <c r="B28" s="288"/>
      <c r="C28" s="293">
        <f>'[1]TASA DE FALLA'!C28</f>
        <v>9</v>
      </c>
      <c r="D28" s="293" t="str">
        <f>'[1]TASA DE FALLA'!D28</f>
        <v>LOMA LA LATA - PLAYA PCIE. BANDERITA</v>
      </c>
      <c r="E28" s="293" t="str">
        <f>'[1]TASA DE FALLA'!E28</f>
        <v>L</v>
      </c>
      <c r="F28" s="293">
        <f>'[1]TASA DE FALLA'!F28</f>
        <v>132</v>
      </c>
      <c r="G28" s="293">
        <f>'[1]TASA DE FALLA'!G28</f>
        <v>26.6</v>
      </c>
      <c r="H28" s="294" t="str">
        <f>IF('[1]TASA DE FALLA'!AM28=0,"",'[1]TASA DE FALLA'!AM28)</f>
        <v>XXXX</v>
      </c>
      <c r="I28" s="294" t="str">
        <f>IF('[1]TASA DE FALLA'!AN28=0,"",'[1]TASA DE FALLA'!AN28)</f>
        <v>XXXX</v>
      </c>
      <c r="J28" s="294" t="str">
        <f>IF('[1]TASA DE FALLA'!AO28=0,"",'[1]TASA DE FALLA'!AO28)</f>
        <v>XXXX</v>
      </c>
      <c r="K28" s="294" t="str">
        <f>IF('[1]TASA DE FALLA'!AP28=0,"",'[1]TASA DE FALLA'!AP28)</f>
        <v>XXXX</v>
      </c>
      <c r="L28" s="294" t="str">
        <f>IF('[1]TASA DE FALLA'!AQ28=0,"",'[1]TASA DE FALLA'!AQ28)</f>
        <v>XXXX</v>
      </c>
      <c r="M28" s="294" t="str">
        <f>IF('[1]TASA DE FALLA'!AR28=0,"",'[1]TASA DE FALLA'!AR28)</f>
        <v>XXXX</v>
      </c>
      <c r="N28" s="294" t="str">
        <f>IF('[1]TASA DE FALLA'!AS28=0,"",'[1]TASA DE FALLA'!AS28)</f>
        <v>XXXX</v>
      </c>
      <c r="O28" s="294" t="str">
        <f>IF('[1]TASA DE FALLA'!AT28=0,"",'[1]TASA DE FALLA'!AT28)</f>
        <v>XXXX</v>
      </c>
      <c r="P28" s="294" t="str">
        <f>IF('[1]TASA DE FALLA'!AU28=0,"",'[1]TASA DE FALLA'!AU28)</f>
        <v>XXXX</v>
      </c>
      <c r="Q28" s="294" t="str">
        <f>IF('[1]TASA DE FALLA'!AV28=0,"",'[1]TASA DE FALLA'!AV28)</f>
        <v>XXXX</v>
      </c>
      <c r="R28" s="294" t="str">
        <f>IF('[1]TASA DE FALLA'!AW28=0,"",'[1]TASA DE FALLA'!AW28)</f>
        <v>XXXX</v>
      </c>
      <c r="S28" s="294" t="str">
        <f>IF('[1]TASA DE FALLA'!AX28=0,"",'[1]TASA DE FALLA'!AX28)</f>
        <v>XXXX</v>
      </c>
      <c r="T28" s="295"/>
      <c r="U28" s="292"/>
    </row>
    <row r="29" spans="2:21" s="287" customFormat="1" ht="19.5" customHeight="1">
      <c r="B29" s="288"/>
      <c r="C29" s="293">
        <f>'[1]TASA DE FALLA'!C29</f>
        <v>10</v>
      </c>
      <c r="D29" s="293" t="str">
        <f>'[1]TASA DE FALLA'!D29</f>
        <v>PIO PROTO - ALICURA</v>
      </c>
      <c r="E29" s="293" t="str">
        <f>'[1]TASA DE FALLA'!E29</f>
        <v>L</v>
      </c>
      <c r="F29" s="293">
        <f>'[1]TASA DE FALLA'!F29</f>
        <v>132</v>
      </c>
      <c r="G29" s="293">
        <f>'[1]TASA DE FALLA'!G29</f>
        <v>93.2</v>
      </c>
      <c r="H29" s="294">
        <f>IF('[1]TASA DE FALLA'!AM29=0,"",'[1]TASA DE FALLA'!AM29)</f>
      </c>
      <c r="I29" s="294">
        <f>IF('[1]TASA DE FALLA'!AN29=0,"",'[1]TASA DE FALLA'!AN29)</f>
      </c>
      <c r="J29" s="294">
        <f>IF('[1]TASA DE FALLA'!AO29=0,"",'[1]TASA DE FALLA'!AO29)</f>
      </c>
      <c r="K29" s="294">
        <f>IF('[1]TASA DE FALLA'!AP29=0,"",'[1]TASA DE FALLA'!AP29)</f>
      </c>
      <c r="L29" s="294">
        <f>IF('[1]TASA DE FALLA'!AQ29=0,"",'[1]TASA DE FALLA'!AQ29)</f>
      </c>
      <c r="M29" s="294">
        <f>IF('[1]TASA DE FALLA'!AR29=0,"",'[1]TASA DE FALLA'!AR29)</f>
      </c>
      <c r="N29" s="294">
        <f>IF('[1]TASA DE FALLA'!AS29=0,"",'[1]TASA DE FALLA'!AS29)</f>
      </c>
      <c r="O29" s="294">
        <f>IF('[1]TASA DE FALLA'!AT29=0,"",'[1]TASA DE FALLA'!AT29)</f>
      </c>
      <c r="P29" s="294">
        <f>IF('[1]TASA DE FALLA'!AU29=0,"",'[1]TASA DE FALLA'!AU29)</f>
      </c>
      <c r="Q29" s="294">
        <f>IF('[1]TASA DE FALLA'!AV29=0,"",'[1]TASA DE FALLA'!AV29)</f>
      </c>
      <c r="R29" s="294">
        <f>IF('[1]TASA DE FALLA'!AW29=0,"",'[1]TASA DE FALLA'!AW29)</f>
      </c>
      <c r="S29" s="294">
        <f>IF('[1]TASA DE FALLA'!AX29=0,"",'[1]TASA DE FALLA'!AX29)</f>
      </c>
      <c r="T29" s="295"/>
      <c r="U29" s="292"/>
    </row>
    <row r="30" spans="2:21" s="287" customFormat="1" ht="19.5" customHeight="1">
      <c r="B30" s="288"/>
      <c r="C30" s="293">
        <f>'[1]TASA DE FALLA'!C30</f>
        <v>11</v>
      </c>
      <c r="D30" s="293" t="str">
        <f>'[1]TASA DE FALLA'!D30</f>
        <v>PLAZA HUINCUL - ARROYITO</v>
      </c>
      <c r="E30" s="293" t="str">
        <f>'[1]TASA DE FALLA'!E30</f>
        <v>L</v>
      </c>
      <c r="F30" s="293">
        <f>'[1]TASA DE FALLA'!F30</f>
        <v>132</v>
      </c>
      <c r="G30" s="293">
        <f>'[1]TASA DE FALLA'!G30</f>
        <v>58</v>
      </c>
      <c r="H30" s="294">
        <f>IF('[1]TASA DE FALLA'!AM30=0,"",'[1]TASA DE FALLA'!AM30)</f>
      </c>
      <c r="I30" s="294">
        <f>IF('[1]TASA DE FALLA'!AN30=0,"",'[1]TASA DE FALLA'!AN30)</f>
      </c>
      <c r="J30" s="294">
        <f>IF('[1]TASA DE FALLA'!AO30=0,"",'[1]TASA DE FALLA'!AO30)</f>
        <v>1</v>
      </c>
      <c r="K30" s="294">
        <f>IF('[1]TASA DE FALLA'!AP30=0,"",'[1]TASA DE FALLA'!AP30)</f>
      </c>
      <c r="L30" s="294">
        <f>IF('[1]TASA DE FALLA'!AQ30=0,"",'[1]TASA DE FALLA'!AQ30)</f>
      </c>
      <c r="M30" s="294">
        <f>IF('[1]TASA DE FALLA'!AR30=0,"",'[1]TASA DE FALLA'!AR30)</f>
      </c>
      <c r="N30" s="294">
        <f>IF('[1]TASA DE FALLA'!AS30=0,"",'[1]TASA DE FALLA'!AS30)</f>
      </c>
      <c r="O30" s="294">
        <f>IF('[1]TASA DE FALLA'!AT30=0,"",'[1]TASA DE FALLA'!AT30)</f>
      </c>
      <c r="P30" s="294">
        <f>IF('[1]TASA DE FALLA'!AU30=0,"",'[1]TASA DE FALLA'!AU30)</f>
        <v>1</v>
      </c>
      <c r="Q30" s="294">
        <f>IF('[1]TASA DE FALLA'!AV30=0,"",'[1]TASA DE FALLA'!AV30)</f>
      </c>
      <c r="R30" s="294">
        <f>IF('[1]TASA DE FALLA'!AW30=0,"",'[1]TASA DE FALLA'!AW30)</f>
      </c>
      <c r="S30" s="294">
        <f>IF('[1]TASA DE FALLA'!AX30=0,"",'[1]TASA DE FALLA'!AX30)</f>
      </c>
      <c r="T30" s="295"/>
      <c r="U30" s="292"/>
    </row>
    <row r="31" spans="2:21" s="287" customFormat="1" ht="19.5" customHeight="1">
      <c r="B31" s="288"/>
      <c r="C31" s="293">
        <f>'[1]TASA DE FALLA'!C31</f>
        <v>12</v>
      </c>
      <c r="D31" s="293" t="str">
        <f>'[1]TASA DE FALLA'!D31</f>
        <v>PTO. HERNANDEZ - FILO MORADO</v>
      </c>
      <c r="E31" s="293" t="str">
        <f>'[1]TASA DE FALLA'!E31</f>
        <v>L</v>
      </c>
      <c r="F31" s="293">
        <f>'[1]TASA DE FALLA'!F31</f>
        <v>132</v>
      </c>
      <c r="G31" s="293">
        <f>'[1]TASA DE FALLA'!G31</f>
        <v>61.3</v>
      </c>
      <c r="H31" s="294">
        <f>IF('[1]TASA DE FALLA'!AM31=0,"",'[1]TASA DE FALLA'!AM31)</f>
      </c>
      <c r="I31" s="294">
        <f>IF('[1]TASA DE FALLA'!AN31=0,"",'[1]TASA DE FALLA'!AN31)</f>
        <v>2</v>
      </c>
      <c r="J31" s="294">
        <f>IF('[1]TASA DE FALLA'!AO31=0,"",'[1]TASA DE FALLA'!AO31)</f>
      </c>
      <c r="K31" s="294">
        <f>IF('[1]TASA DE FALLA'!AP31=0,"",'[1]TASA DE FALLA'!AP31)</f>
      </c>
      <c r="L31" s="294">
        <f>IF('[1]TASA DE FALLA'!AQ31=0,"",'[1]TASA DE FALLA'!AQ31)</f>
        <v>1</v>
      </c>
      <c r="M31" s="294">
        <f>IF('[1]TASA DE FALLA'!AR31=0,"",'[1]TASA DE FALLA'!AR31)</f>
        <v>1</v>
      </c>
      <c r="N31" s="294">
        <f>IF('[1]TASA DE FALLA'!AS31=0,"",'[1]TASA DE FALLA'!AS31)</f>
      </c>
      <c r="O31" s="294">
        <f>IF('[1]TASA DE FALLA'!AT31=0,"",'[1]TASA DE FALLA'!AT31)</f>
      </c>
      <c r="P31" s="294">
        <f>IF('[1]TASA DE FALLA'!AU31=0,"",'[1]TASA DE FALLA'!AU31)</f>
        <v>2</v>
      </c>
      <c r="Q31" s="294">
        <f>IF('[1]TASA DE FALLA'!AV31=0,"",'[1]TASA DE FALLA'!AV31)</f>
        <v>1</v>
      </c>
      <c r="R31" s="294">
        <f>IF('[1]TASA DE FALLA'!AW31=0,"",'[1]TASA DE FALLA'!AW31)</f>
      </c>
      <c r="S31" s="294">
        <f>IF('[1]TASA DE FALLA'!AX31=0,"",'[1]TASA DE FALLA'!AX31)</f>
      </c>
      <c r="T31" s="295"/>
      <c r="U31" s="292"/>
    </row>
    <row r="32" spans="2:21" s="287" customFormat="1" ht="19.5" customHeight="1">
      <c r="B32" s="288"/>
      <c r="C32" s="293">
        <f>'[1]TASA DE FALLA'!C32</f>
        <v>13</v>
      </c>
      <c r="D32" s="293" t="str">
        <f>'[1]TASA DE FALLA'!D32</f>
        <v>VISTA ALEGRE - CAMPO GRANDE</v>
      </c>
      <c r="E32" s="293" t="str">
        <f>'[1]TASA DE FALLA'!E32</f>
        <v>L</v>
      </c>
      <c r="F32" s="293">
        <f>'[1]TASA DE FALLA'!F32</f>
        <v>33</v>
      </c>
      <c r="G32" s="293">
        <f>'[1]TASA DE FALLA'!G32</f>
        <v>4.2</v>
      </c>
      <c r="H32" s="294" t="str">
        <f>IF('[1]TASA DE FALLA'!AM32=0,"",'[1]TASA DE FALLA'!AM32)</f>
        <v>XXXX</v>
      </c>
      <c r="I32" s="294" t="str">
        <f>IF('[1]TASA DE FALLA'!AN32=0,"",'[1]TASA DE FALLA'!AN32)</f>
        <v>XXXX</v>
      </c>
      <c r="J32" s="294" t="str">
        <f>IF('[1]TASA DE FALLA'!AO32=0,"",'[1]TASA DE FALLA'!AO32)</f>
        <v>XXXX</v>
      </c>
      <c r="K32" s="294" t="str">
        <f>IF('[1]TASA DE FALLA'!AP32=0,"",'[1]TASA DE FALLA'!AP32)</f>
        <v>XXXX</v>
      </c>
      <c r="L32" s="294" t="str">
        <f>IF('[1]TASA DE FALLA'!AQ32=0,"",'[1]TASA DE FALLA'!AQ32)</f>
        <v>XXXX</v>
      </c>
      <c r="M32" s="294" t="str">
        <f>IF('[1]TASA DE FALLA'!AR32=0,"",'[1]TASA DE FALLA'!AR32)</f>
        <v>XXXX</v>
      </c>
      <c r="N32" s="294" t="str">
        <f>IF('[1]TASA DE FALLA'!AS32=0,"",'[1]TASA DE FALLA'!AS32)</f>
        <v>XXXX</v>
      </c>
      <c r="O32" s="294" t="str">
        <f>IF('[1]TASA DE FALLA'!AT32=0,"",'[1]TASA DE FALLA'!AT32)</f>
        <v>XXXX</v>
      </c>
      <c r="P32" s="294" t="str">
        <f>IF('[1]TASA DE FALLA'!AU32=0,"",'[1]TASA DE FALLA'!AU32)</f>
        <v>XXXX</v>
      </c>
      <c r="Q32" s="294" t="str">
        <f>IF('[1]TASA DE FALLA'!AV32=0,"",'[1]TASA DE FALLA'!AV32)</f>
        <v>XXXX</v>
      </c>
      <c r="R32" s="294" t="str">
        <f>IF('[1]TASA DE FALLA'!AW32=0,"",'[1]TASA DE FALLA'!AW32)</f>
        <v>XXXX</v>
      </c>
      <c r="S32" s="294" t="str">
        <f>IF('[1]TASA DE FALLA'!AX32=0,"",'[1]TASA DE FALLA'!AX32)</f>
        <v>XXXX</v>
      </c>
      <c r="T32" s="295"/>
      <c r="U32" s="292"/>
    </row>
    <row r="33" spans="2:21" s="287" customFormat="1" ht="19.5" customHeight="1">
      <c r="B33" s="288"/>
      <c r="C33" s="293">
        <f>'[1]TASA DE FALLA'!C33</f>
        <v>14</v>
      </c>
      <c r="D33" s="293" t="str">
        <f>'[1]TASA DE FALLA'!D33</f>
        <v>PAMPA TRIL - CHOS  MALAL</v>
      </c>
      <c r="E33" s="293" t="str">
        <f>'[1]TASA DE FALLA'!E33</f>
        <v>L</v>
      </c>
      <c r="F33" s="293">
        <f>'[1]TASA DE FALLA'!F33</f>
        <v>132</v>
      </c>
      <c r="G33" s="293">
        <f>'[1]TASA DE FALLA'!G33</f>
        <v>49.3</v>
      </c>
      <c r="H33" s="294" t="str">
        <f>IF('[1]TASA DE FALLA'!AM33=0,"",'[1]TASA DE FALLA'!AM33)</f>
        <v>XXXX</v>
      </c>
      <c r="I33" s="294" t="str">
        <f>IF('[1]TASA DE FALLA'!AN33=0,"",'[1]TASA DE FALLA'!AN33)</f>
        <v>XXXX</v>
      </c>
      <c r="J33" s="294" t="str">
        <f>IF('[1]TASA DE FALLA'!AO33=0,"",'[1]TASA DE FALLA'!AO33)</f>
        <v>XXXX</v>
      </c>
      <c r="K33" s="294" t="str">
        <f>IF('[1]TASA DE FALLA'!AP33=0,"",'[1]TASA DE FALLA'!AP33)</f>
        <v>XXXX</v>
      </c>
      <c r="L33" s="294" t="str">
        <f>IF('[1]TASA DE FALLA'!AQ33=0,"",'[1]TASA DE FALLA'!AQ33)</f>
        <v>XXXX</v>
      </c>
      <c r="M33" s="294" t="str">
        <f>IF('[1]TASA DE FALLA'!AR33=0,"",'[1]TASA DE FALLA'!AR33)</f>
        <v>XXXX</v>
      </c>
      <c r="N33" s="294" t="str">
        <f>IF('[1]TASA DE FALLA'!AS33=0,"",'[1]TASA DE FALLA'!AS33)</f>
        <v>XXXX</v>
      </c>
      <c r="O33" s="294" t="str">
        <f>IF('[1]TASA DE FALLA'!AT33=0,"",'[1]TASA DE FALLA'!AT33)</f>
        <v>XXXX</v>
      </c>
      <c r="P33" s="294" t="str">
        <f>IF('[1]TASA DE FALLA'!AU33=0,"",'[1]TASA DE FALLA'!AU33)</f>
        <v>XXXX</v>
      </c>
      <c r="Q33" s="294" t="str">
        <f>IF('[1]TASA DE FALLA'!AV33=0,"",'[1]TASA DE FALLA'!AV33)</f>
        <v>XXXX</v>
      </c>
      <c r="R33" s="294" t="str">
        <f>IF('[1]TASA DE FALLA'!AW33=0,"",'[1]TASA DE FALLA'!AW33)</f>
        <v>XXXX</v>
      </c>
      <c r="S33" s="294" t="str">
        <f>IF('[1]TASA DE FALLA'!AX33=0,"",'[1]TASA DE FALLA'!AX33)</f>
        <v>XXXX</v>
      </c>
      <c r="T33" s="295"/>
      <c r="U33" s="292"/>
    </row>
    <row r="34" spans="2:21" s="287" customFormat="1" ht="19.5" customHeight="1">
      <c r="B34" s="288"/>
      <c r="C34" s="293">
        <f>'[1]TASA DE FALLA'!C34</f>
        <v>15</v>
      </c>
      <c r="D34" s="293" t="str">
        <f>'[1]TASA DE FALLA'!D34</f>
        <v>PAMAPA TRIL - FILO MORADO</v>
      </c>
      <c r="E34" s="293" t="str">
        <f>'[1]TASA DE FALLA'!E34</f>
        <v>L</v>
      </c>
      <c r="F34" s="293">
        <f>'[1]TASA DE FALLA'!F34</f>
        <v>132</v>
      </c>
      <c r="G34" s="293">
        <f>'[1]TASA DE FALLA'!G34</f>
        <v>17</v>
      </c>
      <c r="H34" s="294" t="str">
        <f>IF('[1]TASA DE FALLA'!AM34=0,"",'[1]TASA DE FALLA'!AM34)</f>
        <v>XXXX</v>
      </c>
      <c r="I34" s="294" t="str">
        <f>IF('[1]TASA DE FALLA'!AN34=0,"",'[1]TASA DE FALLA'!AN34)</f>
        <v>XXXX</v>
      </c>
      <c r="J34" s="294" t="str">
        <f>IF('[1]TASA DE FALLA'!AO34=0,"",'[1]TASA DE FALLA'!AO34)</f>
        <v>XXXX</v>
      </c>
      <c r="K34" s="294" t="str">
        <f>IF('[1]TASA DE FALLA'!AP34=0,"",'[1]TASA DE FALLA'!AP34)</f>
        <v>XXXX</v>
      </c>
      <c r="L34" s="294" t="str">
        <f>IF('[1]TASA DE FALLA'!AQ34=0,"",'[1]TASA DE FALLA'!AQ34)</f>
        <v>XXXX</v>
      </c>
      <c r="M34" s="294" t="str">
        <f>IF('[1]TASA DE FALLA'!AR34=0,"",'[1]TASA DE FALLA'!AR34)</f>
        <v>XXXX</v>
      </c>
      <c r="N34" s="294" t="str">
        <f>IF('[1]TASA DE FALLA'!AS34=0,"",'[1]TASA DE FALLA'!AS34)</f>
        <v>XXXX</v>
      </c>
      <c r="O34" s="294" t="str">
        <f>IF('[1]TASA DE FALLA'!AT34=0,"",'[1]TASA DE FALLA'!AT34)</f>
        <v>XXXX</v>
      </c>
      <c r="P34" s="294" t="str">
        <f>IF('[1]TASA DE FALLA'!AU34=0,"",'[1]TASA DE FALLA'!AU34)</f>
        <v>XXXX</v>
      </c>
      <c r="Q34" s="294" t="str">
        <f>IF('[1]TASA DE FALLA'!AV34=0,"",'[1]TASA DE FALLA'!AV34)</f>
        <v>XXXX</v>
      </c>
      <c r="R34" s="294" t="str">
        <f>IF('[1]TASA DE FALLA'!AW34=0,"",'[1]TASA DE FALLA'!AW34)</f>
        <v>XXXX</v>
      </c>
      <c r="S34" s="294" t="str">
        <f>IF('[1]TASA DE FALLA'!AX34=0,"",'[1]TASA DE FALLA'!AX34)</f>
        <v>XXXX</v>
      </c>
      <c r="T34" s="295"/>
      <c r="U34" s="292"/>
    </row>
    <row r="35" spans="2:21" s="287" customFormat="1" ht="19.5" customHeight="1">
      <c r="B35" s="288"/>
      <c r="C35" s="293">
        <f>'[1]TASA DE FALLA'!C35</f>
        <v>16</v>
      </c>
      <c r="D35" s="293" t="str">
        <f>'[1]TASA DE FALLA'!D35</f>
        <v>L. LATA - MEGA T</v>
      </c>
      <c r="E35" s="293" t="str">
        <f>'[1]TASA DE FALLA'!E35</f>
        <v>L</v>
      </c>
      <c r="F35" s="293">
        <f>'[1]TASA DE FALLA'!F35</f>
        <v>132</v>
      </c>
      <c r="G35" s="293">
        <f>'[1]TASA DE FALLA'!G35</f>
        <v>12.9</v>
      </c>
      <c r="H35" s="294">
        <f>IF('[1]TASA DE FALLA'!AM35=0,"",'[1]TASA DE FALLA'!AM35)</f>
      </c>
      <c r="I35" s="294">
        <f>IF('[1]TASA DE FALLA'!AN35=0,"",'[1]TASA DE FALLA'!AN35)</f>
      </c>
      <c r="J35" s="294">
        <f>IF('[1]TASA DE FALLA'!AO35=0,"",'[1]TASA DE FALLA'!AO35)</f>
      </c>
      <c r="K35" s="294">
        <f>IF('[1]TASA DE FALLA'!AP35=0,"",'[1]TASA DE FALLA'!AP35)</f>
      </c>
      <c r="L35" s="294">
        <f>IF('[1]TASA DE FALLA'!AQ35=0,"",'[1]TASA DE FALLA'!AQ35)</f>
      </c>
      <c r="M35" s="294">
        <f>IF('[1]TASA DE FALLA'!AR35=0,"",'[1]TASA DE FALLA'!AR35)</f>
      </c>
      <c r="N35" s="294">
        <f>IF('[1]TASA DE FALLA'!AS35=0,"",'[1]TASA DE FALLA'!AS35)</f>
      </c>
      <c r="O35" s="294">
        <f>IF('[1]TASA DE FALLA'!AT35=0,"",'[1]TASA DE FALLA'!AT35)</f>
      </c>
      <c r="P35" s="294">
        <f>IF('[1]TASA DE FALLA'!AU35=0,"",'[1]TASA DE FALLA'!AU35)</f>
      </c>
      <c r="Q35" s="294">
        <f>IF('[1]TASA DE FALLA'!AV35=0,"",'[1]TASA DE FALLA'!AV35)</f>
      </c>
      <c r="R35" s="294">
        <f>IF('[1]TASA DE FALLA'!AW35=0,"",'[1]TASA DE FALLA'!AW35)</f>
      </c>
      <c r="S35" s="294">
        <f>IF('[1]TASA DE FALLA'!AX35=0,"",'[1]TASA DE FALLA'!AX35)</f>
      </c>
      <c r="T35" s="295"/>
      <c r="U35" s="292"/>
    </row>
    <row r="36" spans="2:21" s="287" customFormat="1" ht="19.5" customHeight="1">
      <c r="B36" s="288"/>
      <c r="C36" s="293">
        <f>'[1]TASA DE FALLA'!C36</f>
        <v>17</v>
      </c>
      <c r="D36" s="293" t="str">
        <f>'[1]TASA DE FALLA'!D36</f>
        <v>MEGA T - PLAYA PLANICIE BANDERITA</v>
      </c>
      <c r="E36" s="293" t="str">
        <f>'[1]TASA DE FALLA'!E36</f>
        <v>L</v>
      </c>
      <c r="F36" s="293">
        <f>'[1]TASA DE FALLA'!F36</f>
        <v>132</v>
      </c>
      <c r="G36" s="293">
        <f>'[1]TASA DE FALLA'!G36</f>
        <v>13.8</v>
      </c>
      <c r="H36" s="294">
        <f>IF('[1]TASA DE FALLA'!AM36=0,"",'[1]TASA DE FALLA'!AM36)</f>
      </c>
      <c r="I36" s="294">
        <f>IF('[1]TASA DE FALLA'!AN36=0,"",'[1]TASA DE FALLA'!AN36)</f>
      </c>
      <c r="J36" s="294">
        <f>IF('[1]TASA DE FALLA'!AO36=0,"",'[1]TASA DE FALLA'!AO36)</f>
      </c>
      <c r="K36" s="294">
        <f>IF('[1]TASA DE FALLA'!AP36=0,"",'[1]TASA DE FALLA'!AP36)</f>
      </c>
      <c r="L36" s="294">
        <f>IF('[1]TASA DE FALLA'!AQ36=0,"",'[1]TASA DE FALLA'!AQ36)</f>
      </c>
      <c r="M36" s="294">
        <f>IF('[1]TASA DE FALLA'!AR36=0,"",'[1]TASA DE FALLA'!AR36)</f>
      </c>
      <c r="N36" s="294">
        <f>IF('[1]TASA DE FALLA'!AS36=0,"",'[1]TASA DE FALLA'!AS36)</f>
      </c>
      <c r="O36" s="294">
        <f>IF('[1]TASA DE FALLA'!AT36=0,"",'[1]TASA DE FALLA'!AT36)</f>
      </c>
      <c r="P36" s="294">
        <f>IF('[1]TASA DE FALLA'!AU36=0,"",'[1]TASA DE FALLA'!AU36)</f>
      </c>
      <c r="Q36" s="294">
        <f>IF('[1]TASA DE FALLA'!AV36=0,"",'[1]TASA DE FALLA'!AV36)</f>
      </c>
      <c r="R36" s="294">
        <f>IF('[1]TASA DE FALLA'!AW36=0,"",'[1]TASA DE FALLA'!AW36)</f>
      </c>
      <c r="S36" s="294">
        <f>IF('[1]TASA DE FALLA'!AX36=0,"",'[1]TASA DE FALLA'!AX36)</f>
      </c>
      <c r="T36" s="295"/>
      <c r="U36" s="292"/>
    </row>
    <row r="37" spans="2:21" s="287" customFormat="1" ht="19.5" customHeight="1">
      <c r="B37" s="288"/>
      <c r="C37" s="293">
        <f>'[1]TASA DE FALLA'!C37</f>
        <v>18</v>
      </c>
      <c r="D37" s="293" t="str">
        <f>'[1]TASA DE FALLA'!D37</f>
        <v>LAJAS - C.NEVADA  </v>
      </c>
      <c r="E37" s="293" t="str">
        <f>'[1]TASA DE FALLA'!E37</f>
        <v>L</v>
      </c>
      <c r="F37" s="293">
        <f>'[1]TASA DE FALLA'!F37</f>
        <v>33</v>
      </c>
      <c r="G37" s="293">
        <f>'[1]TASA DE FALLA'!G37</f>
        <v>43</v>
      </c>
      <c r="H37" s="294">
        <f>IF('[1]TASA DE FALLA'!AM37=0,"",'[1]TASA DE FALLA'!AM37)</f>
      </c>
      <c r="I37" s="294">
        <f>IF('[1]TASA DE FALLA'!AN37=0,"",'[1]TASA DE FALLA'!AN37)</f>
      </c>
      <c r="J37" s="294">
        <f>IF('[1]TASA DE FALLA'!AO37=0,"",'[1]TASA DE FALLA'!AO37)</f>
      </c>
      <c r="K37" s="294">
        <f>IF('[1]TASA DE FALLA'!AP37=0,"",'[1]TASA DE FALLA'!AP37)</f>
      </c>
      <c r="L37" s="294">
        <f>IF('[1]TASA DE FALLA'!AQ37=0,"",'[1]TASA DE FALLA'!AQ37)</f>
      </c>
      <c r="M37" s="294">
        <f>IF('[1]TASA DE FALLA'!AR37=0,"",'[1]TASA DE FALLA'!AR37)</f>
      </c>
      <c r="N37" s="294">
        <f>IF('[1]TASA DE FALLA'!AS37=0,"",'[1]TASA DE FALLA'!AS37)</f>
      </c>
      <c r="O37" s="294">
        <f>IF('[1]TASA DE FALLA'!AT37=0,"",'[1]TASA DE FALLA'!AT37)</f>
      </c>
      <c r="P37" s="294">
        <f>IF('[1]TASA DE FALLA'!AU37=0,"",'[1]TASA DE FALLA'!AU37)</f>
      </c>
      <c r="Q37" s="294">
        <f>IF('[1]TASA DE FALLA'!AV37=0,"",'[1]TASA DE FALLA'!AV37)</f>
      </c>
      <c r="R37" s="294">
        <f>IF('[1]TASA DE FALLA'!AW37=0,"",'[1]TASA DE FALLA'!AW37)</f>
      </c>
      <c r="S37" s="294">
        <f>IF('[1]TASA DE FALLA'!AX37=0,"",'[1]TASA DE FALLA'!AX37)</f>
      </c>
      <c r="T37" s="295"/>
      <c r="U37" s="292"/>
    </row>
    <row r="38" spans="2:21" s="287" customFormat="1" ht="19.5" customHeight="1">
      <c r="B38" s="288"/>
      <c r="C38" s="293">
        <f>'[1]TASA DE FALLA'!C38</f>
        <v>19</v>
      </c>
      <c r="D38" s="293" t="str">
        <f>'[1]TASA DE FALLA'!D38</f>
        <v>C.NEVADA - LONCOPUE  </v>
      </c>
      <c r="E38" s="293" t="str">
        <f>'[1]TASA DE FALLA'!E38</f>
        <v>L</v>
      </c>
      <c r="F38" s="293">
        <f>'[1]TASA DE FALLA'!F38</f>
        <v>33</v>
      </c>
      <c r="G38" s="293">
        <f>'[1]TASA DE FALLA'!G38</f>
        <v>14.7</v>
      </c>
      <c r="H38" s="294">
        <f>IF('[1]TASA DE FALLA'!AM38=0,"",'[1]TASA DE FALLA'!AM38)</f>
      </c>
      <c r="I38" s="294">
        <f>IF('[1]TASA DE FALLA'!AN38=0,"",'[1]TASA DE FALLA'!AN38)</f>
      </c>
      <c r="J38" s="294">
        <f>IF('[1]TASA DE FALLA'!AO38=0,"",'[1]TASA DE FALLA'!AO38)</f>
      </c>
      <c r="K38" s="294">
        <f>IF('[1]TASA DE FALLA'!AP38=0,"",'[1]TASA DE FALLA'!AP38)</f>
      </c>
      <c r="L38" s="294">
        <f>IF('[1]TASA DE FALLA'!AQ38=0,"",'[1]TASA DE FALLA'!AQ38)</f>
      </c>
      <c r="M38" s="294">
        <f>IF('[1]TASA DE FALLA'!AR38=0,"",'[1]TASA DE FALLA'!AR38)</f>
      </c>
      <c r="N38" s="294">
        <f>IF('[1]TASA DE FALLA'!AS38=0,"",'[1]TASA DE FALLA'!AS38)</f>
      </c>
      <c r="O38" s="294">
        <f>IF('[1]TASA DE FALLA'!AT38=0,"",'[1]TASA DE FALLA'!AT38)</f>
      </c>
      <c r="P38" s="294">
        <f>IF('[1]TASA DE FALLA'!AU38=0,"",'[1]TASA DE FALLA'!AU38)</f>
      </c>
      <c r="Q38" s="294">
        <f>IF('[1]TASA DE FALLA'!AV38=0,"",'[1]TASA DE FALLA'!AV38)</f>
      </c>
      <c r="R38" s="294">
        <f>IF('[1]TASA DE FALLA'!AW38=0,"",'[1]TASA DE FALLA'!AW38)</f>
      </c>
      <c r="S38" s="294">
        <f>IF('[1]TASA DE FALLA'!AX38=0,"",'[1]TASA DE FALLA'!AX38)</f>
      </c>
      <c r="T38" s="295"/>
      <c r="U38" s="292"/>
    </row>
    <row r="39" spans="2:21" s="287" customFormat="1" ht="19.5" customHeight="1">
      <c r="B39" s="288"/>
      <c r="C39" s="293">
        <f>'[1]TASA DE FALLA'!C39</f>
        <v>20</v>
      </c>
      <c r="D39" s="293" t="str">
        <f>'[1]TASA DE FALLA'!D39</f>
        <v>LONCOPUE - CTCAVIAHUE</v>
      </c>
      <c r="E39" s="293" t="str">
        <f>'[1]TASA DE FALLA'!E39</f>
        <v>L</v>
      </c>
      <c r="F39" s="293">
        <f>'[1]TASA DE FALLA'!F39</f>
        <v>33</v>
      </c>
      <c r="G39" s="293">
        <f>'[1]TASA DE FALLA'!G39</f>
        <v>1.5</v>
      </c>
      <c r="H39" s="294">
        <f>IF('[1]TASA DE FALLA'!AM39=0,"",'[1]TASA DE FALLA'!AM39)</f>
      </c>
      <c r="I39" s="294">
        <f>IF('[1]TASA DE FALLA'!AN39=0,"",'[1]TASA DE FALLA'!AN39)</f>
      </c>
      <c r="J39" s="294">
        <f>IF('[1]TASA DE FALLA'!AO39=0,"",'[1]TASA DE FALLA'!AO39)</f>
      </c>
      <c r="K39" s="294">
        <f>IF('[1]TASA DE FALLA'!AP39=0,"",'[1]TASA DE FALLA'!AP39)</f>
      </c>
      <c r="L39" s="294">
        <f>IF('[1]TASA DE FALLA'!AQ39=0,"",'[1]TASA DE FALLA'!AQ39)</f>
      </c>
      <c r="M39" s="294">
        <f>IF('[1]TASA DE FALLA'!AR39=0,"",'[1]TASA DE FALLA'!AR39)</f>
      </c>
      <c r="N39" s="294">
        <f>IF('[1]TASA DE FALLA'!AS39=0,"",'[1]TASA DE FALLA'!AS39)</f>
      </c>
      <c r="O39" s="294">
        <f>IF('[1]TASA DE FALLA'!AT39=0,"",'[1]TASA DE FALLA'!AT39)</f>
      </c>
      <c r="P39" s="294">
        <f>IF('[1]TASA DE FALLA'!AU39=0,"",'[1]TASA DE FALLA'!AU39)</f>
      </c>
      <c r="Q39" s="294">
        <f>IF('[1]TASA DE FALLA'!AV39=0,"",'[1]TASA DE FALLA'!AV39)</f>
      </c>
      <c r="R39" s="294">
        <f>IF('[1]TASA DE FALLA'!AW39=0,"",'[1]TASA DE FALLA'!AW39)</f>
      </c>
      <c r="S39" s="294">
        <f>IF('[1]TASA DE FALLA'!AX39=0,"",'[1]TASA DE FALLA'!AX39)</f>
      </c>
      <c r="T39" s="295"/>
      <c r="U39" s="292"/>
    </row>
    <row r="40" spans="2:21" s="287" customFormat="1" ht="19.5" customHeight="1">
      <c r="B40" s="288"/>
      <c r="C40" s="293">
        <f>'[1]TASA DE FALLA'!C40</f>
        <v>21</v>
      </c>
      <c r="D40" s="293" t="str">
        <f>'[1]TASA DE FALLA'!D40</f>
        <v>C.LBANDE-LLAMUCO  33.0</v>
      </c>
      <c r="E40" s="293" t="str">
        <f>'[1]TASA DE FALLA'!E40</f>
        <v>L</v>
      </c>
      <c r="F40" s="293">
        <f>'[1]TASA DE FALLA'!F40</f>
        <v>33</v>
      </c>
      <c r="G40" s="293">
        <f>'[1]TASA DE FALLA'!G40</f>
        <v>20</v>
      </c>
      <c r="H40" s="294">
        <f>IF('[1]TASA DE FALLA'!AM40=0,"",'[1]TASA DE FALLA'!AM40)</f>
      </c>
      <c r="I40" s="294">
        <f>IF('[1]TASA DE FALLA'!AN40=0,"",'[1]TASA DE FALLA'!AN40)</f>
      </c>
      <c r="J40" s="294">
        <f>IF('[1]TASA DE FALLA'!AO40=0,"",'[1]TASA DE FALLA'!AO40)</f>
      </c>
      <c r="K40" s="294">
        <f>IF('[1]TASA DE FALLA'!AP40=0,"",'[1]TASA DE FALLA'!AP40)</f>
      </c>
      <c r="L40" s="294">
        <f>IF('[1]TASA DE FALLA'!AQ40=0,"",'[1]TASA DE FALLA'!AQ40)</f>
      </c>
      <c r="M40" s="294">
        <f>IF('[1]TASA DE FALLA'!AR40=0,"",'[1]TASA DE FALLA'!AR40)</f>
      </c>
      <c r="N40" s="294">
        <f>IF('[1]TASA DE FALLA'!AS40=0,"",'[1]TASA DE FALLA'!AS40)</f>
      </c>
      <c r="O40" s="294">
        <f>IF('[1]TASA DE FALLA'!AT40=0,"",'[1]TASA DE FALLA'!AT40)</f>
      </c>
      <c r="P40" s="294">
        <f>IF('[1]TASA DE FALLA'!AU40=0,"",'[1]TASA DE FALLA'!AU40)</f>
      </c>
      <c r="Q40" s="294">
        <f>IF('[1]TASA DE FALLA'!AV40=0,"",'[1]TASA DE FALLA'!AV40)</f>
      </c>
      <c r="R40" s="294">
        <f>IF('[1]TASA DE FALLA'!AW40=0,"",'[1]TASA DE FALLA'!AW40)</f>
      </c>
      <c r="S40" s="294">
        <f>IF('[1]TASA DE FALLA'!AX40=0,"",'[1]TASA DE FALLA'!AX40)</f>
      </c>
      <c r="T40" s="295"/>
      <c r="U40" s="292"/>
    </row>
    <row r="41" spans="2:21" s="287" customFormat="1" ht="19.5" customHeight="1">
      <c r="B41" s="288"/>
      <c r="C41" s="293">
        <f>'[1]TASA DE FALLA'!C41</f>
        <v>22</v>
      </c>
      <c r="D41" s="293" t="str">
        <f>'[1]TASA DE FALLA'!D41</f>
        <v>LLAMUCO-LLA-PPIN  33.0</v>
      </c>
      <c r="E41" s="293" t="str">
        <f>'[1]TASA DE FALLA'!E41</f>
        <v>L</v>
      </c>
      <c r="F41" s="293">
        <f>'[1]TASA DE FALLA'!F41</f>
        <v>33</v>
      </c>
      <c r="G41" s="293">
        <f>'[1]TASA DE FALLA'!G41</f>
        <v>6.2</v>
      </c>
      <c r="H41" s="294">
        <f>IF('[1]TASA DE FALLA'!AM41=0,"",'[1]TASA DE FALLA'!AM41)</f>
      </c>
      <c r="I41" s="294">
        <f>IF('[1]TASA DE FALLA'!AN41=0,"",'[1]TASA DE FALLA'!AN41)</f>
      </c>
      <c r="J41" s="294">
        <f>IF('[1]TASA DE FALLA'!AO41=0,"",'[1]TASA DE FALLA'!AO41)</f>
      </c>
      <c r="K41" s="294">
        <f>IF('[1]TASA DE FALLA'!AP41=0,"",'[1]TASA DE FALLA'!AP41)</f>
      </c>
      <c r="L41" s="294">
        <f>IF('[1]TASA DE FALLA'!AQ41=0,"",'[1]TASA DE FALLA'!AQ41)</f>
      </c>
      <c r="M41" s="294">
        <f>IF('[1]TASA DE FALLA'!AR41=0,"",'[1]TASA DE FALLA'!AR41)</f>
      </c>
      <c r="N41" s="294">
        <f>IF('[1]TASA DE FALLA'!AS41=0,"",'[1]TASA DE FALLA'!AS41)</f>
      </c>
      <c r="O41" s="294">
        <f>IF('[1]TASA DE FALLA'!AT41=0,"",'[1]TASA DE FALLA'!AT41)</f>
      </c>
      <c r="P41" s="294">
        <f>IF('[1]TASA DE FALLA'!AU41=0,"",'[1]TASA DE FALLA'!AU41)</f>
      </c>
      <c r="Q41" s="294">
        <f>IF('[1]TASA DE FALLA'!AV41=0,"",'[1]TASA DE FALLA'!AV41)</f>
      </c>
      <c r="R41" s="294">
        <f>IF('[1]TASA DE FALLA'!AW41=0,"",'[1]TASA DE FALLA'!AW41)</f>
      </c>
      <c r="S41" s="294">
        <f>IF('[1]TASA DE FALLA'!AX41=0,"",'[1]TASA DE FALLA'!AX41)</f>
      </c>
      <c r="T41" s="295"/>
      <c r="U41" s="292"/>
    </row>
    <row r="42" spans="2:21" s="287" customFormat="1" ht="19.5" customHeight="1">
      <c r="B42" s="288"/>
      <c r="C42" s="293">
        <f>'[1]TASA DE FALLA'!C42</f>
        <v>23</v>
      </c>
      <c r="D42" s="293" t="str">
        <f>'[1]TASA DE FALLA'!D42</f>
        <v>LLA-PPIN-P.PINOS  33.0</v>
      </c>
      <c r="E42" s="293" t="str">
        <f>'[1]TASA DE FALLA'!E42</f>
        <v>L</v>
      </c>
      <c r="F42" s="293">
        <f>'[1]TASA DE FALLA'!F42</f>
        <v>33</v>
      </c>
      <c r="G42" s="293">
        <f>'[1]TASA DE FALLA'!G42</f>
        <v>1.8</v>
      </c>
      <c r="H42" s="294">
        <f>IF('[1]TASA DE FALLA'!AM42=0,"",'[1]TASA DE FALLA'!AM42)</f>
      </c>
      <c r="I42" s="294">
        <f>IF('[1]TASA DE FALLA'!AN42=0,"",'[1]TASA DE FALLA'!AN42)</f>
      </c>
      <c r="J42" s="294">
        <f>IF('[1]TASA DE FALLA'!AO42=0,"",'[1]TASA DE FALLA'!AO42)</f>
      </c>
      <c r="K42" s="294">
        <f>IF('[1]TASA DE FALLA'!AP42=0,"",'[1]TASA DE FALLA'!AP42)</f>
      </c>
      <c r="L42" s="294">
        <f>IF('[1]TASA DE FALLA'!AQ42=0,"",'[1]TASA DE FALLA'!AQ42)</f>
      </c>
      <c r="M42" s="294">
        <f>IF('[1]TASA DE FALLA'!AR42=0,"",'[1]TASA DE FALLA'!AR42)</f>
      </c>
      <c r="N42" s="294">
        <f>IF('[1]TASA DE FALLA'!AS42=0,"",'[1]TASA DE FALLA'!AS42)</f>
      </c>
      <c r="O42" s="294">
        <f>IF('[1]TASA DE FALLA'!AT42=0,"",'[1]TASA DE FALLA'!AT42)</f>
      </c>
      <c r="P42" s="294">
        <f>IF('[1]TASA DE FALLA'!AU42=0,"",'[1]TASA DE FALLA'!AU42)</f>
      </c>
      <c r="Q42" s="294">
        <f>IF('[1]TASA DE FALLA'!AV42=0,"",'[1]TASA DE FALLA'!AV42)</f>
      </c>
      <c r="R42" s="294">
        <f>IF('[1]TASA DE FALLA'!AW42=0,"",'[1]TASA DE FALLA'!AW42)</f>
      </c>
      <c r="S42" s="294">
        <f>IF('[1]TASA DE FALLA'!AX42=0,"",'[1]TASA DE FALLA'!AX42)</f>
      </c>
      <c r="T42" s="295"/>
      <c r="U42" s="292"/>
    </row>
    <row r="43" spans="2:21" s="287" customFormat="1" ht="19.5" customHeight="1">
      <c r="B43" s="288"/>
      <c r="C43" s="293">
        <f>'[1]TASA DE FALLA'!C43</f>
        <v>24</v>
      </c>
      <c r="D43" s="293" t="str">
        <f>'[1]TASA DE FALLA'!D43</f>
        <v>Z.FRANCA-C.LBANDE  33.0</v>
      </c>
      <c r="E43" s="293" t="str">
        <f>'[1]TASA DE FALLA'!E43</f>
        <v>L</v>
      </c>
      <c r="F43" s="293">
        <f>'[1]TASA DE FALLA'!F43</f>
        <v>33</v>
      </c>
      <c r="G43" s="293">
        <f>'[1]TASA DE FALLA'!G43</f>
        <v>23.2</v>
      </c>
      <c r="H43" s="294">
        <f>IF('[1]TASA DE FALLA'!AM43=0,"",'[1]TASA DE FALLA'!AM43)</f>
      </c>
      <c r="I43" s="294">
        <f>IF('[1]TASA DE FALLA'!AN43=0,"",'[1]TASA DE FALLA'!AN43)</f>
      </c>
      <c r="J43" s="294">
        <f>IF('[1]TASA DE FALLA'!AO43=0,"",'[1]TASA DE FALLA'!AO43)</f>
      </c>
      <c r="K43" s="294">
        <f>IF('[1]TASA DE FALLA'!AP43=0,"",'[1]TASA DE FALLA'!AP43)</f>
      </c>
      <c r="L43" s="294">
        <f>IF('[1]TASA DE FALLA'!AQ43=0,"",'[1]TASA DE FALLA'!AQ43)</f>
      </c>
      <c r="M43" s="294">
        <f>IF('[1]TASA DE FALLA'!AR43=0,"",'[1]TASA DE FALLA'!AR43)</f>
      </c>
      <c r="N43" s="294">
        <f>IF('[1]TASA DE FALLA'!AS43=0,"",'[1]TASA DE FALLA'!AS43)</f>
      </c>
      <c r="O43" s="294">
        <f>IF('[1]TASA DE FALLA'!AT43=0,"",'[1]TASA DE FALLA'!AT43)</f>
      </c>
      <c r="P43" s="294">
        <f>IF('[1]TASA DE FALLA'!AU43=0,"",'[1]TASA DE FALLA'!AU43)</f>
      </c>
      <c r="Q43" s="294">
        <f>IF('[1]TASA DE FALLA'!AV43=0,"",'[1]TASA DE FALLA'!AV43)</f>
      </c>
      <c r="R43" s="294">
        <f>IF('[1]TASA DE FALLA'!AW43=0,"",'[1]TASA DE FALLA'!AW43)</f>
      </c>
      <c r="S43" s="294">
        <f>IF('[1]TASA DE FALLA'!AX43=0,"",'[1]TASA DE FALLA'!AX43)</f>
      </c>
      <c r="T43" s="295"/>
      <c r="U43" s="292"/>
    </row>
    <row r="44" spans="2:21" s="287" customFormat="1" ht="19.5" customHeight="1">
      <c r="B44" s="288"/>
      <c r="C44" s="293">
        <f>'[1]TASA DE FALLA'!C44</f>
        <v>25</v>
      </c>
      <c r="D44" s="293" t="str">
        <f>'[1]TASA DE FALLA'!D44</f>
        <v>ZAPAL33-Z.FRANCA  33.0</v>
      </c>
      <c r="E44" s="293" t="str">
        <f>'[1]TASA DE FALLA'!E44</f>
        <v>L</v>
      </c>
      <c r="F44" s="293">
        <f>'[1]TASA DE FALLA'!F44</f>
        <v>33</v>
      </c>
      <c r="G44" s="293">
        <f>'[1]TASA DE FALLA'!G44</f>
        <v>6.8</v>
      </c>
      <c r="H44" s="294">
        <f>IF('[1]TASA DE FALLA'!AM44=0,"",'[1]TASA DE FALLA'!AM44)</f>
      </c>
      <c r="I44" s="294">
        <f>IF('[1]TASA DE FALLA'!AN44=0,"",'[1]TASA DE FALLA'!AN44)</f>
      </c>
      <c r="J44" s="294">
        <f>IF('[1]TASA DE FALLA'!AO44=0,"",'[1]TASA DE FALLA'!AO44)</f>
      </c>
      <c r="K44" s="294">
        <f>IF('[1]TASA DE FALLA'!AP44=0,"",'[1]TASA DE FALLA'!AP44)</f>
      </c>
      <c r="L44" s="294">
        <f>IF('[1]TASA DE FALLA'!AQ44=0,"",'[1]TASA DE FALLA'!AQ44)</f>
      </c>
      <c r="M44" s="294">
        <f>IF('[1]TASA DE FALLA'!AR44=0,"",'[1]TASA DE FALLA'!AR44)</f>
      </c>
      <c r="N44" s="294">
        <f>IF('[1]TASA DE FALLA'!AS44=0,"",'[1]TASA DE FALLA'!AS44)</f>
      </c>
      <c r="O44" s="294">
        <f>IF('[1]TASA DE FALLA'!AT44=0,"",'[1]TASA DE FALLA'!AT44)</f>
      </c>
      <c r="P44" s="294">
        <f>IF('[1]TASA DE FALLA'!AU44=0,"",'[1]TASA DE FALLA'!AU44)</f>
      </c>
      <c r="Q44" s="294">
        <f>IF('[1]TASA DE FALLA'!AV44=0,"",'[1]TASA DE FALLA'!AV44)</f>
      </c>
      <c r="R44" s="294">
        <f>IF('[1]TASA DE FALLA'!AW44=0,"",'[1]TASA DE FALLA'!AW44)</f>
      </c>
      <c r="S44" s="294">
        <f>IF('[1]TASA DE FALLA'!AX44=0,"",'[1]TASA DE FALLA'!AX44)</f>
      </c>
      <c r="T44" s="295"/>
      <c r="U44" s="292"/>
    </row>
    <row r="45" spans="2:21" s="287" customFormat="1" ht="21.75" customHeight="1" thickBot="1">
      <c r="B45" s="288"/>
      <c r="C45" s="296"/>
      <c r="D45" s="297"/>
      <c r="E45" s="297"/>
      <c r="F45" s="297"/>
      <c r="G45" s="297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5"/>
      <c r="U45" s="292"/>
    </row>
    <row r="46" spans="2:21" s="287" customFormat="1" ht="21.75" customHeight="1" thickBot="1" thickTop="1">
      <c r="B46" s="288"/>
      <c r="C46" s="299"/>
      <c r="D46" s="300"/>
      <c r="E46" s="300"/>
      <c r="F46" s="301" t="s">
        <v>120</v>
      </c>
      <c r="G46" s="302">
        <f>SUM(G17:G45)-G17-G23-G24-G28-G32-G33-G34</f>
        <v>687.8</v>
      </c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2"/>
    </row>
    <row r="47" spans="2:21" s="287" customFormat="1" ht="21.75" customHeight="1" thickBot="1" thickTop="1">
      <c r="B47" s="288"/>
      <c r="C47" s="299"/>
      <c r="D47" s="300"/>
      <c r="E47" s="300"/>
      <c r="G47" s="303" t="s">
        <v>121</v>
      </c>
      <c r="H47" s="304">
        <f>SUM(H17:H44)</f>
        <v>0</v>
      </c>
      <c r="I47" s="304">
        <f>SUM(I17:I44)</f>
        <v>3</v>
      </c>
      <c r="J47" s="304">
        <f aca="true" t="shared" si="0" ref="J47:S47">SUM(J17:J44)</f>
        <v>3</v>
      </c>
      <c r="K47" s="304">
        <f t="shared" si="0"/>
        <v>0</v>
      </c>
      <c r="L47" s="304">
        <f t="shared" si="0"/>
        <v>1</v>
      </c>
      <c r="M47" s="304">
        <f t="shared" si="0"/>
        <v>4</v>
      </c>
      <c r="N47" s="304">
        <f t="shared" si="0"/>
        <v>2</v>
      </c>
      <c r="O47" s="304">
        <f t="shared" si="0"/>
        <v>0</v>
      </c>
      <c r="P47" s="304">
        <f t="shared" si="0"/>
        <v>10</v>
      </c>
      <c r="Q47" s="304">
        <f t="shared" si="0"/>
        <v>3</v>
      </c>
      <c r="R47" s="304">
        <f t="shared" si="0"/>
        <v>1</v>
      </c>
      <c r="S47" s="304">
        <f t="shared" si="0"/>
        <v>6</v>
      </c>
      <c r="T47" s="295"/>
      <c r="U47" s="292"/>
    </row>
    <row r="48" spans="2:21" s="287" customFormat="1" ht="21.75" customHeight="1" thickBot="1" thickTop="1">
      <c r="B48" s="288"/>
      <c r="C48" s="299"/>
      <c r="D48" s="300"/>
      <c r="E48" s="300"/>
      <c r="F48" s="300"/>
      <c r="G48" s="305" t="s">
        <v>122</v>
      </c>
      <c r="H48" s="306">
        <f>IF('[1]TASA DE FALLA'!AM49=0,"",'[1]TASA DE FALLA'!AM49)</f>
        <v>2.3262576330328586</v>
      </c>
      <c r="I48" s="306">
        <f>IF('[1]TASA DE FALLA'!AN49=0,"",'[1]TASA DE FALLA'!AN49)</f>
        <v>2.035475428903751</v>
      </c>
      <c r="J48" s="306">
        <f>IF('[1]TASA DE FALLA'!AO49=0,"",'[1]TASA DE FALLA'!AO49)</f>
        <v>2.4716487350974123</v>
      </c>
      <c r="K48" s="306">
        <f>IF('[1]TASA DE FALLA'!AP49=0,"",'[1]TASA DE FALLA'!AP49)</f>
        <v>2.7624309392265194</v>
      </c>
      <c r="L48" s="306">
        <f>IF('[1]TASA DE FALLA'!AQ49=0,"",'[1]TASA DE FALLA'!AQ49)</f>
        <v>2.4716487350974123</v>
      </c>
      <c r="M48" s="306">
        <f>IF('[1]TASA DE FALLA'!AR49=0,"",'[1]TASA DE FALLA'!AR49)</f>
        <v>2.4716487350974123</v>
      </c>
      <c r="N48" s="306">
        <f>IF('[1]TASA DE FALLA'!AS49=0,"",'[1]TASA DE FALLA'!AS49)</f>
        <v>2.617039837161966</v>
      </c>
      <c r="O48" s="306">
        <f>IF('[1]TASA DE FALLA'!AT49=0,"",'[1]TASA DE FALLA'!AT49)</f>
        <v>2.907822041291073</v>
      </c>
      <c r="P48" s="306">
        <f>IF('[1]TASA DE FALLA'!AU49=0,"",'[1]TASA DE FALLA'!AU49)</f>
        <v>2.907822041291073</v>
      </c>
      <c r="Q48" s="306">
        <f>IF('[1]TASA DE FALLA'!AV49=0,"",'[1]TASA DE FALLA'!AV49)</f>
        <v>4.216341959872056</v>
      </c>
      <c r="R48" s="306">
        <f>IF('[1]TASA DE FALLA'!AW49=0,"",'[1]TASA DE FALLA'!AW49)</f>
        <v>4.507124164001163</v>
      </c>
      <c r="S48" s="306">
        <f>IF('[1]TASA DE FALLA'!AX49=0,"",'[1]TASA DE FALLA'!AX49)</f>
        <v>4.36173306193661</v>
      </c>
      <c r="T48" s="306">
        <f>IF('[1]TASA DE FALLA'!AY49=0,"",'[1]TASA DE FALLA'!AY49)</f>
        <v>4.7979063681302705</v>
      </c>
      <c r="U48" s="292"/>
    </row>
    <row r="49" spans="2:21" ht="18.75" customHeight="1" thickBot="1" thickTop="1">
      <c r="B49" s="278"/>
      <c r="C49" s="307"/>
      <c r="D49" s="308" t="s">
        <v>123</v>
      </c>
      <c r="E49" s="309"/>
      <c r="F49" s="310"/>
      <c r="G49" s="30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80"/>
    </row>
    <row r="50" spans="2:23" s="314" customFormat="1" ht="21.75" thickBot="1" thickTop="1">
      <c r="B50" s="311"/>
      <c r="C50" s="312" t="s">
        <v>124</v>
      </c>
      <c r="D50" s="313" t="s">
        <v>125</v>
      </c>
      <c r="E50" s="309"/>
      <c r="H50" s="315" t="s">
        <v>126</v>
      </c>
      <c r="I50" s="316"/>
      <c r="J50" s="317">
        <f>T48</f>
        <v>4.7979063681302705</v>
      </c>
      <c r="K50" s="316"/>
      <c r="L50" s="318" t="s">
        <v>127</v>
      </c>
      <c r="M50" s="318"/>
      <c r="N50" s="318"/>
      <c r="O50" s="318"/>
      <c r="P50" s="318"/>
      <c r="Q50" s="318"/>
      <c r="R50" s="318"/>
      <c r="S50" s="318"/>
      <c r="T50" s="319"/>
      <c r="U50" s="320"/>
      <c r="V50" s="321"/>
      <c r="W50" s="321"/>
    </row>
    <row r="51" spans="2:21" ht="18.75" customHeight="1" thickBot="1" thickTop="1">
      <c r="B51" s="322"/>
      <c r="C51" s="323"/>
      <c r="D51" s="324"/>
      <c r="E51" s="325"/>
      <c r="F51" s="324"/>
      <c r="G51" s="325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6"/>
    </row>
    <row r="52" ht="13.5" thickTop="1"/>
  </sheetData>
  <sheetProtection/>
  <printOptions/>
  <pageMargins left="0.2755905511811024" right="0.6692913385826772" top="0.7874015748031497" bottom="0.7874015748031497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"/>
  <sheetViews>
    <sheetView zoomScale="85" zoomScaleNormal="85" zoomScalePageLayoutView="0" workbookViewId="0" topLeftCell="A1">
      <selection activeCell="F14" sqref="F14"/>
    </sheetView>
  </sheetViews>
  <sheetFormatPr defaultColWidth="11.421875" defaultRowHeight="12.75"/>
  <cols>
    <col min="1" max="1" width="21.7109375" style="231" customWidth="1"/>
    <col min="2" max="2" width="9.28125" style="231" customWidth="1"/>
    <col min="3" max="3" width="11.8515625" style="231" bestFit="1" customWidth="1"/>
    <col min="4" max="4" width="9.57421875" style="231" bestFit="1" customWidth="1"/>
    <col min="5" max="5" width="14.8515625" style="231" bestFit="1" customWidth="1"/>
    <col min="6" max="6" width="49.421875" style="231" bestFit="1" customWidth="1"/>
    <col min="7" max="16384" width="11.421875" style="231" customWidth="1"/>
  </cols>
  <sheetData>
    <row r="1" spans="1:8" ht="12.75">
      <c r="A1" s="230" t="s">
        <v>55</v>
      </c>
      <c r="B1" s="230" t="s">
        <v>55</v>
      </c>
      <c r="C1" s="230" t="s">
        <v>56</v>
      </c>
      <c r="D1" s="230" t="s">
        <v>57</v>
      </c>
      <c r="G1" s="243" t="s">
        <v>46</v>
      </c>
      <c r="H1" s="244"/>
    </row>
    <row r="2" spans="1:8" ht="12.75">
      <c r="A2" s="232" t="s">
        <v>32</v>
      </c>
      <c r="B2" s="233" t="s">
        <v>58</v>
      </c>
      <c r="C2" s="232">
        <v>31</v>
      </c>
      <c r="D2" s="232">
        <v>2006</v>
      </c>
      <c r="G2" s="245" t="s">
        <v>47</v>
      </c>
      <c r="H2" s="246"/>
    </row>
    <row r="3" spans="1:8" ht="12.75">
      <c r="A3" s="232" t="s">
        <v>33</v>
      </c>
      <c r="B3" s="233" t="s">
        <v>59</v>
      </c>
      <c r="C3" s="232">
        <f>IF(MOD(E14,4)=0,29,28)</f>
        <v>29</v>
      </c>
      <c r="D3" s="232">
        <f>+D2+1</f>
        <v>2007</v>
      </c>
      <c r="E3" s="231">
        <v>3</v>
      </c>
      <c r="F3" s="231" t="str">
        <f>CHOOSE(E3,"EPEC","EPESF","EPEN","ESJ","EDESE","EDEMSA","APELP","DGSP")</f>
        <v>EPEN</v>
      </c>
      <c r="G3" s="245" t="s">
        <v>102</v>
      </c>
      <c r="H3" s="246"/>
    </row>
    <row r="4" spans="1:8" ht="12.75">
      <c r="A4" s="232" t="s">
        <v>34</v>
      </c>
      <c r="B4" s="233" t="s">
        <v>60</v>
      </c>
      <c r="C4" s="232">
        <v>31</v>
      </c>
      <c r="D4" s="232">
        <v>2008</v>
      </c>
      <c r="F4" s="231" t="str">
        <f>CHOOSE(E3,"PEC","PSF","PENP","ESJ","SGE","MZA","LPA","DSP")</f>
        <v>PENP</v>
      </c>
      <c r="G4" s="245" t="s">
        <v>103</v>
      </c>
      <c r="H4" s="246"/>
    </row>
    <row r="5" spans="1:8" ht="12.75">
      <c r="A5" s="232" t="s">
        <v>35</v>
      </c>
      <c r="B5" s="233" t="s">
        <v>61</v>
      </c>
      <c r="C5" s="232">
        <v>30</v>
      </c>
      <c r="D5" s="232">
        <v>2009</v>
      </c>
      <c r="F5" t="str">
        <f>CHOOSE(E3,"E.P.E.C.","E.P.E. Santa Fe","E.P.E.N.","ENERGIA SAN JUAN S.A.","EDESE S.A.","EDEM S.A.","APELP S.A.","D.G.S.P.")</f>
        <v>E.P.E.N.</v>
      </c>
      <c r="G5" s="245" t="s">
        <v>44</v>
      </c>
      <c r="H5" s="246"/>
    </row>
    <row r="6" spans="1:8" ht="12.75">
      <c r="A6" s="232" t="s">
        <v>36</v>
      </c>
      <c r="B6" s="233" t="s">
        <v>62</v>
      </c>
      <c r="C6" s="232">
        <v>31</v>
      </c>
      <c r="D6" s="232">
        <v>2010</v>
      </c>
      <c r="G6" s="245" t="s">
        <v>48</v>
      </c>
      <c r="H6" s="246"/>
    </row>
    <row r="7" spans="1:8" ht="12.75">
      <c r="A7" s="232" t="s">
        <v>37</v>
      </c>
      <c r="B7" s="233" t="s">
        <v>63</v>
      </c>
      <c r="C7" s="232">
        <v>30</v>
      </c>
      <c r="D7" s="232">
        <v>2011</v>
      </c>
      <c r="G7" s="245" t="s">
        <v>49</v>
      </c>
      <c r="H7" s="246"/>
    </row>
    <row r="8" spans="1:8" ht="12.75">
      <c r="A8" s="232" t="s">
        <v>38</v>
      </c>
      <c r="B8" s="233" t="s">
        <v>64</v>
      </c>
      <c r="C8" s="232">
        <v>31</v>
      </c>
      <c r="D8" s="232">
        <v>2012</v>
      </c>
      <c r="G8" s="245" t="s">
        <v>50</v>
      </c>
      <c r="H8" s="246"/>
    </row>
    <row r="9" spans="1:8" ht="12.75">
      <c r="A9" s="232" t="s">
        <v>39</v>
      </c>
      <c r="B9" s="233" t="s">
        <v>65</v>
      </c>
      <c r="C9" s="232">
        <v>31</v>
      </c>
      <c r="D9" s="232">
        <v>2013</v>
      </c>
      <c r="G9" s="245" t="s">
        <v>51</v>
      </c>
      <c r="H9" s="246"/>
    </row>
    <row r="10" spans="1:8" ht="12.75">
      <c r="A10" s="232" t="s">
        <v>40</v>
      </c>
      <c r="B10" s="233" t="s">
        <v>66</v>
      </c>
      <c r="C10" s="232">
        <v>30</v>
      </c>
      <c r="D10" s="232">
        <v>2014</v>
      </c>
      <c r="G10" s="254"/>
      <c r="H10" s="255"/>
    </row>
    <row r="11" spans="1:8" ht="12.75">
      <c r="A11" s="232" t="s">
        <v>41</v>
      </c>
      <c r="B11" s="233" t="s">
        <v>67</v>
      </c>
      <c r="C11" s="232">
        <v>31</v>
      </c>
      <c r="D11" s="232">
        <v>2015</v>
      </c>
      <c r="G11" s="256"/>
      <c r="H11" s="257"/>
    </row>
    <row r="12" spans="1:8" ht="12.75">
      <c r="A12" s="232" t="s">
        <v>42</v>
      </c>
      <c r="B12" s="233" t="s">
        <v>68</v>
      </c>
      <c r="C12" s="232">
        <v>30</v>
      </c>
      <c r="D12" s="232">
        <v>2016</v>
      </c>
      <c r="G12" s="256"/>
      <c r="H12" s="257"/>
    </row>
    <row r="13" spans="1:9" ht="12.75">
      <c r="A13" s="232" t="s">
        <v>43</v>
      </c>
      <c r="B13" s="233" t="s">
        <v>69</v>
      </c>
      <c r="C13" s="232">
        <v>31</v>
      </c>
      <c r="D13" s="232"/>
      <c r="I13" s="234" t="s">
        <v>70</v>
      </c>
    </row>
    <row r="14" spans="1:9" ht="12.75">
      <c r="A14" s="235">
        <v>11</v>
      </c>
      <c r="B14" s="236">
        <v>8</v>
      </c>
      <c r="C14" s="235" t="str">
        <f ca="1">CELL("CONTENIDO",OFFSET(A1,B14,0))</f>
        <v>agosto</v>
      </c>
      <c r="D14" s="235">
        <f ca="1">CELL("CONTENIDO",OFFSET(C1,B14,0))</f>
        <v>31</v>
      </c>
      <c r="E14" s="247">
        <f ca="1">CELL("CONTENIDO",OFFSET(D1,A14,0))</f>
        <v>2016</v>
      </c>
      <c r="F14" s="235" t="str">
        <f>"Desde el 01 al "&amp;D14&amp;" de "&amp;C14&amp;" de "&amp;E14</f>
        <v>Desde el 01 al 31 de agosto de 2016</v>
      </c>
      <c r="G14" s="235" t="str">
        <f ca="1">CELL("CONTENIDO",OFFSET(B1,B14,0))</f>
        <v>08</v>
      </c>
      <c r="H14" s="235" t="str">
        <f>RIGHT(E14,2)</f>
        <v>16</v>
      </c>
      <c r="I14" s="237" t="s">
        <v>71</v>
      </c>
    </row>
    <row r="15" spans="1:8" ht="12.75">
      <c r="A15" s="235"/>
      <c r="B15" s="238" t="str">
        <f>"\\rugor\files\Transporte\Transporte\AA PROCESO AUT ARCHIVOS J\"&amp;F3&amp;"\"&amp;E14</f>
        <v>\\rugor\files\Transporte\Transporte\AA PROCESO AUT ARCHIVOS J\EPEN\2016</v>
      </c>
      <c r="C15" s="235"/>
      <c r="D15" s="235"/>
      <c r="E15" s="235"/>
      <c r="F15" s="235"/>
      <c r="G15" s="235" t="str">
        <f>"J"&amp;H14&amp;G14&amp;F4</f>
        <v>J1608PENP</v>
      </c>
      <c r="H15" s="235"/>
    </row>
    <row r="16" spans="1:8" ht="12.75">
      <c r="A16" s="235"/>
      <c r="B16" s="238" t="str">
        <f>"\\rugor\files\Transporte\transporte\AA PROCESO AUT\INTERCAMBIO\"&amp;H14&amp;G14</f>
        <v>\\rugor\files\Transporte\transporte\AA PROCESO AUT\INTERCAMBIO\1608</v>
      </c>
      <c r="C16" s="235"/>
      <c r="D16" s="235"/>
      <c r="E16" s="235"/>
      <c r="F16" s="235"/>
      <c r="G16" s="235"/>
      <c r="H16" s="235"/>
    </row>
    <row r="17" spans="1:29" s="239" customFormat="1" ht="12.75">
      <c r="A17" s="230" t="s">
        <v>72</v>
      </c>
      <c r="B17" s="230" t="s">
        <v>73</v>
      </c>
      <c r="C17" s="230" t="s">
        <v>74</v>
      </c>
      <c r="D17" s="230" t="s">
        <v>75</v>
      </c>
      <c r="E17" s="230" t="s">
        <v>76</v>
      </c>
      <c r="F17" s="230" t="s">
        <v>77</v>
      </c>
      <c r="G17" s="230" t="s">
        <v>78</v>
      </c>
      <c r="H17" s="230" t="s">
        <v>79</v>
      </c>
      <c r="I17" s="230" t="s">
        <v>80</v>
      </c>
      <c r="J17" s="230" t="s">
        <v>81</v>
      </c>
      <c r="K17" s="230" t="s">
        <v>82</v>
      </c>
      <c r="L17" s="230" t="s">
        <v>83</v>
      </c>
      <c r="M17" s="230" t="s">
        <v>84</v>
      </c>
      <c r="N17" s="230" t="s">
        <v>85</v>
      </c>
      <c r="O17" s="230" t="s">
        <v>86</v>
      </c>
      <c r="P17" s="230" t="s">
        <v>87</v>
      </c>
      <c r="Q17" s="230" t="s">
        <v>88</v>
      </c>
      <c r="R17" s="230" t="s">
        <v>89</v>
      </c>
      <c r="S17" s="230" t="s">
        <v>90</v>
      </c>
      <c r="T17" s="230" t="s">
        <v>91</v>
      </c>
      <c r="U17" s="230" t="s">
        <v>92</v>
      </c>
      <c r="V17" s="230" t="s">
        <v>93</v>
      </c>
      <c r="W17" s="230" t="s">
        <v>94</v>
      </c>
      <c r="X17" s="230" t="s">
        <v>95</v>
      </c>
      <c r="Y17" s="230" t="s">
        <v>96</v>
      </c>
      <c r="Z17" s="230" t="s">
        <v>97</v>
      </c>
      <c r="AA17" s="230" t="s">
        <v>98</v>
      </c>
      <c r="AB17" s="230" t="s">
        <v>99</v>
      </c>
      <c r="AC17" s="230" t="s">
        <v>100</v>
      </c>
    </row>
    <row r="18" spans="1:29" s="252" customFormat="1" ht="12.75">
      <c r="A18" s="240" t="s">
        <v>104</v>
      </c>
      <c r="B18" s="242">
        <v>22</v>
      </c>
      <c r="C18" s="242">
        <v>20</v>
      </c>
      <c r="D18" s="242">
        <v>15</v>
      </c>
      <c r="E18" s="240" t="str">
        <f>"LI-"&amp;$G$14</f>
        <v>LI-08</v>
      </c>
      <c r="F18" s="240" t="str">
        <f>F3&amp;"_INDISPONIBILIDADES_LINEAS_"&amp;F3&amp;"_PAFFT.XLS"</f>
        <v>EPEN_INDISPONIBILIDADES_LINEAS_EPEN_PAFFT.XLS</v>
      </c>
      <c r="G18" s="242">
        <v>3</v>
      </c>
      <c r="H18" s="250">
        <v>5</v>
      </c>
      <c r="I18" s="250">
        <v>4</v>
      </c>
      <c r="J18" s="242">
        <v>6</v>
      </c>
      <c r="K18" s="242">
        <v>0</v>
      </c>
      <c r="L18" s="242">
        <v>7</v>
      </c>
      <c r="M18" s="242">
        <v>0</v>
      </c>
      <c r="N18" s="242">
        <v>8</v>
      </c>
      <c r="O18" s="251">
        <v>9</v>
      </c>
      <c r="P18" s="242">
        <v>0</v>
      </c>
      <c r="Q18" s="242">
        <v>11</v>
      </c>
      <c r="R18" s="242">
        <v>12</v>
      </c>
      <c r="S18" s="242">
        <v>15</v>
      </c>
      <c r="T18" s="242">
        <v>0</v>
      </c>
      <c r="U18" s="242">
        <v>27</v>
      </c>
      <c r="V18" s="242">
        <v>16</v>
      </c>
      <c r="W18" s="242">
        <v>18</v>
      </c>
      <c r="X18" s="242">
        <v>10</v>
      </c>
      <c r="Y18" s="242">
        <v>43</v>
      </c>
      <c r="Z18" s="242">
        <v>28</v>
      </c>
      <c r="AA18" s="242">
        <v>20</v>
      </c>
      <c r="AB18" s="242">
        <v>28</v>
      </c>
      <c r="AC18" s="242">
        <v>15</v>
      </c>
    </row>
    <row r="19" spans="1:29" s="239" customFormat="1" ht="12.75">
      <c r="A19" s="241" t="s">
        <v>101</v>
      </c>
      <c r="B19" s="248">
        <v>19</v>
      </c>
      <c r="C19" s="248">
        <v>24</v>
      </c>
      <c r="D19" s="249">
        <v>4</v>
      </c>
      <c r="E19" s="241" t="str">
        <f>"CAUSAS-VST-"&amp;$G$14</f>
        <v>CAUSAS-VST-08</v>
      </c>
      <c r="F19" s="241" t="str">
        <f>F3&amp;"_PAFFT_CAUSAS_VST.XLS"</f>
        <v>EPEN_PAFFT_CAUSAS_VST.XLS</v>
      </c>
      <c r="G19" s="248">
        <v>3</v>
      </c>
      <c r="H19" s="248">
        <v>4</v>
      </c>
      <c r="I19" s="248">
        <v>5</v>
      </c>
      <c r="J19" s="248">
        <v>6</v>
      </c>
      <c r="K19" s="248">
        <v>7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999</v>
      </c>
      <c r="X19" s="248">
        <v>999</v>
      </c>
      <c r="Y19" s="248">
        <v>0</v>
      </c>
      <c r="Z19" s="248">
        <v>0</v>
      </c>
      <c r="AA19" s="248">
        <v>0</v>
      </c>
      <c r="AB19" s="248">
        <v>0</v>
      </c>
      <c r="AC19" s="248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landscape" paperSize="9" r:id="rId2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Hilda Antunez</cp:lastModifiedBy>
  <cp:lastPrinted>2018-01-17T13:27:52Z</cp:lastPrinted>
  <dcterms:created xsi:type="dcterms:W3CDTF">1999-04-29T21:02:14Z</dcterms:created>
  <dcterms:modified xsi:type="dcterms:W3CDTF">2018-01-17T13:28:18Z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