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80" windowWidth="11970" windowHeight="3525" tabRatio="928" firstSheet="1" activeTab="1"/>
  </bookViews>
  <sheets>
    <sheet name="TOT-0814" sheetId="1" r:id="rId1"/>
    <sheet name="LI-08 (1)" sheetId="2" r:id="rId2"/>
    <sheet name="LI-EDERSA-08 (1)" sheetId="3" r:id="rId3"/>
    <sheet name="LI-TRANSACUE-08 (1)" sheetId="4" r:id="rId4"/>
    <sheet name="TR-08 (1)" sheetId="5" r:id="rId5"/>
    <sheet name="TR-EDERSA-08 (1)" sheetId="6" r:id="rId6"/>
    <sheet name="SA-08 (2)" sheetId="7" r:id="rId7"/>
    <sheet name="SA-EDERSA-08 (1)" sheetId="8" r:id="rId8"/>
    <sheet name="SUP-EDERSA" sheetId="9" r:id="rId9"/>
    <sheet name="SUP-TRANSACUE" sheetId="10" r:id="rId10"/>
  </sheets>
  <definedNames/>
  <calcPr fullCalcOnLoad="1"/>
</workbook>
</file>

<file path=xl/comments10.xml><?xml version="1.0" encoding="utf-8"?>
<comments xmlns="http://schemas.openxmlformats.org/spreadsheetml/2006/main">
  <authors>
    <author>Ing. Juan Messina</author>
  </authors>
  <commentList>
    <comment ref="K30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ATRAXX.TXT
SECCION A21
DISTPAT
SAO -132    SAE -132
EDERPSAT</t>
        </r>
      </text>
    </comment>
  </commentList>
</comments>
</file>

<file path=xl/comments7.xml><?xml version="1.0" encoding="utf-8"?>
<comments xmlns="http://schemas.openxmlformats.org/spreadsheetml/2006/main">
  <authors>
    <author>jmessina</author>
  </authors>
  <commentList>
    <comment ref="G16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7,577 
hasta 01/07/2008 RES330</t>
        </r>
      </text>
    </comment>
    <comment ref="G17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3,030 hasta 01/07/2008 RES330</t>
        </r>
      </text>
    </comment>
    <comment ref="G18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2,274 hasta 01/07/2008 RES330</t>
        </r>
      </text>
    </comment>
    <comment ref="G19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2,274 hasta 01/07/2008 RES330</t>
        </r>
      </text>
    </comment>
  </commentList>
</comments>
</file>

<file path=xl/comments9.xml><?xml version="1.0" encoding="utf-8"?>
<comments xmlns="http://schemas.openxmlformats.org/spreadsheetml/2006/main">
  <authors>
    <author>Ing. Juan Messina</author>
  </authors>
  <commentList>
    <comment ref="K30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ATRAXX.TXT
SECCION A21
DISTPAT
SAO -132    SAE -132
EDERPSAT</t>
        </r>
      </text>
    </comment>
  </commentList>
</comments>
</file>

<file path=xl/sharedStrings.xml><?xml version="1.0" encoding="utf-8"?>
<sst xmlns="http://schemas.openxmlformats.org/spreadsheetml/2006/main" count="475" uniqueCount="178">
  <si>
    <t>SISTEMA DE TRANSPORTE DE ENERGÍA ELÉCTRICA POR DISTRIBUCIÓN TRONCAL</t>
  </si>
  <si>
    <t>TRANSPA S.A.</t>
  </si>
  <si>
    <t>TOTAL</t>
  </si>
  <si>
    <t>SALIDAS</t>
  </si>
  <si>
    <t>PUNTA COLORADA - SIERRA GRANDE</t>
  </si>
  <si>
    <t>S.A. OESTE - SIERRA GRANDE</t>
  </si>
  <si>
    <t>S.A. OESTE - VIEDMA</t>
  </si>
  <si>
    <t>VIEDMA - CARMEN DE PATAGONES</t>
  </si>
  <si>
    <t>TRAFO 1</t>
  </si>
  <si>
    <t>PUNTA COLORADA</t>
  </si>
  <si>
    <t>SAN ANTONIO ESTE</t>
  </si>
  <si>
    <t>SAN ANTONIO OESTE</t>
  </si>
  <si>
    <t>SIERRA GRANDE</t>
  </si>
  <si>
    <t>VIEDMA</t>
  </si>
  <si>
    <t>EQUIPO</t>
  </si>
  <si>
    <t>U [kV]</t>
  </si>
  <si>
    <t xml:space="preserve">ENTE NACIONAL REGULADOR </t>
  </si>
  <si>
    <t>DE LA ELECTRICIDAD</t>
  </si>
  <si>
    <t>1.-</t>
  </si>
  <si>
    <t>LÍNEAS</t>
  </si>
  <si>
    <t>1.1.-</t>
  </si>
  <si>
    <t>Equipamiento propio</t>
  </si>
  <si>
    <t>1.2.-</t>
  </si>
  <si>
    <t>Transportista Independiente E.D.E.R.S.A.</t>
  </si>
  <si>
    <t>1.3.-</t>
  </si>
  <si>
    <t>2.-</t>
  </si>
  <si>
    <t>CONEXIÓN</t>
  </si>
  <si>
    <t>2.1.-</t>
  </si>
  <si>
    <t>Transformación</t>
  </si>
  <si>
    <t>2.1.1.-</t>
  </si>
  <si>
    <t>2.1.2.-</t>
  </si>
  <si>
    <t>2.2.-</t>
  </si>
  <si>
    <t>Salidas</t>
  </si>
  <si>
    <t>2.2.1.-</t>
  </si>
  <si>
    <t>2.2.2.-</t>
  </si>
  <si>
    <t>4.-</t>
  </si>
  <si>
    <t>SUPERVISIÓN</t>
  </si>
  <si>
    <t>4.1.-</t>
  </si>
  <si>
    <t>4.2.-</t>
  </si>
  <si>
    <t xml:space="preserve">TOTAL </t>
  </si>
  <si>
    <t>SISTEMA DE TRANSPORTE DE ENERGÍA ELÉCTRICA POR DISTRIBUCIÓN TRONCAL - TRANSPA S.A.</t>
  </si>
  <si>
    <t>1.- LÍNEAS</t>
  </si>
  <si>
    <t>1.1.- Equipamiento propio</t>
  </si>
  <si>
    <t xml:space="preserve">$/100 km-h : LINEAS 330 kV </t>
  </si>
  <si>
    <t xml:space="preserve">$/100 km-h : LINEAS 132 kV </t>
  </si>
  <si>
    <t>FACTOR DE PENALIZACION  K =</t>
  </si>
  <si>
    <t>N°</t>
  </si>
  <si>
    <t>U
[kV]</t>
  </si>
  <si>
    <t>Long.
[km]</t>
  </si>
  <si>
    <t>$/h</t>
  </si>
  <si>
    <t>Salida</t>
  </si>
  <si>
    <t>Entrada</t>
  </si>
  <si>
    <t>Hs. 
Indisp</t>
  </si>
  <si>
    <t>Minutos
Indisp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</si>
  <si>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</si>
  <si>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C.R.
%</t>
  </si>
  <si>
    <t>PENALIZ.
PROGRAM.</t>
  </si>
  <si>
    <t>REDUCC.
PROGRAM.</t>
  </si>
  <si>
    <t>PENALIZACION FORZADA
Por Salida   1ras 3 hs.   hs. Restante</t>
  </si>
  <si>
    <t>REDUCC. FORZADA
Por Salida   1ras 3 hs.   hs. Restante</t>
  </si>
  <si>
    <t>RESTANTE
FORZADA</t>
  </si>
  <si>
    <t>REDUCC.
RESTANTE</t>
  </si>
  <si>
    <t>Informó
en 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</si>
  <si>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</si>
  <si>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</si>
  <si>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2.- CONEXIÓN</t>
  </si>
  <si>
    <t>2.1.- Transformación</t>
  </si>
  <si>
    <t>2.1.1.- Equipamiento propio</t>
  </si>
  <si>
    <t>Por Transformador por MVA    $ =</t>
  </si>
  <si>
    <t>Coeficiente de penalización por salida forzada   =</t>
  </si>
  <si>
    <t>ESTACIÓN
TRANSFORMADORA</t>
  </si>
  <si>
    <t>POT.
[MVA]</t>
  </si>
  <si>
    <t xml:space="preserve">  Salida</t>
  </si>
  <si>
    <t xml:space="preserve">  Entrada</t>
  </si>
  <si>
    <t>Hs.
Indisp.</t>
  </si>
  <si>
    <t>Mtos.
Indisp.</t>
  </si>
  <si>
    <t>AUT.</t>
  </si>
  <si>
    <t>REST.
%</t>
  </si>
  <si>
    <t>E.N.S.</t>
  </si>
  <si>
    <t>K (P;ENS)</t>
  </si>
  <si>
    <t>PENALIZACIONES
Por Salida  hs. Restantes</t>
  </si>
  <si>
    <t xml:space="preserve"> 2.1.2.- Transportista Independiente E.D.E.R.S.A.</t>
  </si>
  <si>
    <t>2.2.- Salidas</t>
  </si>
  <si>
    <t>2.2.1.- Equipamiento propio</t>
  </si>
  <si>
    <t>Salida en 330 kV</t>
  </si>
  <si>
    <t xml:space="preserve">Salida en 132 kV o 66 kV = </t>
  </si>
  <si>
    <t xml:space="preserve">Salida en 33 kV </t>
  </si>
  <si>
    <t>Salida en 13,2 kV =</t>
  </si>
  <si>
    <t>K (U)</t>
  </si>
  <si>
    <r>
      <t xml:space="preserve">a) </t>
    </r>
    <r>
      <rPr>
        <b/>
        <u val="single"/>
        <sz val="12"/>
        <rFont val="Times New Roman"/>
        <family val="1"/>
      </rPr>
      <t>Datos</t>
    </r>
  </si>
  <si>
    <t>Tiempo de servicio =</t>
  </si>
  <si>
    <t>hs</t>
  </si>
  <si>
    <t xml:space="preserve">$/100 km-h : LÍNEAS 132 kV </t>
  </si>
  <si>
    <t>Porcentaje por Supervisión  =</t>
  </si>
  <si>
    <t xml:space="preserve">Cargo por Transformador por MVA = </t>
  </si>
  <si>
    <r>
      <t xml:space="preserve">b) </t>
    </r>
    <r>
      <rPr>
        <b/>
        <u val="single"/>
        <sz val="11"/>
        <rFont val="Times New Roman"/>
        <family val="1"/>
      </rPr>
      <t>SM</t>
    </r>
    <r>
      <rPr>
        <b/>
        <sz val="11"/>
        <rFont val="Times New Roman"/>
        <family val="1"/>
      </rPr>
      <t>:</t>
    </r>
    <r>
      <rPr>
        <sz val="11"/>
        <rFont val="Times New Roman"/>
        <family val="1"/>
      </rPr>
      <t xml:space="preserve">  es la suma de las sanciones a que en cada mes se hiciere pasible el Transportista Independiente, valorizadas con idénticos criterios que los que se aplican a la Concesionaria.</t>
    </r>
  </si>
  <si>
    <t>SANCIÓN al T.I.</t>
  </si>
  <si>
    <t>TRANSFORMACIÓN</t>
  </si>
  <si>
    <t>SM =</t>
  </si>
  <si>
    <r>
      <t xml:space="preserve">c) </t>
    </r>
    <r>
      <rPr>
        <b/>
        <u val="single"/>
        <sz val="11"/>
        <rFont val="Times New Roman"/>
        <family val="1"/>
      </rPr>
      <t xml:space="preserve">RM </t>
    </r>
    <r>
      <rPr>
        <sz val="11"/>
        <rFont val="Times New Roman"/>
        <family val="1"/>
      </rPr>
      <t>: es la remuneración que mensualmente recibiría el Transportista Independiente, si su servicio fuera valorizado conforme al régimen remuneratorio que se aplica a la Concesionaria.</t>
    </r>
  </si>
  <si>
    <t>Cargo por Capacidad de Transporte</t>
  </si>
  <si>
    <t>Long [km]</t>
  </si>
  <si>
    <t>Cargo por Capacidad de Transformación</t>
  </si>
  <si>
    <t>Equipo</t>
  </si>
  <si>
    <t>E.T</t>
  </si>
  <si>
    <t>Cargo</t>
  </si>
  <si>
    <t>RM =</t>
  </si>
  <si>
    <r>
      <t xml:space="preserve">d) </t>
    </r>
    <r>
      <rPr>
        <b/>
        <u val="single"/>
        <sz val="12"/>
        <rFont val="Times New Roman"/>
        <family val="1"/>
      </rPr>
      <t>CS:</t>
    </r>
    <r>
      <rPr>
        <sz val="12"/>
        <rFont val="Times New Roman"/>
        <family val="1"/>
      </rPr>
      <t xml:space="preserve"> Es el cargo por Supervisión de la Operación que la Transportista percibe por supervisar la operación y mantenimiento del Transportista Independiente.</t>
    </r>
  </si>
  <si>
    <t xml:space="preserve">Cargo por Supervisión afectado a la sanción </t>
  </si>
  <si>
    <t>CS =</t>
  </si>
  <si>
    <r>
      <t xml:space="preserve">e) </t>
    </r>
    <r>
      <rPr>
        <b/>
        <u val="single"/>
        <sz val="11"/>
        <rFont val="Times New Roman"/>
        <family val="1"/>
      </rPr>
      <t>SANCIÓN</t>
    </r>
  </si>
  <si>
    <t>Sanción Calculada</t>
  </si>
  <si>
    <t>SANCIÓN  =</t>
  </si>
  <si>
    <t>Pot  E.T. [MVA]</t>
  </si>
  <si>
    <t>TRAFOS 1y2</t>
  </si>
  <si>
    <t>C. DE PATAGONES</t>
  </si>
  <si>
    <t>Salida Viedma</t>
  </si>
  <si>
    <t>Tr 1, 2, 4 y 5</t>
  </si>
  <si>
    <t>Salida Conesa y SA Oeste</t>
  </si>
  <si>
    <t>Salidas Valcheta, SA Oeste y SA Este</t>
  </si>
  <si>
    <t>Alimentadores 1,2,3,5,6 y 8</t>
  </si>
  <si>
    <t>TRAFOS 1 y 2</t>
  </si>
  <si>
    <t>Alimentadores en 33 y 6,6 (2)</t>
  </si>
  <si>
    <t>Salidas en 132, 33, 13,2 (3), 6,6 (2)</t>
  </si>
  <si>
    <t>TOTAL A PENALIZAR A TRANSPA S.A. POR SUPERVISIÓN A EDERSA</t>
  </si>
  <si>
    <t>E.T. PATAGONIA - P. CASTILLO</t>
  </si>
  <si>
    <t>P. CASTILLO - VALLE HERMOSO</t>
  </si>
  <si>
    <t>VALLE HERMOSO - CERRO NEGRO</t>
  </si>
  <si>
    <t>VALLE HERMOSO</t>
  </si>
  <si>
    <t>CERRO NEGRO</t>
  </si>
  <si>
    <t>SALIDA TRAFO 4TR02</t>
  </si>
  <si>
    <t>PAMPA DEL CASTILLO</t>
  </si>
  <si>
    <t>SALIDA TRAFO 4 TR02</t>
  </si>
  <si>
    <t>SALIDA TRAFO 4 TR03</t>
  </si>
  <si>
    <r>
      <t xml:space="preserve">        RM</t>
    </r>
    <r>
      <rPr>
        <sz val="12"/>
        <rFont val="Times New Roman"/>
        <family val="1"/>
      </rPr>
      <t xml:space="preserve"> por Energía Transportada</t>
    </r>
  </si>
  <si>
    <r>
      <t xml:space="preserve">  RM</t>
    </r>
    <r>
      <rPr>
        <sz val="12"/>
        <rFont val="Times New Roman"/>
        <family val="1"/>
      </rPr>
      <t xml:space="preserve"> por Cap. Transporte</t>
    </r>
  </si>
  <si>
    <r>
      <t>RM</t>
    </r>
    <r>
      <rPr>
        <sz val="12"/>
        <rFont val="Times New Roman"/>
        <family val="1"/>
      </rPr>
      <t xml:space="preserve"> Cap. Transformación</t>
    </r>
  </si>
  <si>
    <t>Transportista Independiente TRANSACUE S.A.</t>
  </si>
  <si>
    <t>4.1.- SUPERVISIÓN - Transportista Independiente E.D.E.R.S.A.</t>
  </si>
  <si>
    <t>SALIDA ALIM Coop. C. RIVADAVIA</t>
  </si>
  <si>
    <t>SALIDA LIN PAMPA CASTILLO - EL TORDILLO</t>
  </si>
  <si>
    <t>2.2.2.- Transportista Independiente E.D.E.R.S.A.</t>
  </si>
  <si>
    <t>1.2.- Transportista Independiente E.D.E.R.S.A.</t>
  </si>
  <si>
    <t>ID EQUIPO</t>
  </si>
  <si>
    <t>INDISP</t>
  </si>
  <si>
    <t xml:space="preserve">        DE LA ELECTRICIDAD</t>
  </si>
  <si>
    <t xml:space="preserve">              DE LA ELECTRICIDAD</t>
  </si>
  <si>
    <t xml:space="preserve">           ENTE NACIONAL REGULADOR </t>
  </si>
  <si>
    <t>-</t>
  </si>
  <si>
    <t>Desde el 01 al 31 de agosto de 2014</t>
  </si>
  <si>
    <t>P</t>
  </si>
  <si>
    <t>SI</t>
  </si>
  <si>
    <t>0,000</t>
  </si>
  <si>
    <t>TRELEW - FLORENTINO AMEGHINO</t>
  </si>
  <si>
    <t>LAS HERAS - MINAS SAN JOSE</t>
  </si>
  <si>
    <t>F</t>
  </si>
  <si>
    <t>S.A. ESTE - VIEDMA</t>
  </si>
  <si>
    <t>S.A. OESTE - S.A. ESTE</t>
  </si>
  <si>
    <t>132/33/13,2</t>
  </si>
  <si>
    <t>TRAFO 3</t>
  </si>
  <si>
    <t>TRELEW</t>
  </si>
  <si>
    <t>TRAFO 4</t>
  </si>
  <si>
    <t>TRAFO 6</t>
  </si>
  <si>
    <t>1.3.- Transportista Independiente TRANSACUE S.A.</t>
  </si>
  <si>
    <t xml:space="preserve"> - </t>
  </si>
  <si>
    <t>ESQUEL - EL COIHUE</t>
  </si>
  <si>
    <t>TRAFO 5</t>
  </si>
  <si>
    <t>MINA SAN JOSE</t>
  </si>
  <si>
    <t>ALIM. MINERA SANTA CRUZ</t>
  </si>
  <si>
    <t>P. COLORADA</t>
  </si>
  <si>
    <t>SALIDA ALIM. EL SALADO</t>
  </si>
  <si>
    <t>(DTE 0814)</t>
  </si>
  <si>
    <t>4.2.- SUPERVISIÓN - Transportista Independiente TRANSACUE S.A.</t>
  </si>
  <si>
    <t>P - PROGRAMADA</t>
  </si>
  <si>
    <t>F - FORZADA</t>
  </si>
  <si>
    <t>TOTAL DE PENALIZACIONES A APLICAR</t>
  </si>
  <si>
    <t>RM* =</t>
  </si>
  <si>
    <t>ANEXO II al Memorándum  D.T.E.E.  N°  301 /2016              .-</t>
  </si>
</sst>
</file>

<file path=xl/styles.xml><?xml version="1.0" encoding="utf-8"?>
<styleSheet xmlns="http://schemas.openxmlformats.org/spreadsheetml/2006/main">
  <numFmts count="7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"/>
    <numFmt numFmtId="174" formatCode="0.0\ \k\V"/>
    <numFmt numFmtId="175" formatCode="0.00\ &quot;km&quot;"/>
    <numFmt numFmtId="176" formatCode="0.00\ &quot;MVA&quot;"/>
    <numFmt numFmtId="177" formatCode="0.000_)"/>
    <numFmt numFmtId="178" formatCode="&quot;$&quot;#,##0.00;&quot;$&quot;\-#,##0.00"/>
    <numFmt numFmtId="179" formatCode="&quot;$&quot;#,##0.00"/>
    <numFmt numFmtId="180" formatCode="#&quot;.&quot;#&quot;.-&quot;"/>
    <numFmt numFmtId="181" formatCode="#&quot;.&quot;#&quot;.&quot;#&quot;.-&quot;"/>
    <numFmt numFmtId="182" formatCode="#,##0;[Red]#,##0"/>
    <numFmt numFmtId="183" formatCode="#,##0.000000"/>
    <numFmt numFmtId="184" formatCode="#,##0.00;[Red]#,##0.00"/>
    <numFmt numFmtId="185" formatCode="dd/mm/yy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  <numFmt numFmtId="223" formatCode="[$-2C0A]dddd\,\ dd&quot; de &quot;mmmm&quot; de &quot;yyyy"/>
    <numFmt numFmtId="224" formatCode="[$-2C0A]hh:mm:ss\ AM/PM"/>
    <numFmt numFmtId="225" formatCode="&quot;$&quot;\ #,##0.0;[Red]&quot;$&quot;\ \-#,##0.0"/>
  </numFmts>
  <fonts count="10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0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11"/>
      <color indexed="12"/>
      <name val="Times New Roman"/>
      <family val="1"/>
    </font>
    <font>
      <b/>
      <u val="single"/>
      <sz val="2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MS Sans Serif"/>
      <family val="2"/>
    </font>
    <font>
      <sz val="11"/>
      <name val="MS Sans Serif"/>
      <family val="2"/>
    </font>
    <font>
      <sz val="11"/>
      <color indexed="8"/>
      <name val="MS Sans Serif"/>
      <family val="2"/>
    </font>
    <font>
      <sz val="2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u val="double"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sz val="16"/>
      <name val="MS Sans Serif"/>
      <family val="0"/>
    </font>
    <font>
      <b/>
      <i/>
      <u val="single"/>
      <sz val="10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7"/>
      <name val="MS Sans Serif"/>
      <family val="0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0"/>
    </font>
    <font>
      <sz val="11"/>
      <color indexed="48"/>
      <name val="MS Sans Serif"/>
      <family val="2"/>
    </font>
    <font>
      <sz val="10"/>
      <color indexed="48"/>
      <name val="MS Sans Serif"/>
      <family val="0"/>
    </font>
    <font>
      <sz val="10"/>
      <color indexed="48"/>
      <name val="Times New Roman"/>
      <family val="1"/>
    </font>
    <font>
      <sz val="11"/>
      <color indexed="12"/>
      <name val="MS Sans Serif"/>
      <family val="2"/>
    </font>
    <font>
      <b/>
      <sz val="10"/>
      <color indexed="12"/>
      <name val="Times New Roman"/>
      <family val="0"/>
    </font>
    <font>
      <sz val="10"/>
      <color indexed="3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MS Sans Serif"/>
      <family val="2"/>
    </font>
    <font>
      <b/>
      <sz val="10"/>
      <color indexed="9"/>
      <name val="MS Sans Serif"/>
      <family val="0"/>
    </font>
    <font>
      <sz val="10"/>
      <color indexed="9"/>
      <name val="Times New Roman"/>
      <family val="1"/>
    </font>
    <font>
      <b/>
      <sz val="10"/>
      <color indexed="8"/>
      <name val="MS Sans Serif"/>
      <family val="0"/>
    </font>
    <font>
      <b/>
      <sz val="10"/>
      <color indexed="8"/>
      <name val="Times New Roman"/>
      <family val="1"/>
    </font>
    <font>
      <sz val="12"/>
      <color indexed="9"/>
      <name val="Times New Roman"/>
      <family val="1"/>
    </font>
    <font>
      <b/>
      <sz val="10"/>
      <color indexed="48"/>
      <name val="MS Sans Serif"/>
      <family val="0"/>
    </font>
    <font>
      <b/>
      <sz val="10"/>
      <color indexed="48"/>
      <name val="Times New Roman"/>
      <family val="1"/>
    </font>
    <font>
      <b/>
      <i/>
      <sz val="10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Arial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 style="double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90" fillId="20" borderId="0" applyNumberFormat="0" applyBorder="0" applyAlignment="0" applyProtection="0"/>
    <xf numFmtId="0" fontId="91" fillId="21" borderId="1" applyNumberFormat="0" applyAlignment="0" applyProtection="0"/>
    <xf numFmtId="0" fontId="92" fillId="22" borderId="2" applyNumberFormat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0" applyNumberFormat="0" applyFill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89" fillId="26" borderId="0" applyNumberFormat="0" applyBorder="0" applyAlignment="0" applyProtection="0"/>
    <xf numFmtId="0" fontId="89" fillId="27" borderId="0" applyNumberFormat="0" applyBorder="0" applyAlignment="0" applyProtection="0"/>
    <xf numFmtId="0" fontId="89" fillId="28" borderId="0" applyNumberFormat="0" applyBorder="0" applyAlignment="0" applyProtection="0"/>
    <xf numFmtId="0" fontId="96" fillId="29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7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99" fillId="21" borderId="6" applyNumberFormat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7" applyNumberFormat="0" applyFill="0" applyAlignment="0" applyProtection="0"/>
    <xf numFmtId="0" fontId="95" fillId="0" borderId="8" applyNumberFormat="0" applyFill="0" applyAlignment="0" applyProtection="0"/>
    <xf numFmtId="0" fontId="104" fillId="0" borderId="9" applyNumberFormat="0" applyFill="0" applyAlignment="0" applyProtection="0"/>
  </cellStyleXfs>
  <cellXfs count="7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172" fontId="9" fillId="0" borderId="12" xfId="0" applyNumberFormat="1" applyFont="1" applyFill="1" applyBorder="1" applyAlignment="1" applyProtection="1">
      <alignment horizontal="center"/>
      <protection/>
    </xf>
    <xf numFmtId="2" fontId="7" fillId="0" borderId="12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68" fontId="7" fillId="0" borderId="13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68" fontId="7" fillId="0" borderId="12" xfId="0" applyNumberFormat="1" applyFont="1" applyFill="1" applyBorder="1" applyAlignment="1" applyProtection="1">
      <alignment horizontal="center"/>
      <protection/>
    </xf>
    <xf numFmtId="2" fontId="7" fillId="0" borderId="12" xfId="0" applyNumberFormat="1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 applyProtection="1">
      <alignment horizontal="center"/>
      <protection/>
    </xf>
    <xf numFmtId="168" fontId="7" fillId="0" borderId="16" xfId="0" applyNumberFormat="1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3" fillId="0" borderId="14" xfId="0" applyFont="1" applyFill="1" applyBorder="1" applyAlignment="1" applyProtection="1">
      <alignment horizontal="center"/>
      <protection/>
    </xf>
    <xf numFmtId="22" fontId="7" fillId="0" borderId="18" xfId="0" applyNumberFormat="1" applyFont="1" applyFill="1" applyBorder="1" applyAlignment="1">
      <alignment horizontal="center"/>
    </xf>
    <xf numFmtId="22" fontId="7" fillId="0" borderId="19" xfId="0" applyNumberFormat="1" applyFont="1" applyFill="1" applyBorder="1" applyAlignment="1" applyProtection="1">
      <alignment horizontal="center"/>
      <protection/>
    </xf>
    <xf numFmtId="2" fontId="7" fillId="0" borderId="16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>
      <alignment/>
    </xf>
    <xf numFmtId="0" fontId="7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16" fillId="0" borderId="0" xfId="0" applyFont="1" applyBorder="1" applyAlignment="1">
      <alignment/>
    </xf>
    <xf numFmtId="7" fontId="8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12" xfId="0" applyBorder="1" applyAlignment="1">
      <alignment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4" fontId="1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7" fontId="7" fillId="0" borderId="27" xfId="0" applyNumberFormat="1" applyFont="1" applyBorder="1" applyAlignment="1">
      <alignment horizontal="center"/>
    </xf>
    <xf numFmtId="168" fontId="7" fillId="0" borderId="0" xfId="0" applyNumberFormat="1" applyFont="1" applyBorder="1" applyAlignment="1" applyProtection="1">
      <alignment horizontal="center"/>
      <protection/>
    </xf>
    <xf numFmtId="168" fontId="7" fillId="0" borderId="0" xfId="0" applyNumberFormat="1" applyFont="1" applyBorder="1" applyAlignment="1" applyProtection="1" quotePrefix="1">
      <alignment horizontal="center"/>
      <protection/>
    </xf>
    <xf numFmtId="4" fontId="9" fillId="0" borderId="0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10" fillId="0" borderId="15" xfId="0" applyFont="1" applyFill="1" applyBorder="1" applyAlignment="1">
      <alignment/>
    </xf>
    <xf numFmtId="168" fontId="10" fillId="0" borderId="16" xfId="0" applyNumberFormat="1" applyFont="1" applyFill="1" applyBorder="1" applyAlignment="1">
      <alignment horizontal="right"/>
    </xf>
    <xf numFmtId="164" fontId="7" fillId="0" borderId="12" xfId="0" applyNumberFormat="1" applyFont="1" applyFill="1" applyBorder="1" applyAlignment="1" applyProtection="1" quotePrefix="1">
      <alignment horizontal="center"/>
      <protection/>
    </xf>
    <xf numFmtId="168" fontId="10" fillId="0" borderId="12" xfId="0" applyNumberFormat="1" applyFont="1" applyFill="1" applyBorder="1" applyAlignment="1">
      <alignment horizontal="right"/>
    </xf>
    <xf numFmtId="7" fontId="7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 quotePrefix="1">
      <alignment horizontal="center"/>
      <protection/>
    </xf>
    <xf numFmtId="2" fontId="2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8" fontId="10" fillId="0" borderId="0" xfId="0" applyNumberFormat="1" applyFont="1" applyBorder="1" applyAlignment="1" applyProtection="1">
      <alignment horizontal="left"/>
      <protection/>
    </xf>
    <xf numFmtId="2" fontId="10" fillId="0" borderId="0" xfId="0" applyNumberFormat="1" applyFont="1" applyBorder="1" applyAlignment="1" applyProtection="1">
      <alignment horizontal="center"/>
      <protection/>
    </xf>
    <xf numFmtId="5" fontId="10" fillId="0" borderId="0" xfId="0" applyNumberFormat="1" applyFont="1" applyBorder="1" applyAlignment="1" applyProtection="1">
      <alignment horizontal="center"/>
      <protection/>
    </xf>
    <xf numFmtId="0" fontId="20" fillId="0" borderId="0" xfId="0" applyFont="1" applyFill="1" applyBorder="1" applyAlignment="1">
      <alignment/>
    </xf>
    <xf numFmtId="0" fontId="0" fillId="0" borderId="0" xfId="0" applyAlignment="1">
      <alignment horizontal="centerContinuous"/>
    </xf>
    <xf numFmtId="0" fontId="15" fillId="0" borderId="0" xfId="0" applyFont="1" applyBorder="1" applyAlignment="1" applyProtection="1">
      <alignment horizontal="centerContinuous"/>
      <protection/>
    </xf>
    <xf numFmtId="0" fontId="15" fillId="0" borderId="10" xfId="0" applyFont="1" applyBorder="1" applyAlignment="1" applyProtection="1">
      <alignment horizontal="centerContinuous"/>
      <protection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28" xfId="0" applyFont="1" applyBorder="1" applyAlignment="1">
      <alignment horizontal="center" vertical="center"/>
    </xf>
    <xf numFmtId="0" fontId="26" fillId="0" borderId="28" xfId="0" applyFont="1" applyBorder="1" applyAlignment="1" applyProtection="1">
      <alignment horizontal="center" vertical="center"/>
      <protection/>
    </xf>
    <xf numFmtId="0" fontId="26" fillId="0" borderId="28" xfId="0" applyFont="1" applyBorder="1" applyAlignment="1" applyProtection="1">
      <alignment horizontal="center" vertical="center" wrapText="1"/>
      <protection/>
    </xf>
    <xf numFmtId="0" fontId="26" fillId="0" borderId="29" xfId="0" applyFont="1" applyBorder="1" applyAlignment="1" applyProtection="1">
      <alignment horizontal="center" vertical="center" wrapText="1"/>
      <protection/>
    </xf>
    <xf numFmtId="0" fontId="26" fillId="0" borderId="30" xfId="0" applyFont="1" applyBorder="1" applyAlignment="1" applyProtection="1">
      <alignment horizontal="center" vertical="center" wrapText="1"/>
      <protection/>
    </xf>
    <xf numFmtId="0" fontId="26" fillId="0" borderId="28" xfId="0" applyFont="1" applyBorder="1" applyAlignment="1">
      <alignment horizontal="center" vertical="center" wrapText="1"/>
    </xf>
    <xf numFmtId="0" fontId="26" fillId="0" borderId="11" xfId="0" applyFont="1" applyBorder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0" fillId="0" borderId="0" xfId="0" applyFont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16" fillId="0" borderId="1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 applyProtection="1">
      <alignment horizontal="centerContinuous"/>
      <protection/>
    </xf>
    <xf numFmtId="0" fontId="17" fillId="0" borderId="11" xfId="0" applyFont="1" applyBorder="1" applyAlignment="1">
      <alignment horizontal="centerContinuous"/>
    </xf>
    <xf numFmtId="0" fontId="17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3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2" fillId="0" borderId="0" xfId="0" applyFont="1" applyAlignment="1">
      <alignment horizontal="centerContinuous"/>
    </xf>
    <xf numFmtId="0" fontId="29" fillId="0" borderId="0" xfId="0" applyFont="1" applyFill="1" applyBorder="1" applyAlignment="1" applyProtection="1">
      <alignment horizontal="centerContinuous"/>
      <protection/>
    </xf>
    <xf numFmtId="0" fontId="30" fillId="0" borderId="0" xfId="0" applyNumberFormat="1" applyFont="1" applyAlignment="1">
      <alignment horizontal="left"/>
    </xf>
    <xf numFmtId="0" fontId="30" fillId="0" borderId="0" xfId="0" applyFont="1" applyBorder="1" applyAlignment="1">
      <alignment/>
    </xf>
    <xf numFmtId="0" fontId="33" fillId="0" borderId="0" xfId="0" applyFont="1" applyFill="1" applyBorder="1" applyAlignment="1" applyProtection="1">
      <alignment horizontal="left"/>
      <protection/>
    </xf>
    <xf numFmtId="0" fontId="28" fillId="0" borderId="0" xfId="0" applyFont="1" applyBorder="1" applyAlignment="1">
      <alignment/>
    </xf>
    <xf numFmtId="0" fontId="34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0" fillId="0" borderId="0" xfId="0" applyNumberForma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17" fillId="0" borderId="10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17" fillId="0" borderId="11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30" xfId="0" applyFont="1" applyBorder="1" applyAlignment="1">
      <alignment horizontal="center"/>
    </xf>
    <xf numFmtId="7" fontId="8" fillId="0" borderId="31" xfId="0" applyNumberFormat="1" applyFont="1" applyBorder="1" applyAlignment="1">
      <alignment horizontal="center"/>
    </xf>
    <xf numFmtId="0" fontId="20" fillId="0" borderId="23" xfId="0" applyFont="1" applyBorder="1" applyAlignment="1">
      <alignment/>
    </xf>
    <xf numFmtId="0" fontId="20" fillId="0" borderId="24" xfId="0" applyNumberFormat="1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4" fontId="20" fillId="0" borderId="0" xfId="0" applyNumberFormat="1" applyFont="1" applyFill="1" applyBorder="1" applyAlignment="1">
      <alignment/>
    </xf>
    <xf numFmtId="7" fontId="20" fillId="0" borderId="0" xfId="0" applyNumberFormat="1" applyFont="1" applyBorder="1" applyAlignment="1">
      <alignment/>
    </xf>
    <xf numFmtId="168" fontId="20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Continuous"/>
    </xf>
    <xf numFmtId="0" fontId="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Continuous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164" fontId="7" fillId="0" borderId="0" xfId="0" applyNumberFormat="1" applyFont="1" applyFill="1" applyBorder="1" applyAlignment="1" applyProtection="1">
      <alignment/>
      <protection/>
    </xf>
    <xf numFmtId="22" fontId="7" fillId="0" borderId="0" xfId="0" applyNumberFormat="1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31" fillId="0" borderId="0" xfId="0" applyFont="1" applyFill="1" applyAlignment="1">
      <alignment/>
    </xf>
    <xf numFmtId="0" fontId="35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left"/>
    </xf>
    <xf numFmtId="0" fontId="3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10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left"/>
      <protection/>
    </xf>
    <xf numFmtId="164" fontId="16" fillId="0" borderId="0" xfId="0" applyNumberFormat="1" applyFont="1" applyFill="1" applyBorder="1" applyAlignment="1" applyProtection="1">
      <alignment/>
      <protection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centerContinuous"/>
    </xf>
    <xf numFmtId="0" fontId="15" fillId="0" borderId="0" xfId="0" applyFont="1" applyFill="1" applyBorder="1" applyAlignment="1">
      <alignment horizontal="centerContinuous"/>
    </xf>
    <xf numFmtId="0" fontId="17" fillId="0" borderId="11" xfId="0" applyFont="1" applyFill="1" applyBorder="1" applyAlignment="1">
      <alignment horizontal="centerContinuous"/>
    </xf>
    <xf numFmtId="0" fontId="0" fillId="0" borderId="30" xfId="0" applyFont="1" applyFill="1" applyBorder="1" applyAlignment="1" applyProtection="1">
      <alignment horizontal="left"/>
      <protection/>
    </xf>
    <xf numFmtId="0" fontId="0" fillId="0" borderId="32" xfId="0" applyFont="1" applyFill="1" applyBorder="1" applyAlignment="1" applyProtection="1">
      <alignment horizontal="center"/>
      <protection/>
    </xf>
    <xf numFmtId="0" fontId="0" fillId="0" borderId="32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30" xfId="0" applyFont="1" applyFill="1" applyBorder="1" applyAlignment="1" applyProtection="1" quotePrefix="1">
      <alignment horizontal="left"/>
      <protection/>
    </xf>
    <xf numFmtId="0" fontId="0" fillId="0" borderId="29" xfId="0" applyFont="1" applyFill="1" applyBorder="1" applyAlignment="1" applyProtection="1">
      <alignment horizontal="center"/>
      <protection/>
    </xf>
    <xf numFmtId="164" fontId="0" fillId="0" borderId="28" xfId="0" applyNumberFormat="1" applyFont="1" applyFill="1" applyBorder="1" applyAlignment="1" applyProtection="1">
      <alignment horizontal="center"/>
      <protection/>
    </xf>
    <xf numFmtId="0" fontId="26" fillId="0" borderId="0" xfId="0" applyFont="1" applyFill="1" applyAlignment="1">
      <alignment/>
    </xf>
    <xf numFmtId="0" fontId="26" fillId="0" borderId="10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6" fillId="0" borderId="30" xfId="0" applyFont="1" applyFill="1" applyBorder="1" applyAlignment="1">
      <alignment horizontal="center" vertical="center"/>
    </xf>
    <xf numFmtId="0" fontId="26" fillId="0" borderId="28" xfId="0" applyFont="1" applyFill="1" applyBorder="1" applyAlignment="1" applyProtection="1">
      <alignment horizontal="center" vertical="center"/>
      <protection/>
    </xf>
    <xf numFmtId="0" fontId="26" fillId="0" borderId="28" xfId="0" applyFont="1" applyFill="1" applyBorder="1" applyAlignment="1" applyProtection="1" quotePrefix="1">
      <alignment horizontal="center" vertical="center" wrapText="1"/>
      <protection/>
    </xf>
    <xf numFmtId="0" fontId="26" fillId="0" borderId="28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 applyProtection="1" quotePrefix="1">
      <alignment horizontal="center" vertical="center"/>
      <protection/>
    </xf>
    <xf numFmtId="0" fontId="26" fillId="0" borderId="28" xfId="0" applyFont="1" applyFill="1" applyBorder="1" applyAlignment="1" applyProtection="1">
      <alignment horizontal="center" vertical="center" wrapText="1"/>
      <protection/>
    </xf>
    <xf numFmtId="0" fontId="26" fillId="0" borderId="30" xfId="0" applyFont="1" applyFill="1" applyBorder="1" applyAlignment="1" applyProtection="1">
      <alignment horizontal="center" vertical="center"/>
      <protection/>
    </xf>
    <xf numFmtId="0" fontId="26" fillId="0" borderId="28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2" fillId="0" borderId="0" xfId="0" applyFont="1" applyFill="1" applyAlignment="1">
      <alignment/>
    </xf>
    <xf numFmtId="22" fontId="7" fillId="0" borderId="0" xfId="0" applyNumberFormat="1" applyFont="1" applyBorder="1" applyAlignment="1">
      <alignment/>
    </xf>
    <xf numFmtId="171" fontId="7" fillId="0" borderId="0" xfId="0" applyNumberFormat="1" applyFont="1" applyBorder="1" applyAlignment="1">
      <alignment/>
    </xf>
    <xf numFmtId="0" fontId="7" fillId="0" borderId="0" xfId="0" applyFont="1" applyBorder="1" applyAlignment="1" quotePrefix="1">
      <alignment horizontal="center"/>
    </xf>
    <xf numFmtId="0" fontId="0" fillId="0" borderId="30" xfId="0" applyFont="1" applyBorder="1" applyAlignment="1" applyProtection="1">
      <alignment horizontal="left"/>
      <protection/>
    </xf>
    <xf numFmtId="171" fontId="0" fillId="0" borderId="33" xfId="0" applyNumberFormat="1" applyFont="1" applyBorder="1" applyAlignment="1" applyProtection="1">
      <alignment horizontal="center"/>
      <protection/>
    </xf>
    <xf numFmtId="0" fontId="0" fillId="0" borderId="30" xfId="0" applyFont="1" applyBorder="1" applyAlignment="1">
      <alignment/>
    </xf>
    <xf numFmtId="171" fontId="25" fillId="0" borderId="3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0" xfId="0" applyFont="1" applyBorder="1" applyAlignment="1">
      <alignment horizontal="left"/>
    </xf>
    <xf numFmtId="1" fontId="0" fillId="0" borderId="13" xfId="0" applyNumberFormat="1" applyFont="1" applyBorder="1" applyAlignment="1">
      <alignment horizontal="center"/>
    </xf>
    <xf numFmtId="0" fontId="26" fillId="0" borderId="31" xfId="0" applyFont="1" applyFill="1" applyBorder="1" applyAlignment="1" applyProtection="1">
      <alignment horizontal="center" vertical="center"/>
      <protection/>
    </xf>
    <xf numFmtId="168" fontId="10" fillId="0" borderId="12" xfId="0" applyNumberFormat="1" applyFont="1" applyFill="1" applyBorder="1" applyAlignment="1">
      <alignment horizontal="center"/>
    </xf>
    <xf numFmtId="0" fontId="26" fillId="0" borderId="31" xfId="0" applyFont="1" applyFill="1" applyBorder="1" applyAlignment="1" applyProtection="1">
      <alignment horizontal="center" vertical="center" wrapText="1"/>
      <protection/>
    </xf>
    <xf numFmtId="0" fontId="26" fillId="0" borderId="29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Continuous"/>
    </xf>
    <xf numFmtId="0" fontId="37" fillId="0" borderId="0" xfId="0" applyFont="1" applyFill="1" applyBorder="1" applyAlignment="1">
      <alignment/>
    </xf>
    <xf numFmtId="168" fontId="10" fillId="0" borderId="0" xfId="0" applyNumberFormat="1" applyFont="1" applyBorder="1" applyAlignment="1" applyProtection="1">
      <alignment horizontal="right"/>
      <protection/>
    </xf>
    <xf numFmtId="0" fontId="8" fillId="0" borderId="30" xfId="0" applyFont="1" applyFill="1" applyBorder="1" applyAlignment="1">
      <alignment horizontal="center"/>
    </xf>
    <xf numFmtId="0" fontId="15" fillId="0" borderId="10" xfId="0" applyFont="1" applyBorder="1" applyAlignment="1">
      <alignment horizontal="centerContinuous"/>
    </xf>
    <xf numFmtId="0" fontId="0" fillId="0" borderId="0" xfId="0" applyFont="1" applyAlignment="1" applyProtection="1">
      <alignment/>
      <protection/>
    </xf>
    <xf numFmtId="7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Continuous"/>
    </xf>
    <xf numFmtId="0" fontId="1" fillId="0" borderId="31" xfId="0" applyFont="1" applyBorder="1" applyAlignment="1" applyProtection="1">
      <alignment horizontal="centerContinuous"/>
      <protection/>
    </xf>
    <xf numFmtId="167" fontId="0" fillId="0" borderId="31" xfId="0" applyNumberFormat="1" applyFont="1" applyBorder="1" applyAlignment="1">
      <alignment horizontal="centerContinuous"/>
    </xf>
    <xf numFmtId="0" fontId="39" fillId="0" borderId="32" xfId="0" applyFont="1" applyBorder="1" applyAlignment="1">
      <alignment horizontal="center"/>
    </xf>
    <xf numFmtId="0" fontId="41" fillId="0" borderId="0" xfId="0" applyFont="1" applyBorder="1" applyAlignment="1" applyProtection="1">
      <alignment horizontal="left"/>
      <protection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 applyProtection="1">
      <alignment horizontal="left" vertical="top"/>
      <protection/>
    </xf>
    <xf numFmtId="0" fontId="42" fillId="0" borderId="0" xfId="0" applyFont="1" applyBorder="1" applyAlignment="1">
      <alignment/>
    </xf>
    <xf numFmtId="0" fontId="42" fillId="0" borderId="10" xfId="0" applyFont="1" applyBorder="1" applyAlignment="1">
      <alignment/>
    </xf>
    <xf numFmtId="0" fontId="39" fillId="0" borderId="0" xfId="0" applyFont="1" applyBorder="1" applyAlignment="1" applyProtection="1">
      <alignment horizontal="center"/>
      <protection/>
    </xf>
    <xf numFmtId="2" fontId="39" fillId="0" borderId="0" xfId="0" applyNumberFormat="1" applyFont="1" applyBorder="1" applyAlignment="1" applyProtection="1">
      <alignment horizontal="center"/>
      <protection/>
    </xf>
    <xf numFmtId="168" fontId="39" fillId="0" borderId="0" xfId="0" applyNumberFormat="1" applyFont="1" applyBorder="1" applyAlignment="1" applyProtection="1">
      <alignment horizontal="center"/>
      <protection/>
    </xf>
    <xf numFmtId="168" fontId="39" fillId="0" borderId="0" xfId="0" applyNumberFormat="1" applyFont="1" applyBorder="1" applyAlignment="1" applyProtection="1" quotePrefix="1">
      <alignment horizontal="center"/>
      <protection/>
    </xf>
    <xf numFmtId="2" fontId="43" fillId="0" borderId="0" xfId="0" applyNumberFormat="1" applyFont="1" applyBorder="1" applyAlignment="1">
      <alignment horizontal="center"/>
    </xf>
    <xf numFmtId="168" fontId="44" fillId="0" borderId="0" xfId="0" applyNumberFormat="1" applyFont="1" applyBorder="1" applyAlignment="1" applyProtection="1" quotePrefix="1">
      <alignment horizontal="center"/>
      <protection/>
    </xf>
    <xf numFmtId="4" fontId="44" fillId="0" borderId="0" xfId="0" applyNumberFormat="1" applyFont="1" applyBorder="1" applyAlignment="1">
      <alignment horizontal="center"/>
    </xf>
    <xf numFmtId="4" fontId="45" fillId="0" borderId="0" xfId="0" applyNumberFormat="1" applyFont="1" applyBorder="1" applyAlignment="1">
      <alignment horizontal="right"/>
    </xf>
    <xf numFmtId="2" fontId="42" fillId="0" borderId="11" xfId="0" applyNumberFormat="1" applyFont="1" applyBorder="1" applyAlignment="1">
      <alignment horizontal="center"/>
    </xf>
    <xf numFmtId="0" fontId="42" fillId="0" borderId="0" xfId="0" applyFont="1" applyAlignment="1">
      <alignment/>
    </xf>
    <xf numFmtId="7" fontId="11" fillId="0" borderId="28" xfId="0" applyNumberFormat="1" applyFont="1" applyFill="1" applyBorder="1" applyAlignment="1">
      <alignment horizontal="right"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0" fontId="39" fillId="0" borderId="1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7" fontId="39" fillId="0" borderId="0" xfId="0" applyNumberFormat="1" applyFont="1" applyFill="1" applyBorder="1" applyAlignment="1">
      <alignment horizontal="center"/>
    </xf>
    <xf numFmtId="7" fontId="45" fillId="0" borderId="0" xfId="0" applyNumberFormat="1" applyFont="1" applyFill="1" applyBorder="1" applyAlignment="1">
      <alignment horizontal="right"/>
    </xf>
    <xf numFmtId="0" fontId="39" fillId="0" borderId="11" xfId="0" applyFont="1" applyFill="1" applyBorder="1" applyAlignment="1">
      <alignment/>
    </xf>
    <xf numFmtId="0" fontId="46" fillId="33" borderId="28" xfId="0" applyFont="1" applyFill="1" applyBorder="1" applyAlignment="1" applyProtection="1">
      <alignment horizontal="center" vertical="center"/>
      <protection/>
    </xf>
    <xf numFmtId="0" fontId="47" fillId="33" borderId="15" xfId="0" applyFont="1" applyFill="1" applyBorder="1" applyAlignment="1">
      <alignment/>
    </xf>
    <xf numFmtId="0" fontId="47" fillId="33" borderId="12" xfId="0" applyFont="1" applyFill="1" applyBorder="1" applyAlignment="1">
      <alignment/>
    </xf>
    <xf numFmtId="168" fontId="48" fillId="33" borderId="12" xfId="0" applyNumberFormat="1" applyFont="1" applyFill="1" applyBorder="1" applyAlignment="1" applyProtection="1">
      <alignment horizontal="center"/>
      <protection/>
    </xf>
    <xf numFmtId="168" fontId="48" fillId="33" borderId="13" xfId="0" applyNumberFormat="1" applyFont="1" applyFill="1" applyBorder="1" applyAlignment="1" applyProtection="1">
      <alignment horizontal="center"/>
      <protection/>
    </xf>
    <xf numFmtId="0" fontId="48" fillId="33" borderId="15" xfId="0" applyFont="1" applyFill="1" applyBorder="1" applyAlignment="1">
      <alignment/>
    </xf>
    <xf numFmtId="0" fontId="48" fillId="33" borderId="12" xfId="0" applyFont="1" applyFill="1" applyBorder="1" applyAlignment="1">
      <alignment/>
    </xf>
    <xf numFmtId="0" fontId="48" fillId="33" borderId="13" xfId="0" applyFont="1" applyFill="1" applyBorder="1" applyAlignment="1">
      <alignment/>
    </xf>
    <xf numFmtId="171" fontId="48" fillId="33" borderId="12" xfId="0" applyNumberFormat="1" applyFont="1" applyFill="1" applyBorder="1" applyAlignment="1" applyProtection="1">
      <alignment horizontal="center"/>
      <protection/>
    </xf>
    <xf numFmtId="0" fontId="51" fillId="0" borderId="0" xfId="0" applyFont="1" applyAlignment="1">
      <alignment/>
    </xf>
    <xf numFmtId="0" fontId="10" fillId="0" borderId="10" xfId="0" applyFont="1" applyBorder="1" applyAlignment="1">
      <alignment/>
    </xf>
    <xf numFmtId="169" fontId="10" fillId="0" borderId="0" xfId="0" applyNumberFormat="1" applyFont="1" applyBorder="1" applyAlignment="1">
      <alignment horizontal="center"/>
    </xf>
    <xf numFmtId="167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0" fillId="0" borderId="0" xfId="0" applyFont="1" applyBorder="1" applyAlignment="1" applyProtection="1">
      <alignment horizontal="right"/>
      <protection/>
    </xf>
    <xf numFmtId="10" fontId="18" fillId="0" borderId="0" xfId="0" applyNumberFormat="1" applyFont="1" applyFill="1" applyBorder="1" applyAlignment="1">
      <alignment/>
    </xf>
    <xf numFmtId="167" fontId="10" fillId="0" borderId="0" xfId="0" applyNumberFormat="1" applyFont="1" applyBorder="1" applyAlignment="1">
      <alignment/>
    </xf>
    <xf numFmtId="2" fontId="10" fillId="0" borderId="11" xfId="0" applyNumberFormat="1" applyFont="1" applyBorder="1" applyAlignment="1">
      <alignment horizontal="center"/>
    </xf>
    <xf numFmtId="2" fontId="10" fillId="0" borderId="0" xfId="0" applyNumberFormat="1" applyFont="1" applyBorder="1" applyAlignment="1" applyProtection="1">
      <alignment horizontal="right"/>
      <protection/>
    </xf>
    <xf numFmtId="7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 applyProtection="1">
      <alignment horizontal="right"/>
      <protection/>
    </xf>
    <xf numFmtId="0" fontId="34" fillId="0" borderId="0" xfId="0" applyFont="1" applyBorder="1" applyAlignment="1">
      <alignment/>
    </xf>
    <xf numFmtId="7" fontId="10" fillId="0" borderId="0" xfId="0" applyNumberFormat="1" applyFont="1" applyBorder="1" applyAlignment="1" applyProtection="1">
      <alignment horizontal="center"/>
      <protection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53" fillId="34" borderId="28" xfId="0" applyFont="1" applyFill="1" applyBorder="1" applyAlignment="1">
      <alignment horizontal="center" vertical="center" wrapText="1"/>
    </xf>
    <xf numFmtId="0" fontId="54" fillId="34" borderId="15" xfId="0" applyFont="1" applyFill="1" applyBorder="1" applyAlignment="1">
      <alignment/>
    </xf>
    <xf numFmtId="0" fontId="54" fillId="34" borderId="12" xfId="0" applyFont="1" applyFill="1" applyBorder="1" applyAlignment="1">
      <alignment/>
    </xf>
    <xf numFmtId="0" fontId="53" fillId="35" borderId="28" xfId="0" applyFont="1" applyFill="1" applyBorder="1" applyAlignment="1">
      <alignment horizontal="center" vertical="center" wrapText="1"/>
    </xf>
    <xf numFmtId="0" fontId="54" fillId="35" borderId="15" xfId="0" applyFont="1" applyFill="1" applyBorder="1" applyAlignment="1">
      <alignment/>
    </xf>
    <xf numFmtId="0" fontId="54" fillId="35" borderId="12" xfId="0" applyFont="1" applyFill="1" applyBorder="1" applyAlignment="1">
      <alignment/>
    </xf>
    <xf numFmtId="0" fontId="27" fillId="36" borderId="28" xfId="0" applyFont="1" applyFill="1" applyBorder="1" applyAlignment="1" applyProtection="1">
      <alignment horizontal="centerContinuous" vertical="center" wrapText="1"/>
      <protection/>
    </xf>
    <xf numFmtId="0" fontId="25" fillId="36" borderId="29" xfId="0" applyFont="1" applyFill="1" applyBorder="1" applyAlignment="1">
      <alignment horizontal="centerContinuous"/>
    </xf>
    <xf numFmtId="0" fontId="27" fillId="36" borderId="31" xfId="0" applyFont="1" applyFill="1" applyBorder="1" applyAlignment="1">
      <alignment horizontal="centerContinuous" vertical="center"/>
    </xf>
    <xf numFmtId="0" fontId="56" fillId="36" borderId="34" xfId="0" applyFont="1" applyFill="1" applyBorder="1" applyAlignment="1">
      <alignment horizontal="center"/>
    </xf>
    <xf numFmtId="0" fontId="56" fillId="36" borderId="35" xfId="0" applyFont="1" applyFill="1" applyBorder="1" applyAlignment="1">
      <alignment/>
    </xf>
    <xf numFmtId="0" fontId="56" fillId="36" borderId="36" xfId="0" applyFont="1" applyFill="1" applyBorder="1" applyAlignment="1">
      <alignment/>
    </xf>
    <xf numFmtId="0" fontId="56" fillId="36" borderId="37" xfId="0" applyFont="1" applyFill="1" applyBorder="1" applyAlignment="1">
      <alignment horizontal="center"/>
    </xf>
    <xf numFmtId="0" fontId="56" fillId="36" borderId="38" xfId="0" applyFont="1" applyFill="1" applyBorder="1" applyAlignment="1">
      <alignment/>
    </xf>
    <xf numFmtId="0" fontId="56" fillId="36" borderId="16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27" fillId="37" borderId="28" xfId="0" applyFont="1" applyFill="1" applyBorder="1" applyAlignment="1" applyProtection="1">
      <alignment horizontal="centerContinuous" vertical="center" wrapText="1"/>
      <protection/>
    </xf>
    <xf numFmtId="0" fontId="25" fillId="37" borderId="29" xfId="0" applyFont="1" applyFill="1" applyBorder="1" applyAlignment="1">
      <alignment horizontal="centerContinuous"/>
    </xf>
    <xf numFmtId="0" fontId="27" fillId="37" borderId="31" xfId="0" applyFont="1" applyFill="1" applyBorder="1" applyAlignment="1">
      <alignment horizontal="centerContinuous" vertical="center"/>
    </xf>
    <xf numFmtId="0" fontId="56" fillId="37" borderId="34" xfId="0" applyFont="1" applyFill="1" applyBorder="1" applyAlignment="1">
      <alignment horizontal="center"/>
    </xf>
    <xf numFmtId="0" fontId="56" fillId="37" borderId="35" xfId="0" applyFont="1" applyFill="1" applyBorder="1" applyAlignment="1">
      <alignment/>
    </xf>
    <xf numFmtId="0" fontId="56" fillId="37" borderId="36" xfId="0" applyFont="1" applyFill="1" applyBorder="1" applyAlignment="1">
      <alignment/>
    </xf>
    <xf numFmtId="0" fontId="56" fillId="37" borderId="37" xfId="0" applyFont="1" applyFill="1" applyBorder="1" applyAlignment="1">
      <alignment horizontal="center"/>
    </xf>
    <xf numFmtId="0" fontId="56" fillId="37" borderId="38" xfId="0" applyFont="1" applyFill="1" applyBorder="1" applyAlignment="1">
      <alignment/>
    </xf>
    <xf numFmtId="0" fontId="56" fillId="37" borderId="16" xfId="0" applyFont="1" applyFill="1" applyBorder="1" applyAlignment="1">
      <alignment/>
    </xf>
    <xf numFmtId="0" fontId="27" fillId="36" borderId="28" xfId="0" applyFont="1" applyFill="1" applyBorder="1" applyAlignment="1">
      <alignment horizontal="center" vertical="center" wrapText="1"/>
    </xf>
    <xf numFmtId="0" fontId="27" fillId="38" borderId="28" xfId="0" applyFont="1" applyFill="1" applyBorder="1" applyAlignment="1">
      <alignment horizontal="center" vertical="center" wrapText="1"/>
    </xf>
    <xf numFmtId="0" fontId="56" fillId="38" borderId="15" xfId="0" applyFont="1" applyFill="1" applyBorder="1" applyAlignment="1">
      <alignment/>
    </xf>
    <xf numFmtId="0" fontId="56" fillId="38" borderId="12" xfId="0" applyFont="1" applyFill="1" applyBorder="1" applyAlignment="1">
      <alignment/>
    </xf>
    <xf numFmtId="0" fontId="53" fillId="39" borderId="28" xfId="0" applyFont="1" applyFill="1" applyBorder="1" applyAlignment="1">
      <alignment horizontal="center" vertical="center" wrapText="1"/>
    </xf>
    <xf numFmtId="0" fontId="54" fillId="39" borderId="15" xfId="0" applyFont="1" applyFill="1" applyBorder="1" applyAlignment="1">
      <alignment/>
    </xf>
    <xf numFmtId="0" fontId="54" fillId="39" borderId="12" xfId="0" applyFont="1" applyFill="1" applyBorder="1" applyAlignment="1">
      <alignment/>
    </xf>
    <xf numFmtId="2" fontId="52" fillId="34" borderId="28" xfId="0" applyNumberFormat="1" applyFont="1" applyFill="1" applyBorder="1" applyAlignment="1">
      <alignment horizontal="center"/>
    </xf>
    <xf numFmtId="2" fontId="52" fillId="35" borderId="28" xfId="0" applyNumberFormat="1" applyFont="1" applyFill="1" applyBorder="1" applyAlignment="1">
      <alignment horizontal="center"/>
    </xf>
    <xf numFmtId="168" fontId="57" fillId="36" borderId="28" xfId="0" applyNumberFormat="1" applyFont="1" applyFill="1" applyBorder="1" applyAlignment="1" applyProtection="1" quotePrefix="1">
      <alignment horizontal="center"/>
      <protection/>
    </xf>
    <xf numFmtId="4" fontId="57" fillId="36" borderId="28" xfId="0" applyNumberFormat="1" applyFont="1" applyFill="1" applyBorder="1" applyAlignment="1">
      <alignment horizontal="center"/>
    </xf>
    <xf numFmtId="168" fontId="57" fillId="37" borderId="28" xfId="0" applyNumberFormat="1" applyFont="1" applyFill="1" applyBorder="1" applyAlignment="1" applyProtection="1" quotePrefix="1">
      <alignment horizontal="center"/>
      <protection/>
    </xf>
    <xf numFmtId="4" fontId="57" fillId="37" borderId="28" xfId="0" applyNumberFormat="1" applyFont="1" applyFill="1" applyBorder="1" applyAlignment="1">
      <alignment horizontal="center"/>
    </xf>
    <xf numFmtId="168" fontId="57" fillId="38" borderId="28" xfId="0" applyNumberFormat="1" applyFont="1" applyFill="1" applyBorder="1" applyAlignment="1" applyProtection="1" quotePrefix="1">
      <alignment horizontal="center"/>
      <protection/>
    </xf>
    <xf numFmtId="4" fontId="52" fillId="39" borderId="28" xfId="0" applyNumberFormat="1" applyFont="1" applyFill="1" applyBorder="1" applyAlignment="1">
      <alignment horizontal="center"/>
    </xf>
    <xf numFmtId="0" fontId="53" fillId="39" borderId="28" xfId="0" applyFont="1" applyFill="1" applyBorder="1" applyAlignment="1" applyProtection="1">
      <alignment horizontal="center" vertical="center"/>
      <protection/>
    </xf>
    <xf numFmtId="0" fontId="52" fillId="39" borderId="15" xfId="0" applyFont="1" applyFill="1" applyBorder="1" applyAlignment="1">
      <alignment/>
    </xf>
    <xf numFmtId="0" fontId="52" fillId="39" borderId="12" xfId="0" applyFont="1" applyFill="1" applyBorder="1" applyAlignment="1">
      <alignment/>
    </xf>
    <xf numFmtId="4" fontId="52" fillId="39" borderId="12" xfId="0" applyNumberFormat="1" applyFont="1" applyFill="1" applyBorder="1" applyAlignment="1" applyProtection="1">
      <alignment horizontal="center"/>
      <protection/>
    </xf>
    <xf numFmtId="0" fontId="52" fillId="39" borderId="13" xfId="0" applyFont="1" applyFill="1" applyBorder="1" applyAlignment="1">
      <alignment/>
    </xf>
    <xf numFmtId="0" fontId="57" fillId="38" borderId="15" xfId="0" applyFont="1" applyFill="1" applyBorder="1" applyAlignment="1">
      <alignment/>
    </xf>
    <xf numFmtId="0" fontId="57" fillId="38" borderId="12" xfId="0" applyFont="1" applyFill="1" applyBorder="1" applyAlignment="1">
      <alignment/>
    </xf>
    <xf numFmtId="2" fontId="57" fillId="38" borderId="12" xfId="0" applyNumberFormat="1" applyFont="1" applyFill="1" applyBorder="1" applyAlignment="1">
      <alignment horizontal="center"/>
    </xf>
    <xf numFmtId="0" fontId="57" fillId="38" borderId="13" xfId="0" applyFont="1" applyFill="1" applyBorder="1" applyAlignment="1">
      <alignment/>
    </xf>
    <xf numFmtId="7" fontId="57" fillId="38" borderId="28" xfId="0" applyNumberFormat="1" applyFont="1" applyFill="1" applyBorder="1" applyAlignment="1">
      <alignment horizontal="center"/>
    </xf>
    <xf numFmtId="0" fontId="27" fillId="40" borderId="28" xfId="0" applyFont="1" applyFill="1" applyBorder="1" applyAlignment="1">
      <alignment horizontal="center" vertical="center" wrapText="1"/>
    </xf>
    <xf numFmtId="0" fontId="57" fillId="40" borderId="15" xfId="0" applyFont="1" applyFill="1" applyBorder="1" applyAlignment="1">
      <alignment/>
    </xf>
    <xf numFmtId="0" fontId="57" fillId="40" borderId="12" xfId="0" applyFont="1" applyFill="1" applyBorder="1" applyAlignment="1">
      <alignment/>
    </xf>
    <xf numFmtId="2" fontId="57" fillId="40" borderId="12" xfId="0" applyNumberFormat="1" applyFont="1" applyFill="1" applyBorder="1" applyAlignment="1">
      <alignment horizontal="center"/>
    </xf>
    <xf numFmtId="0" fontId="57" fillId="40" borderId="13" xfId="0" applyFont="1" applyFill="1" applyBorder="1" applyAlignment="1">
      <alignment/>
    </xf>
    <xf numFmtId="7" fontId="57" fillId="40" borderId="28" xfId="0" applyNumberFormat="1" applyFont="1" applyFill="1" applyBorder="1" applyAlignment="1">
      <alignment horizontal="center"/>
    </xf>
    <xf numFmtId="0" fontId="53" fillId="41" borderId="30" xfId="0" applyFont="1" applyFill="1" applyBorder="1" applyAlignment="1" applyProtection="1">
      <alignment horizontal="centerContinuous" vertical="center" wrapText="1"/>
      <protection/>
    </xf>
    <xf numFmtId="0" fontId="53" fillId="41" borderId="31" xfId="0" applyFont="1" applyFill="1" applyBorder="1" applyAlignment="1">
      <alignment horizontal="centerContinuous" vertical="center"/>
    </xf>
    <xf numFmtId="0" fontId="52" fillId="41" borderId="34" xfId="0" applyFont="1" applyFill="1" applyBorder="1" applyAlignment="1">
      <alignment horizontal="center"/>
    </xf>
    <xf numFmtId="0" fontId="52" fillId="41" borderId="36" xfId="0" applyFont="1" applyFill="1" applyBorder="1" applyAlignment="1">
      <alignment/>
    </xf>
    <xf numFmtId="0" fontId="52" fillId="41" borderId="37" xfId="0" applyFont="1" applyFill="1" applyBorder="1" applyAlignment="1">
      <alignment horizontal="center"/>
    </xf>
    <xf numFmtId="0" fontId="52" fillId="41" borderId="16" xfId="0" applyFont="1" applyFill="1" applyBorder="1" applyAlignment="1">
      <alignment/>
    </xf>
    <xf numFmtId="168" fontId="52" fillId="41" borderId="37" xfId="0" applyNumberFormat="1" applyFont="1" applyFill="1" applyBorder="1" applyAlignment="1" applyProtection="1" quotePrefix="1">
      <alignment horizontal="center"/>
      <protection/>
    </xf>
    <xf numFmtId="168" fontId="52" fillId="41" borderId="19" xfId="0" applyNumberFormat="1" applyFont="1" applyFill="1" applyBorder="1" applyAlignment="1" applyProtection="1" quotePrefix="1">
      <alignment horizontal="center"/>
      <protection/>
    </xf>
    <xf numFmtId="7" fontId="52" fillId="41" borderId="28" xfId="0" applyNumberFormat="1" applyFont="1" applyFill="1" applyBorder="1" applyAlignment="1">
      <alignment horizontal="center"/>
    </xf>
    <xf numFmtId="0" fontId="53" fillId="34" borderId="30" xfId="0" applyFont="1" applyFill="1" applyBorder="1" applyAlignment="1" applyProtection="1">
      <alignment horizontal="centerContinuous" vertical="center" wrapText="1"/>
      <protection/>
    </xf>
    <xf numFmtId="0" fontId="53" fillId="34" borderId="31" xfId="0" applyFont="1" applyFill="1" applyBorder="1" applyAlignment="1">
      <alignment horizontal="centerContinuous" vertical="center"/>
    </xf>
    <xf numFmtId="0" fontId="52" fillId="34" borderId="34" xfId="0" applyFont="1" applyFill="1" applyBorder="1" applyAlignment="1">
      <alignment horizontal="center"/>
    </xf>
    <xf numFmtId="0" fontId="52" fillId="34" borderId="36" xfId="0" applyFont="1" applyFill="1" applyBorder="1" applyAlignment="1">
      <alignment/>
    </xf>
    <xf numFmtId="0" fontId="52" fillId="34" borderId="37" xfId="0" applyFont="1" applyFill="1" applyBorder="1" applyAlignment="1">
      <alignment horizontal="center"/>
    </xf>
    <xf numFmtId="0" fontId="52" fillId="34" borderId="16" xfId="0" applyFont="1" applyFill="1" applyBorder="1" applyAlignment="1">
      <alignment/>
    </xf>
    <xf numFmtId="168" fontId="52" fillId="34" borderId="37" xfId="0" applyNumberFormat="1" applyFont="1" applyFill="1" applyBorder="1" applyAlignment="1" applyProtection="1" quotePrefix="1">
      <alignment horizontal="center"/>
      <protection/>
    </xf>
    <xf numFmtId="168" fontId="52" fillId="34" borderId="19" xfId="0" applyNumberFormat="1" applyFont="1" applyFill="1" applyBorder="1" applyAlignment="1" applyProtection="1" quotePrefix="1">
      <alignment horizontal="center"/>
      <protection/>
    </xf>
    <xf numFmtId="7" fontId="52" fillId="34" borderId="28" xfId="0" applyNumberFormat="1" applyFont="1" applyFill="1" applyBorder="1" applyAlignment="1">
      <alignment horizontal="center"/>
    </xf>
    <xf numFmtId="0" fontId="49" fillId="36" borderId="28" xfId="0" applyFont="1" applyFill="1" applyBorder="1" applyAlignment="1">
      <alignment horizontal="center" vertical="center" wrapText="1"/>
    </xf>
    <xf numFmtId="0" fontId="50" fillId="36" borderId="15" xfId="0" applyFont="1" applyFill="1" applyBorder="1" applyAlignment="1">
      <alignment/>
    </xf>
    <xf numFmtId="0" fontId="50" fillId="36" borderId="12" xfId="0" applyFont="1" applyFill="1" applyBorder="1" applyAlignment="1">
      <alignment/>
    </xf>
    <xf numFmtId="168" fontId="50" fillId="36" borderId="12" xfId="0" applyNumberFormat="1" applyFont="1" applyFill="1" applyBorder="1" applyAlignment="1" applyProtection="1" quotePrefix="1">
      <alignment horizontal="center"/>
      <protection/>
    </xf>
    <xf numFmtId="0" fontId="50" fillId="36" borderId="13" xfId="0" applyFont="1" applyFill="1" applyBorder="1" applyAlignment="1">
      <alignment/>
    </xf>
    <xf numFmtId="7" fontId="50" fillId="36" borderId="28" xfId="0" applyNumberFormat="1" applyFont="1" applyFill="1" applyBorder="1" applyAlignment="1">
      <alignment horizontal="center"/>
    </xf>
    <xf numFmtId="0" fontId="27" fillId="37" borderId="28" xfId="0" applyFont="1" applyFill="1" applyBorder="1" applyAlignment="1">
      <alignment horizontal="center" vertical="center" wrapText="1"/>
    </xf>
    <xf numFmtId="0" fontId="57" fillId="37" borderId="15" xfId="0" applyFont="1" applyFill="1" applyBorder="1" applyAlignment="1">
      <alignment/>
    </xf>
    <xf numFmtId="0" fontId="57" fillId="37" borderId="12" xfId="0" applyFont="1" applyFill="1" applyBorder="1" applyAlignment="1">
      <alignment/>
    </xf>
    <xf numFmtId="168" fontId="57" fillId="37" borderId="12" xfId="0" applyNumberFormat="1" applyFont="1" applyFill="1" applyBorder="1" applyAlignment="1" applyProtection="1" quotePrefix="1">
      <alignment horizontal="center"/>
      <protection/>
    </xf>
    <xf numFmtId="0" fontId="57" fillId="37" borderId="13" xfId="0" applyFont="1" applyFill="1" applyBorder="1" applyAlignment="1">
      <alignment/>
    </xf>
    <xf numFmtId="7" fontId="57" fillId="37" borderId="28" xfId="0" applyNumberFormat="1" applyFont="1" applyFill="1" applyBorder="1" applyAlignment="1">
      <alignment horizontal="center"/>
    </xf>
    <xf numFmtId="0" fontId="52" fillId="41" borderId="39" xfId="0" applyFont="1" applyFill="1" applyBorder="1" applyAlignment="1">
      <alignment/>
    </xf>
    <xf numFmtId="0" fontId="52" fillId="41" borderId="40" xfId="0" applyFont="1" applyFill="1" applyBorder="1" applyAlignment="1">
      <alignment/>
    </xf>
    <xf numFmtId="0" fontId="52" fillId="34" borderId="39" xfId="0" applyFont="1" applyFill="1" applyBorder="1" applyAlignment="1">
      <alignment/>
    </xf>
    <xf numFmtId="0" fontId="52" fillId="34" borderId="40" xfId="0" applyFont="1" applyFill="1" applyBorder="1" applyAlignment="1">
      <alignment/>
    </xf>
    <xf numFmtId="0" fontId="58" fillId="0" borderId="20" xfId="0" applyFont="1" applyBorder="1" applyAlignment="1">
      <alignment/>
    </xf>
    <xf numFmtId="0" fontId="53" fillId="37" borderId="28" xfId="0" applyFont="1" applyFill="1" applyBorder="1" applyAlignment="1" applyProtection="1">
      <alignment horizontal="center" vertical="center"/>
      <protection/>
    </xf>
    <xf numFmtId="164" fontId="52" fillId="37" borderId="12" xfId="0" applyNumberFormat="1" applyFont="1" applyFill="1" applyBorder="1" applyAlignment="1" applyProtection="1">
      <alignment horizontal="center"/>
      <protection/>
    </xf>
    <xf numFmtId="168" fontId="7" fillId="0" borderId="36" xfId="0" applyNumberFormat="1" applyFont="1" applyFill="1" applyBorder="1" applyAlignment="1" applyProtection="1">
      <alignment horizontal="center"/>
      <protection/>
    </xf>
    <xf numFmtId="164" fontId="52" fillId="37" borderId="15" xfId="0" applyNumberFormat="1" applyFont="1" applyFill="1" applyBorder="1" applyAlignment="1" applyProtection="1">
      <alignment horizontal="center"/>
      <protection/>
    </xf>
    <xf numFmtId="168" fontId="10" fillId="0" borderId="15" xfId="0" applyNumberFormat="1" applyFont="1" applyFill="1" applyBorder="1" applyAlignment="1">
      <alignment horizontal="center"/>
    </xf>
    <xf numFmtId="2" fontId="57" fillId="36" borderId="15" xfId="0" applyNumberFormat="1" applyFont="1" applyFill="1" applyBorder="1" applyAlignment="1">
      <alignment horizontal="center"/>
    </xf>
    <xf numFmtId="2" fontId="57" fillId="36" borderId="12" xfId="0" applyNumberFormat="1" applyFont="1" applyFill="1" applyBorder="1" applyAlignment="1">
      <alignment horizontal="center"/>
    </xf>
    <xf numFmtId="168" fontId="52" fillId="34" borderId="34" xfId="0" applyNumberFormat="1" applyFont="1" applyFill="1" applyBorder="1" applyAlignment="1" applyProtection="1" quotePrefix="1">
      <alignment horizontal="center"/>
      <protection/>
    </xf>
    <xf numFmtId="168" fontId="52" fillId="34" borderId="41" xfId="0" applyNumberFormat="1" applyFont="1" applyFill="1" applyBorder="1" applyAlignment="1" applyProtection="1" quotePrefix="1">
      <alignment horizontal="center"/>
      <protection/>
    </xf>
    <xf numFmtId="168" fontId="7" fillId="0" borderId="15" xfId="0" applyNumberFormat="1" applyFont="1" applyFill="1" applyBorder="1" applyAlignment="1" applyProtection="1">
      <alignment horizontal="center"/>
      <protection/>
    </xf>
    <xf numFmtId="0" fontId="53" fillId="39" borderId="28" xfId="0" applyFont="1" applyFill="1" applyBorder="1" applyAlignment="1" applyProtection="1">
      <alignment horizontal="centerContinuous" vertical="center" wrapText="1"/>
      <protection/>
    </xf>
    <xf numFmtId="168" fontId="52" fillId="39" borderId="15" xfId="0" applyNumberFormat="1" applyFont="1" applyFill="1" applyBorder="1" applyAlignment="1" applyProtection="1" quotePrefix="1">
      <alignment horizontal="center"/>
      <protection/>
    </xf>
    <xf numFmtId="168" fontId="52" fillId="39" borderId="12" xfId="0" applyNumberFormat="1" applyFont="1" applyFill="1" applyBorder="1" applyAlignment="1" applyProtection="1" quotePrefix="1">
      <alignment horizontal="center"/>
      <protection/>
    </xf>
    <xf numFmtId="2" fontId="57" fillId="36" borderId="28" xfId="0" applyNumberFormat="1" applyFont="1" applyFill="1" applyBorder="1" applyAlignment="1">
      <alignment horizontal="center"/>
    </xf>
    <xf numFmtId="2" fontId="52" fillId="39" borderId="28" xfId="0" applyNumberFormat="1" applyFont="1" applyFill="1" applyBorder="1" applyAlignment="1">
      <alignment horizontal="center"/>
    </xf>
    <xf numFmtId="0" fontId="59" fillId="33" borderId="15" xfId="0" applyFont="1" applyFill="1" applyBorder="1" applyAlignment="1">
      <alignment/>
    </xf>
    <xf numFmtId="0" fontId="59" fillId="33" borderId="12" xfId="0" applyFont="1" applyFill="1" applyBorder="1" applyAlignment="1">
      <alignment/>
    </xf>
    <xf numFmtId="168" fontId="60" fillId="33" borderId="12" xfId="0" applyNumberFormat="1" applyFont="1" applyFill="1" applyBorder="1" applyAlignment="1" applyProtection="1">
      <alignment horizontal="center"/>
      <protection/>
    </xf>
    <xf numFmtId="168" fontId="60" fillId="33" borderId="13" xfId="0" applyNumberFormat="1" applyFont="1" applyFill="1" applyBorder="1" applyAlignment="1" applyProtection="1">
      <alignment horizontal="center"/>
      <protection/>
    </xf>
    <xf numFmtId="2" fontId="7" fillId="0" borderId="11" xfId="0" applyNumberFormat="1" applyFont="1" applyFill="1" applyBorder="1" applyAlignment="1">
      <alignment/>
    </xf>
    <xf numFmtId="172" fontId="7" fillId="0" borderId="12" xfId="0" applyNumberFormat="1" applyFont="1" applyFill="1" applyBorder="1" applyAlignment="1" applyProtection="1">
      <alignment horizontal="center"/>
      <protection/>
    </xf>
    <xf numFmtId="173" fontId="10" fillId="0" borderId="0" xfId="0" applyNumberFormat="1" applyFont="1" applyBorder="1" applyAlignment="1">
      <alignment horizontal="center"/>
    </xf>
    <xf numFmtId="0" fontId="58" fillId="0" borderId="21" xfId="0" applyFont="1" applyBorder="1" applyAlignment="1">
      <alignment/>
    </xf>
    <xf numFmtId="0" fontId="0" fillId="0" borderId="26" xfId="0" applyBorder="1" applyAlignment="1">
      <alignment horizontal="center"/>
    </xf>
    <xf numFmtId="7" fontId="0" fillId="0" borderId="15" xfId="0" applyNumberFormat="1" applyBorder="1" applyAlignment="1">
      <alignment/>
    </xf>
    <xf numFmtId="7" fontId="10" fillId="0" borderId="15" xfId="0" applyNumberFormat="1" applyFont="1" applyFill="1" applyBorder="1" applyAlignment="1">
      <alignment horizontal="center"/>
    </xf>
    <xf numFmtId="0" fontId="61" fillId="0" borderId="0" xfId="0" applyFont="1" applyAlignment="1">
      <alignment horizontal="right" vertical="top"/>
    </xf>
    <xf numFmtId="0" fontId="19" fillId="0" borderId="0" xfId="0" applyFont="1" applyBorder="1" applyAlignment="1">
      <alignment/>
    </xf>
    <xf numFmtId="0" fontId="16" fillId="0" borderId="10" xfId="0" applyFont="1" applyBorder="1" applyAlignment="1">
      <alignment horizontal="centerContinuous"/>
    </xf>
    <xf numFmtId="0" fontId="37" fillId="0" borderId="0" xfId="0" applyFont="1" applyFill="1" applyBorder="1" applyAlignment="1">
      <alignment horizontal="centerContinuous"/>
    </xf>
    <xf numFmtId="0" fontId="37" fillId="0" borderId="0" xfId="0" applyFont="1" applyFill="1" applyAlignment="1">
      <alignment horizontal="centerContinuous"/>
    </xf>
    <xf numFmtId="0" fontId="37" fillId="0" borderId="11" xfId="0" applyFont="1" applyFill="1" applyBorder="1" applyAlignment="1">
      <alignment horizontal="centerContinuous"/>
    </xf>
    <xf numFmtId="0" fontId="15" fillId="0" borderId="11" xfId="0" applyFont="1" applyFill="1" applyBorder="1" applyAlignment="1">
      <alignment horizontal="centerContinuous"/>
    </xf>
    <xf numFmtId="0" fontId="17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5" fontId="1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42" xfId="0" applyFont="1" applyBorder="1" applyAlignment="1" applyProtection="1">
      <alignment horizontal="left"/>
      <protection/>
    </xf>
    <xf numFmtId="171" fontId="0" fillId="0" borderId="43" xfId="0" applyNumberFormat="1" applyFont="1" applyBorder="1" applyAlignment="1" applyProtection="1">
      <alignment horizontal="centerContinuous"/>
      <protection/>
    </xf>
    <xf numFmtId="0" fontId="10" fillId="0" borderId="44" xfId="0" applyFont="1" applyBorder="1" applyAlignment="1">
      <alignment horizontal="centerContinuous"/>
    </xf>
    <xf numFmtId="0" fontId="10" fillId="0" borderId="45" xfId="0" applyFont="1" applyFill="1" applyBorder="1" applyAlignment="1">
      <alignment/>
    </xf>
    <xf numFmtId="0" fontId="10" fillId="0" borderId="46" xfId="0" applyFont="1" applyBorder="1" applyAlignment="1" applyProtection="1">
      <alignment horizontal="right"/>
      <protection/>
    </xf>
    <xf numFmtId="173" fontId="10" fillId="0" borderId="47" xfId="0" applyNumberFormat="1" applyFont="1" applyBorder="1" applyAlignment="1">
      <alignment horizontal="center"/>
    </xf>
    <xf numFmtId="0" fontId="0" fillId="0" borderId="48" xfId="0" applyFont="1" applyBorder="1" applyAlignment="1">
      <alignment/>
    </xf>
    <xf numFmtId="171" fontId="25" fillId="0" borderId="49" xfId="0" applyNumberFormat="1" applyFont="1" applyBorder="1" applyAlignment="1">
      <alignment horizontal="centerContinuous"/>
    </xf>
    <xf numFmtId="0" fontId="10" fillId="0" borderId="50" xfId="0" applyFont="1" applyBorder="1" applyAlignment="1">
      <alignment horizontal="centerContinuous"/>
    </xf>
    <xf numFmtId="0" fontId="10" fillId="0" borderId="51" xfId="0" applyFont="1" applyFill="1" applyBorder="1" applyAlignment="1">
      <alignment/>
    </xf>
    <xf numFmtId="168" fontId="10" fillId="0" borderId="52" xfId="0" applyNumberFormat="1" applyFont="1" applyBorder="1" applyAlignment="1" applyProtection="1">
      <alignment horizontal="right"/>
      <protection/>
    </xf>
    <xf numFmtId="171" fontId="10" fillId="0" borderId="53" xfId="0" applyNumberFormat="1" applyFont="1" applyBorder="1" applyAlignment="1">
      <alignment horizontal="center"/>
    </xf>
    <xf numFmtId="171" fontId="10" fillId="0" borderId="0" xfId="0" applyNumberFormat="1" applyFont="1" applyBorder="1" applyAlignment="1">
      <alignment horizontal="center"/>
    </xf>
    <xf numFmtId="0" fontId="0" fillId="0" borderId="54" xfId="0" applyFont="1" applyBorder="1" applyAlignment="1">
      <alignment horizontal="left"/>
    </xf>
    <xf numFmtId="171" fontId="25" fillId="0" borderId="52" xfId="0" applyNumberFormat="1" applyFont="1" applyBorder="1" applyAlignment="1">
      <alignment horizontal="centerContinuous"/>
    </xf>
    <xf numFmtId="0" fontId="10" fillId="0" borderId="55" xfId="0" applyFont="1" applyBorder="1" applyAlignment="1">
      <alignment horizontal="centerContinuous"/>
    </xf>
    <xf numFmtId="7" fontId="10" fillId="0" borderId="0" xfId="0" applyNumberFormat="1" applyFont="1" applyBorder="1" applyAlignment="1">
      <alignment horizontal="center"/>
    </xf>
    <xf numFmtId="0" fontId="19" fillId="0" borderId="0" xfId="0" applyFont="1" applyBorder="1" applyAlignment="1" applyProtection="1">
      <alignment horizontal="left"/>
      <protection/>
    </xf>
    <xf numFmtId="7" fontId="10" fillId="0" borderId="56" xfId="0" applyNumberFormat="1" applyFont="1" applyBorder="1" applyAlignment="1">
      <alignment horizontal="center"/>
    </xf>
    <xf numFmtId="0" fontId="8" fillId="0" borderId="30" xfId="0" applyFont="1" applyBorder="1" applyAlignment="1" applyProtection="1">
      <alignment horizontal="center"/>
      <protection/>
    </xf>
    <xf numFmtId="0" fontId="10" fillId="0" borderId="57" xfId="0" applyFont="1" applyBorder="1" applyAlignment="1" applyProtection="1">
      <alignment horizontal="center"/>
      <protection/>
    </xf>
    <xf numFmtId="0" fontId="10" fillId="0" borderId="49" xfId="0" applyFont="1" applyBorder="1" applyAlignment="1" applyProtection="1">
      <alignment horizontal="center"/>
      <protection/>
    </xf>
    <xf numFmtId="2" fontId="10" fillId="0" borderId="49" xfId="0" applyNumberFormat="1" applyFont="1" applyBorder="1" applyAlignment="1" applyProtection="1">
      <alignment horizontal="center"/>
      <protection/>
    </xf>
    <xf numFmtId="168" fontId="10" fillId="0" borderId="49" xfId="0" applyNumberFormat="1" applyFont="1" applyBorder="1" applyAlignment="1" applyProtection="1">
      <alignment horizontal="center"/>
      <protection/>
    </xf>
    <xf numFmtId="7" fontId="19" fillId="0" borderId="58" xfId="0" applyNumberFormat="1" applyFont="1" applyBorder="1" applyAlignment="1">
      <alignment horizontal="center"/>
    </xf>
    <xf numFmtId="0" fontId="10" fillId="0" borderId="59" xfId="0" applyFont="1" applyBorder="1" applyAlignment="1" applyProtection="1">
      <alignment horizontal="center"/>
      <protection/>
    </xf>
    <xf numFmtId="0" fontId="10" fillId="0" borderId="60" xfId="0" applyFont="1" applyBorder="1" applyAlignment="1" applyProtection="1">
      <alignment horizontal="center"/>
      <protection/>
    </xf>
    <xf numFmtId="2" fontId="10" fillId="0" borderId="60" xfId="0" applyNumberFormat="1" applyFont="1" applyBorder="1" applyAlignment="1" applyProtection="1">
      <alignment horizontal="center"/>
      <protection/>
    </xf>
    <xf numFmtId="168" fontId="10" fillId="0" borderId="60" xfId="0" applyNumberFormat="1" applyFont="1" applyBorder="1" applyAlignment="1" applyProtection="1">
      <alignment horizontal="center"/>
      <protection/>
    </xf>
    <xf numFmtId="7" fontId="10" fillId="0" borderId="60" xfId="0" applyNumberFormat="1" applyFont="1" applyBorder="1" applyAlignment="1" applyProtection="1">
      <alignment horizontal="center"/>
      <protection/>
    </xf>
    <xf numFmtId="7" fontId="10" fillId="0" borderId="60" xfId="0" applyNumberFormat="1" applyFont="1" applyBorder="1" applyAlignment="1" applyProtection="1">
      <alignment horizontal="centerContinuous"/>
      <protection/>
    </xf>
    <xf numFmtId="0" fontId="10" fillId="0" borderId="60" xfId="0" applyFont="1" applyBorder="1" applyAlignment="1" applyProtection="1">
      <alignment horizontal="centerContinuous"/>
      <protection/>
    </xf>
    <xf numFmtId="0" fontId="10" fillId="0" borderId="60" xfId="0" applyFont="1" applyBorder="1" applyAlignment="1" applyProtection="1">
      <alignment horizontal="right"/>
      <protection/>
    </xf>
    <xf numFmtId="7" fontId="10" fillId="0" borderId="61" xfId="0" applyNumberFormat="1" applyFont="1" applyBorder="1" applyAlignment="1" applyProtection="1">
      <alignment horizontal="center"/>
      <protection/>
    </xf>
    <xf numFmtId="0" fontId="10" fillId="0" borderId="62" xfId="0" applyFont="1" applyBorder="1" applyAlignment="1" applyProtection="1">
      <alignment horizontal="center"/>
      <protection/>
    </xf>
    <xf numFmtId="0" fontId="10" fillId="0" borderId="56" xfId="0" applyFont="1" applyBorder="1" applyAlignment="1" applyProtection="1">
      <alignment horizontal="center"/>
      <protection/>
    </xf>
    <xf numFmtId="2" fontId="10" fillId="0" borderId="56" xfId="0" applyNumberFormat="1" applyFont="1" applyBorder="1" applyAlignment="1" applyProtection="1">
      <alignment horizontal="center"/>
      <protection/>
    </xf>
    <xf numFmtId="168" fontId="10" fillId="0" borderId="56" xfId="0" applyNumberFormat="1" applyFont="1" applyBorder="1" applyAlignment="1" applyProtection="1">
      <alignment horizontal="center"/>
      <protection/>
    </xf>
    <xf numFmtId="7" fontId="10" fillId="0" borderId="56" xfId="0" applyNumberFormat="1" applyFont="1" applyBorder="1" applyAlignment="1" applyProtection="1">
      <alignment horizontal="center"/>
      <protection/>
    </xf>
    <xf numFmtId="7" fontId="10" fillId="0" borderId="56" xfId="0" applyNumberFormat="1" applyFont="1" applyBorder="1" applyAlignment="1" applyProtection="1">
      <alignment horizontal="centerContinuous"/>
      <protection/>
    </xf>
    <xf numFmtId="0" fontId="10" fillId="0" borderId="56" xfId="0" applyFont="1" applyBorder="1" applyAlignment="1" applyProtection="1">
      <alignment horizontal="centerContinuous"/>
      <protection/>
    </xf>
    <xf numFmtId="0" fontId="10" fillId="0" borderId="56" xfId="0" applyFont="1" applyBorder="1" applyAlignment="1" applyProtection="1">
      <alignment horizontal="right"/>
      <protection/>
    </xf>
    <xf numFmtId="7" fontId="10" fillId="0" borderId="63" xfId="0" applyNumberFormat="1" applyFont="1" applyBorder="1" applyAlignment="1" applyProtection="1">
      <alignment horizontal="center"/>
      <protection/>
    </xf>
    <xf numFmtId="7" fontId="10" fillId="0" borderId="58" xfId="0" applyNumberFormat="1" applyFont="1" applyBorder="1" applyAlignment="1" applyProtection="1">
      <alignment horizontal="center"/>
      <protection/>
    </xf>
    <xf numFmtId="0" fontId="0" fillId="0" borderId="57" xfId="0" applyBorder="1" applyAlignment="1">
      <alignment horizontal="centerContinuous"/>
    </xf>
    <xf numFmtId="0" fontId="10" fillId="0" borderId="49" xfId="0" applyFont="1" applyBorder="1" applyAlignment="1" applyProtection="1">
      <alignment horizontal="centerContinuous"/>
      <protection/>
    </xf>
    <xf numFmtId="0" fontId="0" fillId="0" borderId="49" xfId="0" applyBorder="1" applyAlignment="1">
      <alignment horizontal="center"/>
    </xf>
    <xf numFmtId="168" fontId="10" fillId="0" borderId="57" xfId="0" applyNumberFormat="1" applyFont="1" applyBorder="1" applyAlignment="1" applyProtection="1">
      <alignment horizontal="centerContinuous"/>
      <protection/>
    </xf>
    <xf numFmtId="2" fontId="22" fillId="0" borderId="64" xfId="0" applyNumberFormat="1" applyFont="1" applyBorder="1" applyAlignment="1">
      <alignment horizontal="centerContinuous"/>
    </xf>
    <xf numFmtId="7" fontId="10" fillId="0" borderId="59" xfId="0" applyNumberFormat="1" applyFont="1" applyBorder="1" applyAlignment="1">
      <alignment horizontal="centerContinuous"/>
    </xf>
    <xf numFmtId="168" fontId="10" fillId="0" borderId="60" xfId="0" applyNumberFormat="1" applyFont="1" applyBorder="1" applyAlignment="1" applyProtection="1" quotePrefix="1">
      <alignment horizontal="center"/>
      <protection/>
    </xf>
    <xf numFmtId="7" fontId="10" fillId="0" borderId="59" xfId="0" applyNumberFormat="1" applyFont="1" applyBorder="1" applyAlignment="1" applyProtection="1">
      <alignment horizontal="centerContinuous"/>
      <protection/>
    </xf>
    <xf numFmtId="2" fontId="22" fillId="0" borderId="65" xfId="0" applyNumberFormat="1" applyFont="1" applyBorder="1" applyAlignment="1">
      <alignment horizontal="centerContinuous"/>
    </xf>
    <xf numFmtId="0" fontId="10" fillId="0" borderId="66" xfId="0" applyFont="1" applyBorder="1" applyAlignment="1" applyProtection="1">
      <alignment horizontal="center"/>
      <protection/>
    </xf>
    <xf numFmtId="7" fontId="10" fillId="0" borderId="67" xfId="0" applyNumberFormat="1" applyFont="1" applyBorder="1" applyAlignment="1" applyProtection="1">
      <alignment horizontal="center"/>
      <protection/>
    </xf>
    <xf numFmtId="7" fontId="10" fillId="0" borderId="66" xfId="0" applyNumberFormat="1" applyFont="1" applyBorder="1" applyAlignment="1">
      <alignment horizontal="centerContinuous"/>
    </xf>
    <xf numFmtId="0" fontId="10" fillId="0" borderId="0" xfId="0" applyFont="1" applyBorder="1" applyAlignment="1" applyProtection="1">
      <alignment horizontal="centerContinuous"/>
      <protection/>
    </xf>
    <xf numFmtId="7" fontId="10" fillId="0" borderId="66" xfId="0" applyNumberFormat="1" applyFont="1" applyBorder="1" applyAlignment="1" applyProtection="1">
      <alignment horizontal="centerContinuous"/>
      <protection/>
    </xf>
    <xf numFmtId="2" fontId="22" fillId="0" borderId="68" xfId="0" applyNumberFormat="1" applyFont="1" applyBorder="1" applyAlignment="1">
      <alignment horizontal="centerContinuous"/>
    </xf>
    <xf numFmtId="7" fontId="10" fillId="0" borderId="62" xfId="0" applyNumberFormat="1" applyFont="1" applyBorder="1" applyAlignment="1">
      <alignment horizontal="centerContinuous"/>
    </xf>
    <xf numFmtId="168" fontId="10" fillId="0" borderId="56" xfId="0" applyNumberFormat="1" applyFont="1" applyBorder="1" applyAlignment="1" applyProtection="1" quotePrefix="1">
      <alignment horizontal="center"/>
      <protection/>
    </xf>
    <xf numFmtId="7" fontId="10" fillId="0" borderId="62" xfId="0" applyNumberFormat="1" applyFont="1" applyBorder="1" applyAlignment="1" applyProtection="1">
      <alignment horizontal="centerContinuous"/>
      <protection/>
    </xf>
    <xf numFmtId="2" fontId="22" fillId="0" borderId="38" xfId="0" applyNumberFormat="1" applyFont="1" applyBorder="1" applyAlignment="1">
      <alignment horizontal="centerContinuous"/>
    </xf>
    <xf numFmtId="7" fontId="10" fillId="0" borderId="57" xfId="0" applyNumberFormat="1" applyFont="1" applyBorder="1" applyAlignment="1" applyProtection="1">
      <alignment horizontal="centerContinuous"/>
      <protection/>
    </xf>
    <xf numFmtId="5" fontId="8" fillId="0" borderId="30" xfId="0" applyNumberFormat="1" applyFont="1" applyBorder="1" applyAlignment="1" applyProtection="1">
      <alignment horizontal="center"/>
      <protection/>
    </xf>
    <xf numFmtId="7" fontId="8" fillId="0" borderId="31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left"/>
    </xf>
    <xf numFmtId="7" fontId="65" fillId="0" borderId="31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8" fontId="8" fillId="0" borderId="31" xfId="0" applyNumberFormat="1" applyFont="1" applyBorder="1" applyAlignment="1" applyProtection="1">
      <alignment horizontal="center"/>
      <protection/>
    </xf>
    <xf numFmtId="7" fontId="10" fillId="0" borderId="0" xfId="0" applyNumberFormat="1" applyFont="1" applyBorder="1" applyAlignment="1" applyProtection="1">
      <alignment horizontal="centerContinuous"/>
      <protection/>
    </xf>
    <xf numFmtId="2" fontId="10" fillId="0" borderId="49" xfId="0" applyNumberFormat="1" applyFont="1" applyBorder="1" applyAlignment="1" applyProtection="1">
      <alignment horizontal="centerContinuous"/>
      <protection/>
    </xf>
    <xf numFmtId="2" fontId="10" fillId="0" borderId="64" xfId="0" applyNumberFormat="1" applyFont="1" applyBorder="1" applyAlignment="1" applyProtection="1">
      <alignment horizontal="centerContinuous"/>
      <protection/>
    </xf>
    <xf numFmtId="2" fontId="10" fillId="0" borderId="60" xfId="0" applyNumberFormat="1" applyFont="1" applyBorder="1" applyAlignment="1" applyProtection="1">
      <alignment horizontal="centerContinuous"/>
      <protection/>
    </xf>
    <xf numFmtId="2" fontId="10" fillId="0" borderId="65" xfId="0" applyNumberFormat="1" applyFont="1" applyBorder="1" applyAlignment="1" applyProtection="1">
      <alignment horizontal="centerContinuous"/>
      <protection/>
    </xf>
    <xf numFmtId="2" fontId="10" fillId="0" borderId="0" xfId="0" applyNumberFormat="1" applyFont="1" applyBorder="1" applyAlignment="1" applyProtection="1">
      <alignment horizontal="centerContinuous"/>
      <protection/>
    </xf>
    <xf numFmtId="2" fontId="10" fillId="0" borderId="68" xfId="0" applyNumberFormat="1" applyFont="1" applyBorder="1" applyAlignment="1" applyProtection="1">
      <alignment horizontal="centerContinuous"/>
      <protection/>
    </xf>
    <xf numFmtId="2" fontId="10" fillId="0" borderId="56" xfId="0" applyNumberFormat="1" applyFont="1" applyBorder="1" applyAlignment="1" applyProtection="1">
      <alignment horizontal="centerContinuous"/>
      <protection/>
    </xf>
    <xf numFmtId="2" fontId="10" fillId="0" borderId="38" xfId="0" applyNumberFormat="1" applyFont="1" applyBorder="1" applyAlignment="1" applyProtection="1">
      <alignment horizontal="centerContinuous"/>
      <protection/>
    </xf>
    <xf numFmtId="0" fontId="61" fillId="0" borderId="0" xfId="0" applyFont="1" applyFill="1" applyAlignment="1">
      <alignment horizontal="right" vertical="top"/>
    </xf>
    <xf numFmtId="0" fontId="0" fillId="0" borderId="30" xfId="0" applyFont="1" applyBorder="1" applyAlignment="1" applyProtection="1">
      <alignment horizontal="center" vertical="center"/>
      <protection/>
    </xf>
    <xf numFmtId="173" fontId="0" fillId="0" borderId="30" xfId="0" applyNumberFormat="1" applyFont="1" applyBorder="1" applyAlignment="1">
      <alignment horizontal="centerContinuous" vertical="center"/>
    </xf>
    <xf numFmtId="0" fontId="1" fillId="0" borderId="31" xfId="0" applyFont="1" applyBorder="1" applyAlignment="1" applyProtection="1">
      <alignment horizontal="centerContinuous" vertical="center"/>
      <protection/>
    </xf>
    <xf numFmtId="167" fontId="0" fillId="0" borderId="31" xfId="0" applyNumberFormat="1" applyFont="1" applyBorder="1" applyAlignment="1">
      <alignment horizontal="centerContinuous" vertical="center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69" xfId="0" applyFont="1" applyBorder="1" applyAlignment="1" applyProtection="1">
      <alignment horizontal="center"/>
      <protection locked="0"/>
    </xf>
    <xf numFmtId="2" fontId="7" fillId="0" borderId="70" xfId="0" applyNumberFormat="1" applyFont="1" applyBorder="1" applyAlignment="1" applyProtection="1">
      <alignment horizontal="center"/>
      <protection locked="0"/>
    </xf>
    <xf numFmtId="0" fontId="7" fillId="0" borderId="71" xfId="0" applyFont="1" applyBorder="1" applyAlignment="1" applyProtection="1">
      <alignment/>
      <protection locked="0"/>
    </xf>
    <xf numFmtId="0" fontId="7" fillId="0" borderId="72" xfId="0" applyFont="1" applyBorder="1" applyAlignment="1" applyProtection="1">
      <alignment horizontal="center"/>
      <protection locked="0"/>
    </xf>
    <xf numFmtId="2" fontId="7" fillId="0" borderId="72" xfId="0" applyNumberFormat="1" applyFont="1" applyBorder="1" applyAlignment="1" applyProtection="1">
      <alignment horizontal="center"/>
      <protection locked="0"/>
    </xf>
    <xf numFmtId="168" fontId="7" fillId="0" borderId="13" xfId="0" applyNumberFormat="1" applyFont="1" applyBorder="1" applyAlignment="1" applyProtection="1">
      <alignment horizontal="center"/>
      <protection locked="0"/>
    </xf>
    <xf numFmtId="22" fontId="7" fillId="0" borderId="12" xfId="0" applyNumberFormat="1" applyFont="1" applyBorder="1" applyAlignment="1" applyProtection="1">
      <alignment horizontal="center"/>
      <protection locked="0"/>
    </xf>
    <xf numFmtId="168" fontId="7" fillId="0" borderId="12" xfId="0" applyNumberFormat="1" applyFont="1" applyBorder="1" applyAlignment="1" applyProtection="1">
      <alignment horizontal="center"/>
      <protection locked="0"/>
    </xf>
    <xf numFmtId="22" fontId="7" fillId="0" borderId="13" xfId="0" applyNumberFormat="1" applyFont="1" applyBorder="1" applyAlignment="1" applyProtection="1">
      <alignment horizontal="center"/>
      <protection locked="0"/>
    </xf>
    <xf numFmtId="168" fontId="52" fillId="34" borderId="13" xfId="0" applyNumberFormat="1" applyFont="1" applyFill="1" applyBorder="1" applyAlignment="1" applyProtection="1" quotePrefix="1">
      <alignment horizontal="center"/>
      <protection locked="0"/>
    </xf>
    <xf numFmtId="168" fontId="52" fillId="35" borderId="13" xfId="0" applyNumberFormat="1" applyFont="1" applyFill="1" applyBorder="1" applyAlignment="1" applyProtection="1" quotePrefix="1">
      <alignment horizontal="center"/>
      <protection locked="0"/>
    </xf>
    <xf numFmtId="168" fontId="57" fillId="36" borderId="39" xfId="0" applyNumberFormat="1" applyFont="1" applyFill="1" applyBorder="1" applyAlignment="1" applyProtection="1" quotePrefix="1">
      <alignment horizontal="center"/>
      <protection locked="0"/>
    </xf>
    <xf numFmtId="4" fontId="57" fillId="36" borderId="73" xfId="0" applyNumberFormat="1" applyFont="1" applyFill="1" applyBorder="1" applyAlignment="1" applyProtection="1">
      <alignment horizontal="center"/>
      <protection locked="0"/>
    </xf>
    <xf numFmtId="4" fontId="57" fillId="36" borderId="74" xfId="0" applyNumberFormat="1" applyFont="1" applyFill="1" applyBorder="1" applyAlignment="1" applyProtection="1">
      <alignment horizontal="center"/>
      <protection locked="0"/>
    </xf>
    <xf numFmtId="168" fontId="57" fillId="37" borderId="39" xfId="0" applyNumberFormat="1" applyFont="1" applyFill="1" applyBorder="1" applyAlignment="1" applyProtection="1" quotePrefix="1">
      <alignment horizontal="center"/>
      <protection locked="0"/>
    </xf>
    <xf numFmtId="4" fontId="57" fillId="37" borderId="73" xfId="0" applyNumberFormat="1" applyFont="1" applyFill="1" applyBorder="1" applyAlignment="1" applyProtection="1">
      <alignment horizontal="center"/>
      <protection locked="0"/>
    </xf>
    <xf numFmtId="4" fontId="57" fillId="37" borderId="74" xfId="0" applyNumberFormat="1" applyFont="1" applyFill="1" applyBorder="1" applyAlignment="1" applyProtection="1">
      <alignment horizontal="center"/>
      <protection locked="0"/>
    </xf>
    <xf numFmtId="4" fontId="57" fillId="38" borderId="13" xfId="0" applyNumberFormat="1" applyFont="1" applyFill="1" applyBorder="1" applyAlignment="1" applyProtection="1">
      <alignment horizontal="center"/>
      <protection locked="0"/>
    </xf>
    <xf numFmtId="4" fontId="52" fillId="39" borderId="13" xfId="0" applyNumberFormat="1" applyFont="1" applyFill="1" applyBorder="1" applyAlignment="1" applyProtection="1">
      <alignment horizontal="center"/>
      <protection locked="0"/>
    </xf>
    <xf numFmtId="4" fontId="7" fillId="0" borderId="13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54" fillId="34" borderId="12" xfId="0" applyFont="1" applyFill="1" applyBorder="1" applyAlignment="1" applyProtection="1">
      <alignment/>
      <protection locked="0"/>
    </xf>
    <xf numFmtId="0" fontId="54" fillId="35" borderId="12" xfId="0" applyFont="1" applyFill="1" applyBorder="1" applyAlignment="1" applyProtection="1">
      <alignment/>
      <protection locked="0"/>
    </xf>
    <xf numFmtId="0" fontId="56" fillId="36" borderId="37" xfId="0" applyFont="1" applyFill="1" applyBorder="1" applyAlignment="1" applyProtection="1">
      <alignment horizontal="center"/>
      <protection locked="0"/>
    </xf>
    <xf numFmtId="0" fontId="56" fillId="36" borderId="38" xfId="0" applyFont="1" applyFill="1" applyBorder="1" applyAlignment="1" applyProtection="1">
      <alignment/>
      <protection locked="0"/>
    </xf>
    <xf numFmtId="0" fontId="56" fillId="36" borderId="16" xfId="0" applyFont="1" applyFill="1" applyBorder="1" applyAlignment="1" applyProtection="1">
      <alignment/>
      <protection locked="0"/>
    </xf>
    <xf numFmtId="0" fontId="56" fillId="37" borderId="37" xfId="0" applyFont="1" applyFill="1" applyBorder="1" applyAlignment="1" applyProtection="1">
      <alignment horizontal="center"/>
      <protection locked="0"/>
    </xf>
    <xf numFmtId="0" fontId="56" fillId="37" borderId="38" xfId="0" applyFont="1" applyFill="1" applyBorder="1" applyAlignment="1" applyProtection="1">
      <alignment/>
      <protection locked="0"/>
    </xf>
    <xf numFmtId="0" fontId="56" fillId="37" borderId="16" xfId="0" applyFont="1" applyFill="1" applyBorder="1" applyAlignment="1" applyProtection="1">
      <alignment/>
      <protection locked="0"/>
    </xf>
    <xf numFmtId="0" fontId="56" fillId="38" borderId="12" xfId="0" applyFont="1" applyFill="1" applyBorder="1" applyAlignment="1" applyProtection="1">
      <alignment/>
      <protection locked="0"/>
    </xf>
    <xf numFmtId="0" fontId="54" fillId="39" borderId="12" xfId="0" applyFont="1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28" fillId="0" borderId="0" xfId="0" applyFont="1" applyFill="1" applyAlignment="1" applyProtection="1">
      <alignment/>
      <protection/>
    </xf>
    <xf numFmtId="0" fontId="61" fillId="0" borderId="0" xfId="0" applyFont="1" applyFill="1" applyAlignment="1" applyProtection="1">
      <alignment horizontal="right" vertical="top"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Fill="1" applyAlignment="1" applyProtection="1">
      <alignment horizontal="centerContinuous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" fillId="0" borderId="20" xfId="0" applyFont="1" applyFill="1" applyBorder="1" applyAlignment="1" applyProtection="1">
      <alignment/>
      <protection/>
    </xf>
    <xf numFmtId="0" fontId="7" fillId="0" borderId="21" xfId="0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6" fillId="0" borderId="10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11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7" fillId="0" borderId="0" xfId="0" applyFont="1" applyFill="1" applyBorder="1" applyAlignment="1" applyProtection="1">
      <alignment horizontal="centerContinuous"/>
      <protection/>
    </xf>
    <xf numFmtId="0" fontId="15" fillId="0" borderId="0" xfId="0" applyFont="1" applyFill="1" applyBorder="1" applyAlignment="1" applyProtection="1">
      <alignment horizontal="centerContinuous"/>
      <protection/>
    </xf>
    <xf numFmtId="0" fontId="17" fillId="0" borderId="0" xfId="0" applyFont="1" applyAlignment="1" applyProtection="1">
      <alignment horizontal="centerContinuous"/>
      <protection/>
    </xf>
    <xf numFmtId="0" fontId="17" fillId="0" borderId="11" xfId="0" applyFont="1" applyFill="1" applyBorder="1" applyAlignment="1" applyProtection="1">
      <alignment horizontal="centerContinuous"/>
      <protection/>
    </xf>
    <xf numFmtId="0" fontId="17" fillId="0" borderId="0" xfId="0" applyFont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 horizontal="left"/>
      <protection/>
    </xf>
    <xf numFmtId="0" fontId="0" fillId="0" borderId="32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center"/>
      <protection/>
    </xf>
    <xf numFmtId="22" fontId="7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6" fillId="0" borderId="10" xfId="0" applyFont="1" applyFill="1" applyBorder="1" applyAlignment="1" applyProtection="1">
      <alignment/>
      <protection/>
    </xf>
    <xf numFmtId="0" fontId="27" fillId="38" borderId="28" xfId="0" applyFont="1" applyFill="1" applyBorder="1" applyAlignment="1" applyProtection="1">
      <alignment horizontal="center" vertical="center" wrapText="1"/>
      <protection/>
    </xf>
    <xf numFmtId="0" fontId="27" fillId="40" borderId="28" xfId="0" applyFont="1" applyFill="1" applyBorder="1" applyAlignment="1" applyProtection="1">
      <alignment horizontal="center" vertical="center" wrapText="1"/>
      <protection/>
    </xf>
    <xf numFmtId="0" fontId="53" fillId="41" borderId="31" xfId="0" applyFont="1" applyFill="1" applyBorder="1" applyAlignment="1" applyProtection="1">
      <alignment horizontal="centerContinuous" vertical="center"/>
      <protection/>
    </xf>
    <xf numFmtId="0" fontId="53" fillId="34" borderId="31" xfId="0" applyFont="1" applyFill="1" applyBorder="1" applyAlignment="1" applyProtection="1">
      <alignment horizontal="centerContinuous" vertical="center"/>
      <protection/>
    </xf>
    <xf numFmtId="0" fontId="49" fillId="36" borderId="28" xfId="0" applyFont="1" applyFill="1" applyBorder="1" applyAlignment="1" applyProtection="1">
      <alignment horizontal="center" vertical="center" wrapText="1"/>
      <protection/>
    </xf>
    <xf numFmtId="0" fontId="27" fillId="37" borderId="28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/>
      <protection/>
    </xf>
    <xf numFmtId="0" fontId="48" fillId="33" borderId="15" xfId="0" applyFont="1" applyFill="1" applyBorder="1" applyAlignment="1" applyProtection="1">
      <alignment/>
      <protection/>
    </xf>
    <xf numFmtId="0" fontId="52" fillId="39" borderId="15" xfId="0" applyFont="1" applyFill="1" applyBorder="1" applyAlignment="1" applyProtection="1">
      <alignment/>
      <protection/>
    </xf>
    <xf numFmtId="0" fontId="57" fillId="38" borderId="15" xfId="0" applyFont="1" applyFill="1" applyBorder="1" applyAlignment="1" applyProtection="1">
      <alignment/>
      <protection/>
    </xf>
    <xf numFmtId="0" fontId="57" fillId="40" borderId="15" xfId="0" applyFont="1" applyFill="1" applyBorder="1" applyAlignment="1" applyProtection="1">
      <alignment/>
      <protection/>
    </xf>
    <xf numFmtId="0" fontId="52" fillId="41" borderId="34" xfId="0" applyFont="1" applyFill="1" applyBorder="1" applyAlignment="1" applyProtection="1">
      <alignment horizontal="center"/>
      <protection/>
    </xf>
    <xf numFmtId="0" fontId="52" fillId="41" borderId="36" xfId="0" applyFont="1" applyFill="1" applyBorder="1" applyAlignment="1" applyProtection="1">
      <alignment/>
      <protection/>
    </xf>
    <xf numFmtId="0" fontId="52" fillId="34" borderId="34" xfId="0" applyFont="1" applyFill="1" applyBorder="1" applyAlignment="1" applyProtection="1">
      <alignment horizontal="center"/>
      <protection/>
    </xf>
    <xf numFmtId="0" fontId="52" fillId="34" borderId="36" xfId="0" applyFont="1" applyFill="1" applyBorder="1" applyAlignment="1" applyProtection="1">
      <alignment/>
      <protection/>
    </xf>
    <xf numFmtId="0" fontId="50" fillId="36" borderId="15" xfId="0" applyFont="1" applyFill="1" applyBorder="1" applyAlignment="1" applyProtection="1">
      <alignment/>
      <protection/>
    </xf>
    <xf numFmtId="0" fontId="57" fillId="37" borderId="15" xfId="0" applyFont="1" applyFill="1" applyBorder="1" applyAlignment="1" applyProtection="1">
      <alignment/>
      <protection/>
    </xf>
    <xf numFmtId="7" fontId="10" fillId="0" borderId="15" xfId="0" applyNumberFormat="1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0" fontId="48" fillId="33" borderId="12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52" fillId="39" borderId="12" xfId="0" applyFont="1" applyFill="1" applyBorder="1" applyAlignment="1" applyProtection="1">
      <alignment/>
      <protection/>
    </xf>
    <xf numFmtId="0" fontId="57" fillId="38" borderId="12" xfId="0" applyFont="1" applyFill="1" applyBorder="1" applyAlignment="1" applyProtection="1">
      <alignment/>
      <protection/>
    </xf>
    <xf numFmtId="0" fontId="57" fillId="40" borderId="12" xfId="0" applyFont="1" applyFill="1" applyBorder="1" applyAlignment="1" applyProtection="1">
      <alignment/>
      <protection/>
    </xf>
    <xf numFmtId="0" fontId="52" fillId="41" borderId="37" xfId="0" applyFont="1" applyFill="1" applyBorder="1" applyAlignment="1" applyProtection="1">
      <alignment horizontal="center"/>
      <protection/>
    </xf>
    <xf numFmtId="0" fontId="52" fillId="41" borderId="16" xfId="0" applyFont="1" applyFill="1" applyBorder="1" applyAlignment="1" applyProtection="1">
      <alignment/>
      <protection/>
    </xf>
    <xf numFmtId="0" fontId="52" fillId="34" borderId="37" xfId="0" applyFont="1" applyFill="1" applyBorder="1" applyAlignment="1" applyProtection="1">
      <alignment horizontal="center"/>
      <protection/>
    </xf>
    <xf numFmtId="0" fontId="52" fillId="34" borderId="16" xfId="0" applyFont="1" applyFill="1" applyBorder="1" applyAlignment="1" applyProtection="1">
      <alignment/>
      <protection/>
    </xf>
    <xf numFmtId="0" fontId="50" fillId="36" borderId="12" xfId="0" applyFont="1" applyFill="1" applyBorder="1" applyAlignment="1" applyProtection="1">
      <alignment/>
      <protection/>
    </xf>
    <xf numFmtId="0" fontId="57" fillId="37" borderId="12" xfId="0" applyFont="1" applyFill="1" applyBorder="1" applyAlignment="1" applyProtection="1">
      <alignment/>
      <protection/>
    </xf>
    <xf numFmtId="0" fontId="10" fillId="0" borderId="16" xfId="0" applyFont="1" applyFill="1" applyBorder="1" applyAlignment="1" applyProtection="1">
      <alignment/>
      <protection/>
    </xf>
    <xf numFmtId="168" fontId="10" fillId="0" borderId="16" xfId="0" applyNumberFormat="1" applyFont="1" applyFill="1" applyBorder="1" applyAlignment="1" applyProtection="1">
      <alignment horizontal="right"/>
      <protection/>
    </xf>
    <xf numFmtId="2" fontId="7" fillId="0" borderId="11" xfId="0" applyNumberFormat="1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/>
      <protection/>
    </xf>
    <xf numFmtId="0" fontId="48" fillId="33" borderId="13" xfId="0" applyFont="1" applyFill="1" applyBorder="1" applyAlignment="1" applyProtection="1">
      <alignment/>
      <protection/>
    </xf>
    <xf numFmtId="0" fontId="10" fillId="0" borderId="27" xfId="0" applyFont="1" applyFill="1" applyBorder="1" applyAlignment="1" applyProtection="1">
      <alignment/>
      <protection/>
    </xf>
    <xf numFmtId="0" fontId="39" fillId="0" borderId="32" xfId="0" applyFont="1" applyBorder="1" applyAlignment="1" applyProtection="1">
      <alignment horizontal="center"/>
      <protection/>
    </xf>
    <xf numFmtId="7" fontId="57" fillId="38" borderId="28" xfId="0" applyNumberFormat="1" applyFont="1" applyFill="1" applyBorder="1" applyAlignment="1" applyProtection="1">
      <alignment horizontal="center"/>
      <protection/>
    </xf>
    <xf numFmtId="7" fontId="57" fillId="40" borderId="28" xfId="0" applyNumberFormat="1" applyFont="1" applyFill="1" applyBorder="1" applyAlignment="1" applyProtection="1">
      <alignment horizontal="center"/>
      <protection/>
    </xf>
    <xf numFmtId="7" fontId="52" fillId="41" borderId="28" xfId="0" applyNumberFormat="1" applyFont="1" applyFill="1" applyBorder="1" applyAlignment="1" applyProtection="1">
      <alignment horizontal="center"/>
      <protection/>
    </xf>
    <xf numFmtId="7" fontId="52" fillId="34" borderId="28" xfId="0" applyNumberFormat="1" applyFont="1" applyFill="1" applyBorder="1" applyAlignment="1" applyProtection="1">
      <alignment horizontal="center"/>
      <protection/>
    </xf>
    <xf numFmtId="7" fontId="50" fillId="36" borderId="28" xfId="0" applyNumberFormat="1" applyFont="1" applyFill="1" applyBorder="1" applyAlignment="1" applyProtection="1">
      <alignment horizontal="center"/>
      <protection/>
    </xf>
    <xf numFmtId="7" fontId="57" fillId="37" borderId="28" xfId="0" applyNumberFormat="1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/>
      <protection/>
    </xf>
    <xf numFmtId="7" fontId="11" fillId="0" borderId="28" xfId="0" applyNumberFormat="1" applyFont="1" applyFill="1" applyBorder="1" applyAlignment="1" applyProtection="1">
      <alignment horizontal="right"/>
      <protection/>
    </xf>
    <xf numFmtId="0" fontId="39" fillId="0" borderId="0" xfId="0" applyFont="1" applyFill="1" applyAlignment="1" applyProtection="1">
      <alignment/>
      <protection/>
    </xf>
    <xf numFmtId="0" fontId="39" fillId="0" borderId="10" xfId="0" applyFont="1" applyFill="1" applyBorder="1" applyAlignment="1" applyProtection="1">
      <alignment/>
      <protection/>
    </xf>
    <xf numFmtId="0" fontId="41" fillId="0" borderId="0" xfId="0" applyFont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/>
      <protection/>
    </xf>
    <xf numFmtId="7" fontId="39" fillId="0" borderId="0" xfId="0" applyNumberFormat="1" applyFont="1" applyFill="1" applyBorder="1" applyAlignment="1" applyProtection="1">
      <alignment horizontal="center"/>
      <protection/>
    </xf>
    <xf numFmtId="7" fontId="45" fillId="0" borderId="0" xfId="0" applyNumberFormat="1" applyFont="1" applyFill="1" applyBorder="1" applyAlignment="1" applyProtection="1">
      <alignment horizontal="right"/>
      <protection/>
    </xf>
    <xf numFmtId="0" fontId="39" fillId="0" borderId="11" xfId="0" applyFont="1" applyFill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7" fillId="0" borderId="23" xfId="0" applyFont="1" applyFill="1" applyBorder="1" applyAlignment="1" applyProtection="1">
      <alignment/>
      <protection/>
    </xf>
    <xf numFmtId="0" fontId="7" fillId="0" borderId="24" xfId="0" applyFont="1" applyFill="1" applyBorder="1" applyAlignment="1" applyProtection="1">
      <alignment/>
      <protection/>
    </xf>
    <xf numFmtId="0" fontId="7" fillId="0" borderId="2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"/>
      <protection locked="0"/>
    </xf>
    <xf numFmtId="165" fontId="7" fillId="0" borderId="18" xfId="0" applyNumberFormat="1" applyFont="1" applyBorder="1" applyAlignment="1" applyProtection="1" quotePrefix="1">
      <alignment horizontal="center"/>
      <protection locked="0"/>
    </xf>
    <xf numFmtId="2" fontId="7" fillId="0" borderId="18" xfId="0" applyNumberFormat="1" applyFont="1" applyBorder="1" applyAlignment="1" applyProtection="1" quotePrefix="1">
      <alignment horizontal="center"/>
      <protection locked="0"/>
    </xf>
    <xf numFmtId="0" fontId="7" fillId="0" borderId="13" xfId="0" applyFont="1" applyFill="1" applyBorder="1" applyAlignment="1" applyProtection="1">
      <alignment/>
      <protection locked="0"/>
    </xf>
    <xf numFmtId="22" fontId="7" fillId="0" borderId="12" xfId="0" applyNumberFormat="1" applyFont="1" applyFill="1" applyBorder="1" applyAlignment="1" applyProtection="1">
      <alignment horizontal="center"/>
      <protection locked="0"/>
    </xf>
    <xf numFmtId="168" fontId="7" fillId="0" borderId="12" xfId="0" applyNumberFormat="1" applyFont="1" applyFill="1" applyBorder="1" applyAlignment="1" applyProtection="1">
      <alignment horizontal="center"/>
      <protection locked="0"/>
    </xf>
    <xf numFmtId="0" fontId="52" fillId="39" borderId="13" xfId="0" applyFont="1" applyFill="1" applyBorder="1" applyAlignment="1" applyProtection="1">
      <alignment/>
      <protection locked="0"/>
    </xf>
    <xf numFmtId="0" fontId="57" fillId="38" borderId="13" xfId="0" applyFont="1" applyFill="1" applyBorder="1" applyAlignment="1" applyProtection="1">
      <alignment/>
      <protection locked="0"/>
    </xf>
    <xf numFmtId="0" fontId="57" fillId="40" borderId="13" xfId="0" applyFont="1" applyFill="1" applyBorder="1" applyAlignment="1" applyProtection="1">
      <alignment/>
      <protection locked="0"/>
    </xf>
    <xf numFmtId="0" fontId="52" fillId="41" borderId="39" xfId="0" applyFont="1" applyFill="1" applyBorder="1" applyAlignment="1" applyProtection="1">
      <alignment/>
      <protection locked="0"/>
    </xf>
    <xf numFmtId="0" fontId="52" fillId="41" borderId="40" xfId="0" applyFont="1" applyFill="1" applyBorder="1" applyAlignment="1" applyProtection="1">
      <alignment/>
      <protection locked="0"/>
    </xf>
    <xf numFmtId="0" fontId="52" fillId="34" borderId="39" xfId="0" applyFont="1" applyFill="1" applyBorder="1" applyAlignment="1" applyProtection="1">
      <alignment/>
      <protection locked="0"/>
    </xf>
    <xf numFmtId="0" fontId="52" fillId="34" borderId="40" xfId="0" applyFont="1" applyFill="1" applyBorder="1" applyAlignment="1" applyProtection="1">
      <alignment/>
      <protection locked="0"/>
    </xf>
    <xf numFmtId="0" fontId="50" fillId="36" borderId="13" xfId="0" applyFont="1" applyFill="1" applyBorder="1" applyAlignment="1" applyProtection="1">
      <alignment/>
      <protection locked="0"/>
    </xf>
    <xf numFmtId="0" fontId="57" fillId="37" borderId="13" xfId="0" applyFont="1" applyFill="1" applyBorder="1" applyAlignment="1" applyProtection="1">
      <alignment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13" fillId="0" borderId="14" xfId="0" applyFont="1" applyFill="1" applyBorder="1" applyAlignment="1" applyProtection="1">
      <alignment horizontal="center"/>
      <protection locked="0"/>
    </xf>
    <xf numFmtId="172" fontId="7" fillId="0" borderId="12" xfId="0" applyNumberFormat="1" applyFont="1" applyFill="1" applyBorder="1" applyAlignment="1" applyProtection="1">
      <alignment horizontal="center"/>
      <protection locked="0"/>
    </xf>
    <xf numFmtId="22" fontId="7" fillId="0" borderId="18" xfId="0" applyNumberFormat="1" applyFont="1" applyFill="1" applyBorder="1" applyAlignment="1" applyProtection="1">
      <alignment horizontal="center"/>
      <protection locked="0"/>
    </xf>
    <xf numFmtId="22" fontId="7" fillId="0" borderId="19" xfId="0" applyNumberFormat="1" applyFont="1" applyFill="1" applyBorder="1" applyAlignment="1" applyProtection="1">
      <alignment horizontal="center"/>
      <protection locked="0"/>
    </xf>
    <xf numFmtId="168" fontId="7" fillId="0" borderId="16" xfId="0" applyNumberFormat="1" applyFont="1" applyFill="1" applyBorder="1" applyAlignment="1" applyProtection="1">
      <alignment horizontal="center"/>
      <protection locked="0"/>
    </xf>
    <xf numFmtId="0" fontId="52" fillId="37" borderId="13" xfId="0" applyFont="1" applyFill="1" applyBorder="1" applyAlignment="1" applyProtection="1">
      <alignment/>
      <protection locked="0"/>
    </xf>
    <xf numFmtId="0" fontId="57" fillId="36" borderId="13" xfId="0" applyFont="1" applyFill="1" applyBorder="1" applyAlignment="1" applyProtection="1">
      <alignment/>
      <protection locked="0"/>
    </xf>
    <xf numFmtId="172" fontId="9" fillId="0" borderId="1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66" fillId="0" borderId="0" xfId="0" applyNumberFormat="1" applyFont="1" applyBorder="1" applyAlignment="1">
      <alignment horizontal="left"/>
    </xf>
    <xf numFmtId="168" fontId="11" fillId="0" borderId="49" xfId="0" applyNumberFormat="1" applyFont="1" applyBorder="1" applyAlignment="1" applyProtection="1">
      <alignment horizontal="center"/>
      <protection/>
    </xf>
    <xf numFmtId="168" fontId="64" fillId="0" borderId="0" xfId="0" applyNumberFormat="1" applyFont="1" applyBorder="1" applyAlignment="1" applyProtection="1" quotePrefix="1">
      <alignment horizontal="left"/>
      <protection/>
    </xf>
    <xf numFmtId="168" fontId="64" fillId="0" borderId="60" xfId="0" applyNumberFormat="1" applyFont="1" applyBorder="1" applyAlignment="1" applyProtection="1" quotePrefix="1">
      <alignment horizontal="left"/>
      <protection/>
    </xf>
    <xf numFmtId="168" fontId="64" fillId="0" borderId="56" xfId="0" applyNumberFormat="1" applyFont="1" applyBorder="1" applyAlignment="1" applyProtection="1" quotePrefix="1">
      <alignment horizontal="left"/>
      <protection/>
    </xf>
    <xf numFmtId="168" fontId="11" fillId="0" borderId="49" xfId="0" applyNumberFormat="1" applyFont="1" applyBorder="1" applyAlignment="1" applyProtection="1">
      <alignment horizontal="left"/>
      <protection/>
    </xf>
    <xf numFmtId="177" fontId="11" fillId="0" borderId="49" xfId="0" applyNumberFormat="1" applyFont="1" applyBorder="1" applyAlignment="1" applyProtection="1">
      <alignment horizontal="right"/>
      <protection/>
    </xf>
    <xf numFmtId="177" fontId="11" fillId="0" borderId="58" xfId="0" applyNumberFormat="1" applyFont="1" applyBorder="1" applyAlignment="1" applyProtection="1">
      <alignment horizontal="right"/>
      <protection/>
    </xf>
    <xf numFmtId="7" fontId="30" fillId="0" borderId="59" xfId="0" applyNumberFormat="1" applyFont="1" applyBorder="1" applyAlignment="1">
      <alignment horizontal="left"/>
    </xf>
    <xf numFmtId="0" fontId="30" fillId="0" borderId="60" xfId="0" applyFont="1" applyBorder="1" applyAlignment="1" applyProtection="1">
      <alignment horizontal="centerContinuous"/>
      <protection/>
    </xf>
    <xf numFmtId="168" fontId="30" fillId="0" borderId="60" xfId="0" applyNumberFormat="1" applyFont="1" applyBorder="1" applyAlignment="1" applyProtection="1">
      <alignment horizontal="left"/>
      <protection/>
    </xf>
    <xf numFmtId="7" fontId="30" fillId="0" borderId="66" xfId="0" applyNumberFormat="1" applyFont="1" applyBorder="1" applyAlignment="1">
      <alignment horizontal="left"/>
    </xf>
    <xf numFmtId="0" fontId="30" fillId="0" borderId="0" xfId="0" applyFont="1" applyBorder="1" applyAlignment="1" applyProtection="1">
      <alignment horizontal="centerContinuous"/>
      <protection/>
    </xf>
    <xf numFmtId="168" fontId="30" fillId="0" borderId="0" xfId="0" applyNumberFormat="1" applyFont="1" applyBorder="1" applyAlignment="1" applyProtection="1">
      <alignment horizontal="left"/>
      <protection/>
    </xf>
    <xf numFmtId="7" fontId="30" fillId="0" borderId="62" xfId="0" applyNumberFormat="1" applyFont="1" applyBorder="1" applyAlignment="1">
      <alignment horizontal="left"/>
    </xf>
    <xf numFmtId="0" fontId="30" fillId="0" borderId="56" xfId="0" applyFont="1" applyBorder="1" applyAlignment="1" applyProtection="1">
      <alignment horizontal="centerContinuous"/>
      <protection/>
    </xf>
    <xf numFmtId="168" fontId="30" fillId="0" borderId="56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 vertical="center"/>
      <protection/>
    </xf>
    <xf numFmtId="173" fontId="0" fillId="0" borderId="0" xfId="0" applyNumberFormat="1" applyFont="1" applyBorder="1" applyAlignment="1">
      <alignment horizontal="centerContinuous" vertical="center"/>
    </xf>
    <xf numFmtId="167" fontId="0" fillId="0" borderId="0" xfId="0" applyNumberFormat="1" applyFont="1" applyBorder="1" applyAlignment="1">
      <alignment horizontal="centerContinuous"/>
    </xf>
    <xf numFmtId="171" fontId="25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7" fillId="0" borderId="18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>
      <alignment horizontal="centerContinuous"/>
    </xf>
    <xf numFmtId="0" fontId="7" fillId="0" borderId="18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29" fillId="0" borderId="0" xfId="0" applyFont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horizontal="left"/>
      <protection/>
    </xf>
    <xf numFmtId="8" fontId="11" fillId="0" borderId="28" xfId="51" applyNumberFormat="1" applyFont="1" applyBorder="1" applyAlignment="1">
      <alignment horizontal="right"/>
    </xf>
    <xf numFmtId="168" fontId="7" fillId="0" borderId="12" xfId="0" applyNumberFormat="1" applyFont="1" applyBorder="1" applyAlignment="1" applyProtection="1" quotePrefix="1">
      <alignment horizontal="center"/>
      <protection/>
    </xf>
    <xf numFmtId="2" fontId="52" fillId="34" borderId="12" xfId="0" applyNumberFormat="1" applyFont="1" applyFill="1" applyBorder="1" applyAlignment="1" applyProtection="1">
      <alignment horizontal="center"/>
      <protection/>
    </xf>
    <xf numFmtId="2" fontId="52" fillId="35" borderId="12" xfId="0" applyNumberFormat="1" applyFont="1" applyFill="1" applyBorder="1" applyAlignment="1" applyProtection="1">
      <alignment horizontal="center"/>
      <protection/>
    </xf>
    <xf numFmtId="168" fontId="57" fillId="36" borderId="37" xfId="0" applyNumberFormat="1" applyFont="1" applyFill="1" applyBorder="1" applyAlignment="1" applyProtection="1" quotePrefix="1">
      <alignment horizontal="center"/>
      <protection/>
    </xf>
    <xf numFmtId="168" fontId="57" fillId="36" borderId="38" xfId="0" applyNumberFormat="1" applyFont="1" applyFill="1" applyBorder="1" applyAlignment="1" applyProtection="1" quotePrefix="1">
      <alignment horizontal="center"/>
      <protection/>
    </xf>
    <xf numFmtId="4" fontId="57" fillId="36" borderId="16" xfId="0" applyNumberFormat="1" applyFont="1" applyFill="1" applyBorder="1" applyAlignment="1" applyProtection="1">
      <alignment horizontal="center"/>
      <protection/>
    </xf>
    <xf numFmtId="168" fontId="57" fillId="37" borderId="37" xfId="0" applyNumberFormat="1" applyFont="1" applyFill="1" applyBorder="1" applyAlignment="1" applyProtection="1" quotePrefix="1">
      <alignment horizontal="center"/>
      <protection/>
    </xf>
    <xf numFmtId="168" fontId="57" fillId="37" borderId="38" xfId="0" applyNumberFormat="1" applyFont="1" applyFill="1" applyBorder="1" applyAlignment="1" applyProtection="1" quotePrefix="1">
      <alignment horizontal="center"/>
      <protection/>
    </xf>
    <xf numFmtId="4" fontId="57" fillId="37" borderId="16" xfId="0" applyNumberFormat="1" applyFont="1" applyFill="1" applyBorder="1" applyAlignment="1" applyProtection="1">
      <alignment horizontal="center"/>
      <protection/>
    </xf>
    <xf numFmtId="4" fontId="57" fillId="38" borderId="12" xfId="0" applyNumberFormat="1" applyFont="1" applyFill="1" applyBorder="1" applyAlignment="1" applyProtection="1">
      <alignment horizontal="center"/>
      <protection/>
    </xf>
    <xf numFmtId="4" fontId="52" fillId="39" borderId="12" xfId="0" applyNumberFormat="1" applyFont="1" applyFill="1" applyBorder="1" applyAlignment="1" applyProtection="1">
      <alignment horizontal="center"/>
      <protection/>
    </xf>
    <xf numFmtId="4" fontId="7" fillId="0" borderId="12" xfId="0" applyNumberFormat="1" applyFont="1" applyBorder="1" applyAlignment="1" applyProtection="1">
      <alignment horizontal="center"/>
      <protection/>
    </xf>
    <xf numFmtId="168" fontId="7" fillId="0" borderId="12" xfId="0" applyNumberFormat="1" applyFont="1" applyFill="1" applyBorder="1" applyAlignment="1" applyProtection="1" quotePrefix="1">
      <alignment horizontal="center"/>
      <protection/>
    </xf>
    <xf numFmtId="2" fontId="57" fillId="38" borderId="12" xfId="0" applyNumberFormat="1" applyFont="1" applyFill="1" applyBorder="1" applyAlignment="1" applyProtection="1">
      <alignment horizontal="center"/>
      <protection/>
    </xf>
    <xf numFmtId="2" fontId="57" fillId="40" borderId="12" xfId="0" applyNumberFormat="1" applyFont="1" applyFill="1" applyBorder="1" applyAlignment="1" applyProtection="1">
      <alignment horizontal="center"/>
      <protection/>
    </xf>
    <xf numFmtId="2" fontId="57" fillId="36" borderId="12" xfId="0" applyNumberFormat="1" applyFont="1" applyFill="1" applyBorder="1" applyAlignment="1" applyProtection="1">
      <alignment horizontal="center"/>
      <protection/>
    </xf>
    <xf numFmtId="168" fontId="7" fillId="0" borderId="12" xfId="0" applyNumberFormat="1" applyFont="1" applyBorder="1" applyAlignment="1" applyProtection="1">
      <alignment horizontal="center"/>
      <protection/>
    </xf>
    <xf numFmtId="0" fontId="55" fillId="0" borderId="0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75" xfId="0" applyFont="1" applyBorder="1" applyAlignment="1">
      <alignment/>
    </xf>
    <xf numFmtId="0" fontId="55" fillId="0" borderId="11" xfId="0" applyFont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 applyProtection="1">
      <alignment/>
      <protection/>
    </xf>
    <xf numFmtId="0" fontId="55" fillId="0" borderId="10" xfId="0" applyFont="1" applyFill="1" applyBorder="1" applyAlignment="1" applyProtection="1">
      <alignment/>
      <protection/>
    </xf>
    <xf numFmtId="0" fontId="55" fillId="0" borderId="75" xfId="0" applyFont="1" applyFill="1" applyBorder="1" applyAlignment="1" applyProtection="1">
      <alignment/>
      <protection/>
    </xf>
    <xf numFmtId="0" fontId="55" fillId="0" borderId="11" xfId="0" applyFont="1" applyFill="1" applyBorder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55" fillId="0" borderId="0" xfId="0" applyFont="1" applyFill="1" applyAlignment="1">
      <alignment/>
    </xf>
    <xf numFmtId="0" fontId="55" fillId="0" borderId="10" xfId="0" applyFont="1" applyFill="1" applyBorder="1" applyAlignment="1">
      <alignment/>
    </xf>
    <xf numFmtId="0" fontId="55" fillId="0" borderId="75" xfId="0" applyFont="1" applyFill="1" applyBorder="1" applyAlignment="1">
      <alignment/>
    </xf>
    <xf numFmtId="0" fontId="55" fillId="0" borderId="11" xfId="0" applyFont="1" applyFill="1" applyBorder="1" applyAlignment="1">
      <alignment/>
    </xf>
    <xf numFmtId="0" fontId="71" fillId="0" borderId="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0</xdr:rowOff>
    </xdr:from>
    <xdr:to>
      <xdr:col>9</xdr:col>
      <xdr:colOff>9525</xdr:colOff>
      <xdr:row>14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790825"/>
          <a:ext cx="29432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123825</xdr:colOff>
      <xdr:row>0</xdr:row>
      <xdr:rowOff>47625</xdr:rowOff>
    </xdr:from>
    <xdr:to>
      <xdr:col>1</xdr:col>
      <xdr:colOff>723900</xdr:colOff>
      <xdr:row>2</xdr:row>
      <xdr:rowOff>47625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47625"/>
          <a:ext cx="6000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161925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9525"/>
          <a:ext cx="5905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161925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5905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257175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9525"/>
          <a:ext cx="58102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0</xdr:rowOff>
    </xdr:from>
    <xdr:to>
      <xdr:col>9</xdr:col>
      <xdr:colOff>9525</xdr:colOff>
      <xdr:row>14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790825"/>
          <a:ext cx="29432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123825</xdr:colOff>
      <xdr:row>0</xdr:row>
      <xdr:rowOff>47625</xdr:rowOff>
    </xdr:from>
    <xdr:to>
      <xdr:col>1</xdr:col>
      <xdr:colOff>733425</xdr:colOff>
      <xdr:row>2</xdr:row>
      <xdr:rowOff>47625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47625"/>
          <a:ext cx="6096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S51"/>
  <sheetViews>
    <sheetView zoomScale="70" zoomScaleNormal="70" zoomScalePageLayoutView="0" workbookViewId="0" topLeftCell="A1">
      <selection activeCell="B3" sqref="B3"/>
    </sheetView>
  </sheetViews>
  <sheetFormatPr defaultColWidth="11.421875" defaultRowHeight="12.75"/>
  <cols>
    <col min="1" max="1" width="25.7109375" style="10" customWidth="1"/>
    <col min="2" max="2" width="7.7109375" style="10" customWidth="1"/>
    <col min="3" max="3" width="9.8515625" style="10" customWidth="1"/>
    <col min="4" max="4" width="10.7109375" style="10" customWidth="1"/>
    <col min="5" max="5" width="10.57421875" style="10" customWidth="1"/>
    <col min="6" max="6" width="15.7109375" style="10" customWidth="1"/>
    <col min="7" max="7" width="24.28125" style="10" customWidth="1"/>
    <col min="8" max="8" width="11.00390625" style="10" customWidth="1"/>
    <col min="9" max="9" width="15.7109375" style="10" customWidth="1"/>
    <col min="10" max="10" width="15.00390625" style="10" customWidth="1"/>
    <col min="11" max="11" width="15.7109375" style="10" customWidth="1"/>
    <col min="12" max="13" width="11.421875" style="10" customWidth="1"/>
    <col min="14" max="14" width="14.140625" style="10" customWidth="1"/>
    <col min="15" max="15" width="11.421875" style="10" customWidth="1"/>
    <col min="16" max="16" width="14.7109375" style="10" customWidth="1"/>
    <col min="17" max="17" width="11.421875" style="10" customWidth="1"/>
    <col min="18" max="18" width="12.00390625" style="10" customWidth="1"/>
    <col min="19" max="16384" width="11.421875" style="10" customWidth="1"/>
  </cols>
  <sheetData>
    <row r="1" spans="2:11" s="109" customFormat="1" ht="26.25">
      <c r="B1" s="110"/>
      <c r="K1" s="416"/>
    </row>
    <row r="2" spans="2:10" s="109" customFormat="1" ht="26.25">
      <c r="B2" s="110" t="s">
        <v>177</v>
      </c>
      <c r="C2" s="127"/>
      <c r="D2" s="111"/>
      <c r="E2" s="111"/>
      <c r="F2" s="111"/>
      <c r="G2" s="111"/>
      <c r="H2" s="111"/>
      <c r="I2" s="111"/>
      <c r="J2" s="111"/>
    </row>
    <row r="3" spans="3:19" ht="12.75">
      <c r="C3"/>
      <c r="D3" s="39"/>
      <c r="E3" s="39"/>
      <c r="F3" s="39"/>
      <c r="G3" s="39"/>
      <c r="H3" s="39"/>
      <c r="I3" s="39"/>
      <c r="J3" s="39"/>
      <c r="P3" s="8"/>
      <c r="Q3" s="8"/>
      <c r="R3" s="8"/>
      <c r="S3" s="8"/>
    </row>
    <row r="4" spans="1:19" s="112" customFormat="1" ht="11.25">
      <c r="A4" s="128" t="s">
        <v>16</v>
      </c>
      <c r="B4" s="129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</row>
    <row r="5" spans="1:19" s="112" customFormat="1" ht="11.25">
      <c r="A5" s="128" t="s">
        <v>17</v>
      </c>
      <c r="B5" s="129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</row>
    <row r="6" spans="2:19" s="109" customFormat="1" ht="26.25">
      <c r="B6" s="131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</row>
    <row r="7" spans="2:19" s="114" customFormat="1" ht="21">
      <c r="B7" s="168" t="s">
        <v>0</v>
      </c>
      <c r="C7" s="133"/>
      <c r="D7" s="134"/>
      <c r="E7" s="134"/>
      <c r="F7" s="135"/>
      <c r="G7" s="135"/>
      <c r="H7" s="135"/>
      <c r="I7" s="135"/>
      <c r="J7" s="135"/>
      <c r="K7" s="45"/>
      <c r="L7" s="45"/>
      <c r="M7" s="45"/>
      <c r="N7" s="45"/>
      <c r="O7" s="45"/>
      <c r="P7" s="45"/>
      <c r="Q7" s="45"/>
      <c r="R7" s="45"/>
      <c r="S7" s="45"/>
    </row>
    <row r="8" spans="9:19" ht="12.75"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2:19" s="114" customFormat="1" ht="21">
      <c r="B9" s="168" t="s">
        <v>1</v>
      </c>
      <c r="C9" s="133"/>
      <c r="D9" s="134"/>
      <c r="E9" s="134"/>
      <c r="F9" s="134"/>
      <c r="G9" s="134"/>
      <c r="H9" s="134"/>
      <c r="I9" s="135"/>
      <c r="J9" s="135"/>
      <c r="K9" s="45"/>
      <c r="L9" s="45"/>
      <c r="M9" s="45"/>
      <c r="N9" s="45"/>
      <c r="O9" s="45"/>
      <c r="P9" s="45"/>
      <c r="Q9" s="45"/>
      <c r="R9" s="45"/>
      <c r="S9" s="45"/>
    </row>
    <row r="10" spans="4:19" ht="12.75">
      <c r="D10" s="136"/>
      <c r="E10" s="136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2:19" s="114" customFormat="1" ht="20.25">
      <c r="B11" s="168" t="s">
        <v>175</v>
      </c>
      <c r="C11" s="85"/>
      <c r="D11" s="40"/>
      <c r="E11" s="40"/>
      <c r="F11" s="134"/>
      <c r="G11" s="134"/>
      <c r="H11" s="134"/>
      <c r="I11" s="135"/>
      <c r="J11" s="135"/>
      <c r="K11" s="45"/>
      <c r="L11" s="45"/>
      <c r="M11" s="45"/>
      <c r="N11" s="45"/>
      <c r="O11" s="45"/>
      <c r="P11" s="45"/>
      <c r="Q11" s="45"/>
      <c r="R11" s="45"/>
      <c r="S11" s="45"/>
    </row>
    <row r="12" spans="4:19" s="137" customFormat="1" ht="16.5" thickBot="1">
      <c r="D12" s="7"/>
      <c r="E12" s="7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</row>
    <row r="13" spans="2:19" s="137" customFormat="1" ht="16.5" thickTop="1">
      <c r="B13" s="389">
        <v>1</v>
      </c>
      <c r="C13" s="412"/>
      <c r="D13" s="139"/>
      <c r="E13" s="139"/>
      <c r="F13" s="139"/>
      <c r="G13" s="139"/>
      <c r="H13" s="139"/>
      <c r="I13" s="139"/>
      <c r="J13" s="140"/>
      <c r="K13" s="138"/>
      <c r="L13" s="138"/>
      <c r="M13" s="138"/>
      <c r="N13" s="138"/>
      <c r="O13" s="138"/>
      <c r="P13" s="138"/>
      <c r="Q13" s="138"/>
      <c r="R13" s="138"/>
      <c r="S13" s="138"/>
    </row>
    <row r="14" spans="2:19" s="121" customFormat="1" ht="19.5">
      <c r="B14" s="238" t="s">
        <v>149</v>
      </c>
      <c r="C14" s="141"/>
      <c r="D14" s="142"/>
      <c r="E14" s="143"/>
      <c r="F14" s="143"/>
      <c r="G14" s="143"/>
      <c r="H14" s="143"/>
      <c r="I14" s="117"/>
      <c r="J14" s="120"/>
      <c r="K14" s="47"/>
      <c r="L14" s="47"/>
      <c r="M14" s="47"/>
      <c r="N14" s="47"/>
      <c r="O14" s="47"/>
      <c r="P14" s="47"/>
      <c r="Q14" s="47"/>
      <c r="R14" s="47"/>
      <c r="S14" s="47"/>
    </row>
    <row r="15" spans="2:19" s="121" customFormat="1" ht="9" customHeight="1">
      <c r="B15" s="144"/>
      <c r="C15" s="145"/>
      <c r="D15" s="145"/>
      <c r="E15" s="47"/>
      <c r="F15" s="146"/>
      <c r="G15" s="146"/>
      <c r="H15" s="146"/>
      <c r="I15" s="47"/>
      <c r="J15" s="147"/>
      <c r="K15" s="47"/>
      <c r="L15" s="47"/>
      <c r="M15" s="47"/>
      <c r="N15" s="47"/>
      <c r="O15" s="47"/>
      <c r="P15" s="47"/>
      <c r="Q15" s="47"/>
      <c r="R15" s="47"/>
      <c r="S15" s="47"/>
    </row>
    <row r="16" spans="2:18" s="121" customFormat="1" ht="9" customHeight="1">
      <c r="B16" s="238">
        <f>IF(B13=2,"Sanciones duplicadas por tasa de falla &gt; 4 Sal. x año/100km.","")</f>
      </c>
      <c r="C16" s="241"/>
      <c r="D16" s="241"/>
      <c r="E16" s="117"/>
      <c r="F16" s="143"/>
      <c r="G16" s="143"/>
      <c r="H16" s="117"/>
      <c r="I16" s="85"/>
      <c r="J16" s="120"/>
      <c r="K16" s="47"/>
      <c r="L16" s="47"/>
      <c r="M16" s="47"/>
      <c r="N16" s="47"/>
      <c r="O16" s="47"/>
      <c r="P16" s="47"/>
      <c r="Q16" s="47"/>
      <c r="R16" s="47"/>
    </row>
    <row r="17" spans="2:18" s="121" customFormat="1" ht="9" customHeight="1">
      <c r="B17" s="144"/>
      <c r="C17" s="145"/>
      <c r="D17" s="145"/>
      <c r="E17" s="47"/>
      <c r="F17" s="146"/>
      <c r="G17" s="146"/>
      <c r="H17" s="47"/>
      <c r="I17"/>
      <c r="J17" s="147"/>
      <c r="K17" s="47"/>
      <c r="L17" s="47"/>
      <c r="M17" s="47"/>
      <c r="N17" s="47"/>
      <c r="O17" s="47"/>
      <c r="P17" s="47"/>
      <c r="Q17" s="47"/>
      <c r="R17" s="47"/>
    </row>
    <row r="18" spans="2:19" s="121" customFormat="1" ht="19.5">
      <c r="B18" s="144"/>
      <c r="C18" s="148" t="s">
        <v>18</v>
      </c>
      <c r="D18" s="149" t="s">
        <v>19</v>
      </c>
      <c r="E18" s="47"/>
      <c r="F18" s="146"/>
      <c r="G18" s="146"/>
      <c r="H18" s="146"/>
      <c r="I18" s="46"/>
      <c r="J18" s="147"/>
      <c r="K18" s="47"/>
      <c r="L18" s="47"/>
      <c r="M18" s="47"/>
      <c r="N18" s="47"/>
      <c r="O18" s="47"/>
      <c r="P18" s="47"/>
      <c r="Q18" s="47"/>
      <c r="R18" s="47"/>
      <c r="S18" s="47"/>
    </row>
    <row r="19" spans="2:19" s="121" customFormat="1" ht="19.5">
      <c r="B19" s="144"/>
      <c r="C19"/>
      <c r="D19" s="148" t="s">
        <v>20</v>
      </c>
      <c r="E19" s="149" t="s">
        <v>21</v>
      </c>
      <c r="F19" s="146"/>
      <c r="G19" s="146"/>
      <c r="H19" s="146"/>
      <c r="I19" s="46">
        <f>'LI-08 (1)'!AA40</f>
        <v>1388.06</v>
      </c>
      <c r="J19" s="147"/>
      <c r="K19" s="47"/>
      <c r="L19" s="47"/>
      <c r="M19" s="47"/>
      <c r="N19" s="47"/>
      <c r="O19" s="47"/>
      <c r="P19" s="47"/>
      <c r="Q19" s="47"/>
      <c r="R19" s="47"/>
      <c r="S19" s="47"/>
    </row>
    <row r="20" spans="2:19" s="121" customFormat="1" ht="19.5">
      <c r="B20" s="144"/>
      <c r="C20" s="148"/>
      <c r="D20" s="148" t="s">
        <v>22</v>
      </c>
      <c r="E20" s="149" t="s">
        <v>23</v>
      </c>
      <c r="F20" s="146"/>
      <c r="G20" s="146"/>
      <c r="H20" s="146"/>
      <c r="I20" s="46">
        <f>'LI-EDERSA-08 (1)'!AA43</f>
        <v>24593.76</v>
      </c>
      <c r="J20" s="147"/>
      <c r="K20" s="47"/>
      <c r="L20" s="47"/>
      <c r="M20" s="47"/>
      <c r="N20" s="47"/>
      <c r="O20" s="47"/>
      <c r="P20" s="47"/>
      <c r="Q20" s="47"/>
      <c r="R20" s="47"/>
      <c r="S20" s="47"/>
    </row>
    <row r="21" spans="2:19" s="121" customFormat="1" ht="19.5">
      <c r="B21" s="144"/>
      <c r="C21" s="148"/>
      <c r="D21" s="148" t="s">
        <v>24</v>
      </c>
      <c r="E21" s="149" t="s">
        <v>137</v>
      </c>
      <c r="F21" s="146"/>
      <c r="G21" s="146"/>
      <c r="H21" s="146"/>
      <c r="I21" s="46">
        <f>'LI-TRANSACUE-08 (1)'!AA43</f>
        <v>14770.75</v>
      </c>
      <c r="J21" s="147"/>
      <c r="K21" s="47"/>
      <c r="L21" s="47"/>
      <c r="M21" s="47"/>
      <c r="N21" s="47"/>
      <c r="O21" s="47"/>
      <c r="P21" s="47"/>
      <c r="Q21" s="47"/>
      <c r="R21" s="47"/>
      <c r="S21" s="47"/>
    </row>
    <row r="22" spans="2:19" ht="13.5">
      <c r="B22" s="44"/>
      <c r="C22" s="150"/>
      <c r="D22" s="151"/>
      <c r="E22" s="8"/>
      <c r="F22" s="152"/>
      <c r="G22" s="152"/>
      <c r="H22" s="152"/>
      <c r="I22" s="153"/>
      <c r="J22" s="11"/>
      <c r="K22" s="8"/>
      <c r="L22" s="8"/>
      <c r="M22" s="8"/>
      <c r="N22" s="8"/>
      <c r="O22" s="8"/>
      <c r="P22" s="8"/>
      <c r="Q22" s="8"/>
      <c r="R22" s="8"/>
      <c r="S22" s="8"/>
    </row>
    <row r="23" spans="2:19" s="121" customFormat="1" ht="19.5">
      <c r="B23" s="144"/>
      <c r="C23" s="148" t="s">
        <v>25</v>
      </c>
      <c r="D23" s="149" t="s">
        <v>26</v>
      </c>
      <c r="E23" s="47"/>
      <c r="F23" s="146"/>
      <c r="G23" s="146"/>
      <c r="H23" s="146"/>
      <c r="I23" s="46"/>
      <c r="J23" s="147"/>
      <c r="K23" s="47"/>
      <c r="L23" s="47"/>
      <c r="M23" s="47"/>
      <c r="N23" s="47"/>
      <c r="O23" s="47"/>
      <c r="P23" s="47"/>
      <c r="Q23" s="47"/>
      <c r="R23" s="47"/>
      <c r="S23" s="47"/>
    </row>
    <row r="24" spans="2:19" ht="8.25" customHeight="1">
      <c r="B24" s="44"/>
      <c r="C24" s="150"/>
      <c r="D24" s="150"/>
      <c r="E24" s="8"/>
      <c r="F24" s="152"/>
      <c r="G24" s="152"/>
      <c r="H24" s="152"/>
      <c r="I24" s="154"/>
      <c r="J24" s="11"/>
      <c r="K24" s="8"/>
      <c r="L24" s="8"/>
      <c r="M24" s="8"/>
      <c r="N24" s="8"/>
      <c r="O24" s="8"/>
      <c r="P24" s="8"/>
      <c r="Q24" s="8"/>
      <c r="R24" s="8"/>
      <c r="S24" s="8"/>
    </row>
    <row r="25" spans="2:19" s="121" customFormat="1" ht="19.5">
      <c r="B25" s="144"/>
      <c r="C25" s="148"/>
      <c r="D25" s="148" t="s">
        <v>27</v>
      </c>
      <c r="E25" s="9" t="s">
        <v>28</v>
      </c>
      <c r="F25" s="146"/>
      <c r="G25" s="146"/>
      <c r="H25" s="146"/>
      <c r="I25" s="46"/>
      <c r="J25" s="147"/>
      <c r="K25" s="47"/>
      <c r="L25" s="47"/>
      <c r="M25" s="47"/>
      <c r="N25" s="47"/>
      <c r="O25" s="47"/>
      <c r="P25" s="47"/>
      <c r="Q25" s="47"/>
      <c r="R25" s="47"/>
      <c r="S25" s="47"/>
    </row>
    <row r="26" spans="2:19" s="121" customFormat="1" ht="19.5">
      <c r="B26" s="144"/>
      <c r="C26" s="148"/>
      <c r="D26" s="148"/>
      <c r="E26" s="148" t="s">
        <v>29</v>
      </c>
      <c r="F26" s="149" t="s">
        <v>21</v>
      </c>
      <c r="G26" s="146"/>
      <c r="H26" s="146"/>
      <c r="I26" s="46">
        <f>'TR-08 (1)'!AC45</f>
        <v>50.82</v>
      </c>
      <c r="J26" s="147"/>
      <c r="K26" s="47"/>
      <c r="L26" s="47"/>
      <c r="M26" s="47"/>
      <c r="N26" s="47"/>
      <c r="O26" s="47"/>
      <c r="P26" s="47"/>
      <c r="Q26" s="47"/>
      <c r="R26" s="47"/>
      <c r="S26" s="47"/>
    </row>
    <row r="27" spans="2:19" s="121" customFormat="1" ht="19.5">
      <c r="B27" s="144"/>
      <c r="C27" s="148"/>
      <c r="D27" s="148"/>
      <c r="E27" s="148" t="s">
        <v>30</v>
      </c>
      <c r="F27" s="149" t="s">
        <v>23</v>
      </c>
      <c r="G27" s="146"/>
      <c r="H27" s="146"/>
      <c r="I27" s="46">
        <f>'TR-EDERSA-08 (1)'!AC45</f>
        <v>1129.37</v>
      </c>
      <c r="J27" s="147"/>
      <c r="K27" s="47"/>
      <c r="L27" s="47"/>
      <c r="M27" s="47"/>
      <c r="N27" s="47"/>
      <c r="O27" s="47"/>
      <c r="P27" s="47"/>
      <c r="Q27" s="47"/>
      <c r="R27" s="47"/>
      <c r="S27" s="47"/>
    </row>
    <row r="28" spans="2:19" ht="13.5">
      <c r="B28" s="44"/>
      <c r="C28" s="150"/>
      <c r="D28" s="150"/>
      <c r="E28" s="8"/>
      <c r="F28" s="152"/>
      <c r="G28" s="152"/>
      <c r="H28" s="152"/>
      <c r="I28" s="154"/>
      <c r="J28" s="11"/>
      <c r="K28" s="8"/>
      <c r="L28" s="8"/>
      <c r="M28" s="8"/>
      <c r="N28" s="8"/>
      <c r="O28" s="8"/>
      <c r="P28" s="8"/>
      <c r="Q28" s="8"/>
      <c r="R28" s="8"/>
      <c r="S28" s="8"/>
    </row>
    <row r="29" spans="2:19" s="121" customFormat="1" ht="19.5">
      <c r="B29" s="144"/>
      <c r="C29" s="148"/>
      <c r="D29" s="148" t="s">
        <v>31</v>
      </c>
      <c r="E29" s="9" t="s">
        <v>32</v>
      </c>
      <c r="F29" s="146"/>
      <c r="G29" s="146"/>
      <c r="H29" s="146"/>
      <c r="I29" s="46"/>
      <c r="J29" s="147"/>
      <c r="K29" s="47"/>
      <c r="L29" s="47"/>
      <c r="M29" s="47"/>
      <c r="N29" s="47"/>
      <c r="O29" s="47"/>
      <c r="P29" s="47"/>
      <c r="Q29" s="47"/>
      <c r="R29" s="47"/>
      <c r="S29" s="47"/>
    </row>
    <row r="30" spans="2:19" s="121" customFormat="1" ht="19.5">
      <c r="B30" s="144"/>
      <c r="C30" s="148"/>
      <c r="D30" s="148"/>
      <c r="E30" s="148" t="s">
        <v>33</v>
      </c>
      <c r="F30" s="149" t="s">
        <v>21</v>
      </c>
      <c r="G30" s="146"/>
      <c r="H30" s="146"/>
      <c r="I30" s="46">
        <f>'SA-08 (2)'!V44</f>
        <v>508.95</v>
      </c>
      <c r="J30" s="147"/>
      <c r="K30" s="47"/>
      <c r="L30" s="47"/>
      <c r="M30" s="47"/>
      <c r="N30" s="47"/>
      <c r="O30" s="47"/>
      <c r="P30" s="47"/>
      <c r="Q30" s="47"/>
      <c r="R30" s="47"/>
      <c r="S30" s="47"/>
    </row>
    <row r="31" spans="2:19" s="121" customFormat="1" ht="19.5">
      <c r="B31" s="144"/>
      <c r="C31" s="148"/>
      <c r="D31" s="148"/>
      <c r="E31" s="148" t="s">
        <v>34</v>
      </c>
      <c r="F31" s="149" t="s">
        <v>23</v>
      </c>
      <c r="G31" s="146"/>
      <c r="H31" s="146"/>
      <c r="I31" s="46">
        <f>'SA-EDERSA-08 (1)'!V45</f>
        <v>17.456775</v>
      </c>
      <c r="J31" s="147"/>
      <c r="K31" s="47"/>
      <c r="L31" s="47"/>
      <c r="M31" s="47"/>
      <c r="N31" s="47"/>
      <c r="O31" s="47"/>
      <c r="P31" s="47"/>
      <c r="Q31" s="47"/>
      <c r="R31" s="47"/>
      <c r="S31" s="47"/>
    </row>
    <row r="32" spans="2:19" s="121" customFormat="1" ht="19.5">
      <c r="B32" s="144"/>
      <c r="C32" s="148"/>
      <c r="D32" s="149"/>
      <c r="E32" s="47"/>
      <c r="F32" s="146"/>
      <c r="G32" s="146"/>
      <c r="H32" s="146"/>
      <c r="I32" s="46"/>
      <c r="J32" s="147"/>
      <c r="K32" s="47"/>
      <c r="L32" s="47"/>
      <c r="M32" s="47"/>
      <c r="N32" s="47"/>
      <c r="O32" s="47"/>
      <c r="P32" s="47"/>
      <c r="Q32" s="47"/>
      <c r="R32" s="47"/>
      <c r="S32" s="47"/>
    </row>
    <row r="33" spans="2:19" s="121" customFormat="1" ht="19.5">
      <c r="B33" s="144"/>
      <c r="C33" s="148" t="s">
        <v>35</v>
      </c>
      <c r="D33" s="9" t="s">
        <v>36</v>
      </c>
      <c r="E33" s="146"/>
      <c r="F33"/>
      <c r="G33" s="146"/>
      <c r="H33" s="146"/>
      <c r="I33" s="46"/>
      <c r="J33" s="147"/>
      <c r="K33" s="47"/>
      <c r="L33" s="47"/>
      <c r="M33" s="47"/>
      <c r="N33" s="47"/>
      <c r="O33" s="47"/>
      <c r="P33" s="47"/>
      <c r="Q33" s="47"/>
      <c r="R33" s="47"/>
      <c r="S33" s="47"/>
    </row>
    <row r="34" spans="2:19" s="121" customFormat="1" ht="19.5">
      <c r="B34" s="144"/>
      <c r="C34" s="148"/>
      <c r="D34" s="148" t="s">
        <v>37</v>
      </c>
      <c r="E34" s="149" t="s">
        <v>23</v>
      </c>
      <c r="F34"/>
      <c r="G34" s="146"/>
      <c r="H34" s="146"/>
      <c r="I34" s="46">
        <f>'SUP-EDERSA'!I57</f>
        <v>6884.867388250434</v>
      </c>
      <c r="J34" s="147"/>
      <c r="K34" s="47"/>
      <c r="L34" s="47"/>
      <c r="M34" s="47"/>
      <c r="N34" s="47"/>
      <c r="O34" s="47"/>
      <c r="P34" s="47"/>
      <c r="Q34" s="47"/>
      <c r="R34" s="47"/>
      <c r="S34" s="47"/>
    </row>
    <row r="35" spans="2:19" s="121" customFormat="1" ht="19.5">
      <c r="B35" s="144"/>
      <c r="C35" s="148"/>
      <c r="D35" s="148" t="s">
        <v>38</v>
      </c>
      <c r="E35" s="149" t="s">
        <v>137</v>
      </c>
      <c r="F35"/>
      <c r="G35" s="146"/>
      <c r="H35" s="146"/>
      <c r="I35" s="46">
        <f>+'SUP-TRANSACUE'!I57</f>
        <v>5766.030914693573</v>
      </c>
      <c r="J35" s="147"/>
      <c r="K35" s="47"/>
      <c r="L35" s="47"/>
      <c r="M35" s="47"/>
      <c r="N35" s="47"/>
      <c r="O35" s="47"/>
      <c r="P35" s="47"/>
      <c r="Q35" s="47"/>
      <c r="R35" s="47"/>
      <c r="S35" s="47"/>
    </row>
    <row r="36" spans="2:19" s="121" customFormat="1" ht="20.25" thickBot="1">
      <c r="B36" s="144"/>
      <c r="C36" s="145"/>
      <c r="D36" s="145"/>
      <c r="E36" s="47"/>
      <c r="F36" s="146"/>
      <c r="G36" s="146"/>
      <c r="H36" s="146"/>
      <c r="I36" s="47"/>
      <c r="J36" s="147"/>
      <c r="K36" s="47"/>
      <c r="L36" s="47"/>
      <c r="M36" s="47"/>
      <c r="N36" s="47"/>
      <c r="O36" s="47"/>
      <c r="P36" s="47"/>
      <c r="Q36" s="47"/>
      <c r="R36" s="47"/>
      <c r="S36" s="47"/>
    </row>
    <row r="37" spans="2:19" s="121" customFormat="1" ht="20.25" thickBot="1" thickTop="1">
      <c r="B37" s="144"/>
      <c r="C37" s="148"/>
      <c r="D37" s="148"/>
      <c r="F37" s="155" t="s">
        <v>39</v>
      </c>
      <c r="G37" s="156">
        <f>SUM(I18:I35)</f>
        <v>55110.065077944004</v>
      </c>
      <c r="H37" s="240"/>
      <c r="J37" s="147"/>
      <c r="K37" s="47"/>
      <c r="L37" s="47"/>
      <c r="M37" s="47"/>
      <c r="N37" s="47"/>
      <c r="O37" s="47"/>
      <c r="P37" s="47"/>
      <c r="Q37" s="47"/>
      <c r="R37" s="47"/>
      <c r="S37" s="47"/>
    </row>
    <row r="38" spans="2:19" s="121" customFormat="1" ht="8.25" customHeight="1" thickTop="1">
      <c r="B38" s="144"/>
      <c r="C38" s="148"/>
      <c r="D38" s="148"/>
      <c r="F38" s="672"/>
      <c r="G38" s="240"/>
      <c r="H38" s="240"/>
      <c r="J38" s="147"/>
      <c r="K38" s="47"/>
      <c r="L38" s="47"/>
      <c r="M38" s="47"/>
      <c r="N38" s="47"/>
      <c r="O38" s="47"/>
      <c r="P38" s="47"/>
      <c r="Q38" s="47"/>
      <c r="R38" s="47"/>
      <c r="S38" s="47"/>
    </row>
    <row r="39" spans="2:19" s="121" customFormat="1" ht="18.75">
      <c r="B39" s="144"/>
      <c r="C39" s="673"/>
      <c r="D39" s="148"/>
      <c r="F39" s="672"/>
      <c r="G39" s="240"/>
      <c r="H39" s="240"/>
      <c r="J39" s="147"/>
      <c r="K39" s="47"/>
      <c r="L39" s="47"/>
      <c r="M39" s="47"/>
      <c r="N39" s="47"/>
      <c r="O39" s="47"/>
      <c r="P39" s="47"/>
      <c r="Q39" s="47"/>
      <c r="R39" s="47"/>
      <c r="S39" s="47"/>
    </row>
    <row r="40" spans="2:19" s="137" customFormat="1" ht="6.75" customHeight="1" thickBot="1">
      <c r="B40" s="157"/>
      <c r="C40" s="158"/>
      <c r="D40" s="158"/>
      <c r="E40" s="159"/>
      <c r="F40" s="159"/>
      <c r="G40" s="159"/>
      <c r="H40" s="159"/>
      <c r="I40" s="159"/>
      <c r="J40" s="160"/>
      <c r="K40" s="138"/>
      <c r="L40" s="138"/>
      <c r="M40" s="84"/>
      <c r="N40" s="161"/>
      <c r="O40" s="161"/>
      <c r="P40" s="162"/>
      <c r="Q40" s="163"/>
      <c r="R40" s="138"/>
      <c r="S40" s="138"/>
    </row>
    <row r="41" spans="4:19" ht="13.5" thickTop="1">
      <c r="D41" s="8"/>
      <c r="F41" s="8"/>
      <c r="G41" s="8"/>
      <c r="H41" s="8"/>
      <c r="I41" s="8"/>
      <c r="J41" s="8"/>
      <c r="K41" s="8"/>
      <c r="L41" s="8"/>
      <c r="M41" s="30"/>
      <c r="N41" s="164"/>
      <c r="O41" s="164"/>
      <c r="P41" s="8"/>
      <c r="Q41" s="36"/>
      <c r="R41" s="8"/>
      <c r="S41" s="8"/>
    </row>
    <row r="42" spans="4:19" ht="12.75">
      <c r="D42" s="8"/>
      <c r="F42" s="8"/>
      <c r="G42" s="8"/>
      <c r="H42" s="8"/>
      <c r="I42" s="8"/>
      <c r="J42" s="8"/>
      <c r="K42" s="8"/>
      <c r="L42" s="8"/>
      <c r="M42" s="8"/>
      <c r="N42" s="165"/>
      <c r="O42" s="165"/>
      <c r="P42" s="166"/>
      <c r="Q42" s="36"/>
      <c r="R42" s="8"/>
      <c r="S42" s="8"/>
    </row>
    <row r="43" spans="4:19" ht="12.75">
      <c r="D43" s="8"/>
      <c r="E43" s="8"/>
      <c r="F43" s="8"/>
      <c r="G43" s="8"/>
      <c r="H43" s="8"/>
      <c r="I43" s="8"/>
      <c r="J43" s="8"/>
      <c r="K43" s="8"/>
      <c r="L43" s="8"/>
      <c r="M43" s="8"/>
      <c r="N43" s="165"/>
      <c r="O43" s="165"/>
      <c r="P43" s="166"/>
      <c r="Q43" s="36"/>
      <c r="R43" s="8"/>
      <c r="S43" s="8"/>
    </row>
    <row r="44" spans="4:19" ht="12.75">
      <c r="D44" s="8"/>
      <c r="E44" s="8"/>
      <c r="L44" s="8"/>
      <c r="M44" s="8"/>
      <c r="N44" s="8"/>
      <c r="O44" s="8"/>
      <c r="P44" s="8"/>
      <c r="Q44" s="8"/>
      <c r="R44" s="8"/>
      <c r="S44" s="8"/>
    </row>
    <row r="45" spans="4:19" ht="12.75">
      <c r="D45" s="8"/>
      <c r="E45" s="8"/>
      <c r="P45" s="8"/>
      <c r="Q45" s="8"/>
      <c r="R45" s="8"/>
      <c r="S45" s="8"/>
    </row>
    <row r="46" spans="4:19" ht="12.75">
      <c r="D46" s="8"/>
      <c r="E46" s="8"/>
      <c r="P46" s="8"/>
      <c r="Q46" s="8"/>
      <c r="R46" s="8"/>
      <c r="S46" s="8"/>
    </row>
    <row r="47" spans="4:19" ht="12.75">
      <c r="D47" s="8"/>
      <c r="E47" s="8"/>
      <c r="P47" s="8"/>
      <c r="Q47" s="8"/>
      <c r="R47" s="8"/>
      <c r="S47" s="8"/>
    </row>
    <row r="48" spans="4:19" ht="12.75">
      <c r="D48" s="8"/>
      <c r="E48" s="8"/>
      <c r="P48" s="8"/>
      <c r="Q48" s="8"/>
      <c r="R48" s="8"/>
      <c r="S48" s="8"/>
    </row>
    <row r="49" spans="4:19" ht="12.75">
      <c r="D49" s="8"/>
      <c r="E49" s="8"/>
      <c r="P49" s="8"/>
      <c r="Q49" s="8"/>
      <c r="R49" s="8"/>
      <c r="S49" s="8"/>
    </row>
    <row r="50" spans="16:19" ht="12.75">
      <c r="P50" s="8"/>
      <c r="Q50" s="8"/>
      <c r="R50" s="8"/>
      <c r="S50" s="8"/>
    </row>
    <row r="51" spans="16:19" ht="12.75">
      <c r="P51" s="8"/>
      <c r="Q51" s="8"/>
      <c r="R51" s="8"/>
      <c r="S51" s="8"/>
    </row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77" r:id="rId2"/>
  <headerFooter alignWithMargins="0">
    <oddFooter>&amp;L&amp;"Times New Roman,Normal"&amp;8&amp;Z&amp;F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S110"/>
  <sheetViews>
    <sheetView zoomScale="75" zoomScaleNormal="75" zoomScalePageLayoutView="0" workbookViewId="0" topLeftCell="A1">
      <selection activeCell="L26" sqref="L26"/>
    </sheetView>
  </sheetViews>
  <sheetFormatPr defaultColWidth="13.421875" defaultRowHeight="12.75"/>
  <cols>
    <col min="1" max="2" width="13.8515625" style="0" customWidth="1"/>
    <col min="3" max="3" width="4.7109375" style="0" customWidth="1"/>
    <col min="4" max="4" width="41.7109375" style="0" customWidth="1"/>
    <col min="5" max="5" width="13.57421875" style="0" customWidth="1"/>
    <col min="6" max="6" width="11.8515625" style="0" customWidth="1"/>
    <col min="7" max="7" width="6.7109375" style="0" customWidth="1"/>
    <col min="8" max="8" width="24.8515625" style="0" bestFit="1" customWidth="1"/>
    <col min="9" max="9" width="19.140625" style="0" customWidth="1"/>
    <col min="10" max="10" width="13.8515625" style="0" customWidth="1"/>
    <col min="11" max="11" width="8.421875" style="0" customWidth="1"/>
    <col min="12" max="12" width="33.28125" style="0" customWidth="1"/>
    <col min="13" max="13" width="8.421875" style="0" customWidth="1"/>
    <col min="14" max="14" width="9.28125" style="0" customWidth="1"/>
    <col min="15" max="15" width="9.8515625" style="0" customWidth="1"/>
    <col min="16" max="16" width="13.8515625" style="0" customWidth="1"/>
  </cols>
  <sheetData>
    <row r="1" s="109" customFormat="1" ht="39.75" customHeight="1">
      <c r="P1" s="416"/>
    </row>
    <row r="2" spans="1:16" s="109" customFormat="1" ht="26.25">
      <c r="A2" s="170"/>
      <c r="B2" s="696" t="str">
        <f>'TOT-0814'!B2</f>
        <v>ANEXO II al Memorándum  D.T.E.E.  N°  301 /2016              .-</v>
      </c>
      <c r="C2" s="696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3" s="112" customFormat="1" ht="12.75">
      <c r="A3" s="701" t="s">
        <v>147</v>
      </c>
      <c r="B3" s="10"/>
      <c r="C3" s="10"/>
    </row>
    <row r="4" spans="1:3" s="112" customFormat="1" ht="11.25">
      <c r="A4" s="701" t="s">
        <v>146</v>
      </c>
      <c r="B4" s="234"/>
      <c r="C4" s="234"/>
    </row>
    <row r="5" s="10" customFormat="1" ht="13.5" thickBot="1"/>
    <row r="6" spans="1:16" s="10" customFormat="1" ht="13.5" thickTop="1">
      <c r="A6" s="8"/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3"/>
    </row>
    <row r="7" spans="1:16" s="114" customFormat="1" ht="20.25">
      <c r="A7" s="45"/>
      <c r="B7" s="113"/>
      <c r="C7" s="45"/>
      <c r="D7" s="21" t="s">
        <v>40</v>
      </c>
      <c r="G7" s="45"/>
      <c r="H7" s="45"/>
      <c r="I7" s="45"/>
      <c r="J7" s="45"/>
      <c r="K7" s="45"/>
      <c r="L7" s="45"/>
      <c r="M7" s="45"/>
      <c r="N7" s="45"/>
      <c r="O7" s="45"/>
      <c r="P7" s="115"/>
    </row>
    <row r="8" spans="1:16" ht="15">
      <c r="A8" s="1"/>
      <c r="B8" s="279"/>
      <c r="C8" s="73"/>
      <c r="D8" s="417"/>
      <c r="E8" s="73"/>
      <c r="F8" s="71"/>
      <c r="G8" s="73"/>
      <c r="H8" s="73"/>
      <c r="I8" s="73"/>
      <c r="J8" s="73"/>
      <c r="K8" s="73"/>
      <c r="L8" s="73"/>
      <c r="M8" s="73"/>
      <c r="N8" s="73"/>
      <c r="O8" s="73"/>
      <c r="P8" s="283"/>
    </row>
    <row r="9" spans="1:19" s="114" customFormat="1" ht="20.25">
      <c r="A9" s="45"/>
      <c r="B9" s="418"/>
      <c r="C9"/>
      <c r="D9" s="22" t="s">
        <v>172</v>
      </c>
      <c r="E9" s="419"/>
      <c r="F9" s="419"/>
      <c r="G9" s="419"/>
      <c r="H9" s="420"/>
      <c r="I9" s="419"/>
      <c r="J9" s="419"/>
      <c r="K9" s="419"/>
      <c r="L9" s="419"/>
      <c r="M9" s="419"/>
      <c r="N9" s="419"/>
      <c r="O9" s="419"/>
      <c r="P9" s="421"/>
      <c r="Q9" s="235"/>
      <c r="R9" s="177"/>
      <c r="S9" s="177"/>
    </row>
    <row r="10" spans="1:19" s="10" customFormat="1" ht="12.75">
      <c r="A10" s="8"/>
      <c r="B10" s="44"/>
      <c r="C10" s="8"/>
      <c r="D10" s="67"/>
      <c r="E10" s="30"/>
      <c r="F10" s="30"/>
      <c r="G10" s="30"/>
      <c r="H10" s="169"/>
      <c r="I10" s="30"/>
      <c r="J10" s="30"/>
      <c r="K10" s="30"/>
      <c r="L10" s="30"/>
      <c r="M10" s="30"/>
      <c r="N10" s="30"/>
      <c r="O10" s="30"/>
      <c r="P10" s="38"/>
      <c r="Q10" s="30"/>
      <c r="R10" s="30"/>
      <c r="S10" s="176"/>
    </row>
    <row r="11" spans="1:19" s="121" customFormat="1" ht="19.5">
      <c r="A11" s="47"/>
      <c r="B11" s="238" t="str">
        <f>+'TOT-0814'!B14</f>
        <v>Desde el 01 al 31 de agosto de 2014</v>
      </c>
      <c r="C11" s="143"/>
      <c r="D11" s="197"/>
      <c r="E11" s="197"/>
      <c r="F11" s="197"/>
      <c r="G11" s="197"/>
      <c r="H11" s="197"/>
      <c r="I11" s="143"/>
      <c r="J11" s="197"/>
      <c r="K11" s="197"/>
      <c r="L11" s="197"/>
      <c r="M11" s="197"/>
      <c r="N11" s="197"/>
      <c r="O11" s="197"/>
      <c r="P11" s="422"/>
      <c r="Q11" s="423"/>
      <c r="R11" s="423"/>
      <c r="S11" s="423"/>
    </row>
    <row r="12" spans="1:19" ht="15">
      <c r="A12" s="1"/>
      <c r="B12" s="279"/>
      <c r="C12" s="73"/>
      <c r="D12" s="69"/>
      <c r="E12" s="69"/>
      <c r="F12" s="69"/>
      <c r="G12" s="69"/>
      <c r="H12" s="424"/>
      <c r="I12" s="73"/>
      <c r="J12" s="69"/>
      <c r="K12" s="69"/>
      <c r="L12" s="69"/>
      <c r="M12" s="69"/>
      <c r="N12" s="69"/>
      <c r="O12" s="69"/>
      <c r="P12" s="70"/>
      <c r="Q12" s="4"/>
      <c r="R12" s="4"/>
      <c r="S12" s="425"/>
    </row>
    <row r="13" spans="1:19" ht="18" customHeight="1">
      <c r="A13" s="1"/>
      <c r="B13" s="279"/>
      <c r="C13" s="73"/>
      <c r="D13" s="69"/>
      <c r="E13" s="69"/>
      <c r="F13" s="69"/>
      <c r="G13" s="69"/>
      <c r="H13" s="81"/>
      <c r="I13" s="81"/>
      <c r="J13" s="69"/>
      <c r="K13" s="69"/>
      <c r="P13" s="70"/>
      <c r="Q13" s="4"/>
      <c r="R13" s="4"/>
      <c r="S13" s="425"/>
    </row>
    <row r="14" spans="1:19" ht="18" customHeight="1">
      <c r="A14" s="1"/>
      <c r="B14" s="279"/>
      <c r="C14" s="73"/>
      <c r="D14" s="68"/>
      <c r="E14" s="426"/>
      <c r="F14" s="69"/>
      <c r="G14" s="69"/>
      <c r="H14" s="81"/>
      <c r="I14" s="81"/>
      <c r="J14" s="69"/>
      <c r="K14" s="69"/>
      <c r="P14" s="70"/>
      <c r="Q14" s="4"/>
      <c r="R14" s="4"/>
      <c r="S14" s="425"/>
    </row>
    <row r="15" spans="1:16" ht="16.5" thickBot="1">
      <c r="A15" s="1"/>
      <c r="B15" s="279"/>
      <c r="C15" s="427" t="s">
        <v>89</v>
      </c>
      <c r="D15" s="71"/>
      <c r="E15" s="280"/>
      <c r="F15" s="281"/>
      <c r="G15" s="73"/>
      <c r="H15" s="73"/>
      <c r="I15" s="73"/>
      <c r="J15" s="72"/>
      <c r="K15" s="72"/>
      <c r="L15" s="282"/>
      <c r="M15" s="73"/>
      <c r="N15" s="73"/>
      <c r="O15" s="73"/>
      <c r="P15" s="283"/>
    </row>
    <row r="16" spans="1:16" ht="16.5" thickBot="1">
      <c r="A16" s="1"/>
      <c r="B16" s="279"/>
      <c r="C16" s="284"/>
      <c r="D16" s="71"/>
      <c r="E16" s="280"/>
      <c r="F16" s="281"/>
      <c r="G16" s="73"/>
      <c r="H16" s="73"/>
      <c r="L16" s="428" t="s">
        <v>85</v>
      </c>
      <c r="M16" s="429">
        <v>10.334</v>
      </c>
      <c r="N16" s="430"/>
      <c r="O16" s="73"/>
      <c r="P16" s="283"/>
    </row>
    <row r="17" spans="1:16" ht="15.75">
      <c r="A17" s="1"/>
      <c r="B17" s="279"/>
      <c r="C17" s="284"/>
      <c r="D17" s="72" t="s">
        <v>90</v>
      </c>
      <c r="E17" s="285">
        <f>MID(B11,16,2)*24</f>
        <v>744</v>
      </c>
      <c r="F17" s="73" t="s">
        <v>91</v>
      </c>
      <c r="G17" s="69"/>
      <c r="H17" s="431"/>
      <c r="I17" s="432" t="s">
        <v>92</v>
      </c>
      <c r="J17" s="433">
        <v>222.257</v>
      </c>
      <c r="K17" s="411"/>
      <c r="L17" s="434" t="s">
        <v>86</v>
      </c>
      <c r="M17" s="435">
        <v>7.756</v>
      </c>
      <c r="N17" s="436"/>
      <c r="O17" s="73"/>
      <c r="P17" s="283"/>
    </row>
    <row r="18" spans="1:16" ht="16.5" thickBot="1">
      <c r="A18" s="1"/>
      <c r="B18" s="279"/>
      <c r="C18" s="284"/>
      <c r="D18" s="72" t="s">
        <v>93</v>
      </c>
      <c r="E18" s="287">
        <v>0.025</v>
      </c>
      <c r="F18" s="69"/>
      <c r="G18" s="69"/>
      <c r="H18" s="437"/>
      <c r="I18" s="438" t="s">
        <v>94</v>
      </c>
      <c r="J18" s="439">
        <v>0.774</v>
      </c>
      <c r="K18" s="440"/>
      <c r="L18" s="441" t="s">
        <v>87</v>
      </c>
      <c r="M18" s="442">
        <f>M17</f>
        <v>7.756</v>
      </c>
      <c r="N18" s="443"/>
      <c r="O18" s="73"/>
      <c r="P18" s="283"/>
    </row>
    <row r="19" spans="1:16" ht="15.75">
      <c r="A19" s="1"/>
      <c r="B19" s="279"/>
      <c r="C19" s="284"/>
      <c r="D19" s="72"/>
      <c r="E19" s="287"/>
      <c r="F19" s="69"/>
      <c r="G19" s="69"/>
      <c r="H19" s="69"/>
      <c r="I19" s="69"/>
      <c r="L19" s="282"/>
      <c r="M19" s="73"/>
      <c r="N19" s="73"/>
      <c r="O19" s="73"/>
      <c r="P19" s="283"/>
    </row>
    <row r="20" spans="1:16" ht="15">
      <c r="A20" s="1"/>
      <c r="B20" s="279"/>
      <c r="C20" s="68" t="s">
        <v>95</v>
      </c>
      <c r="D20" s="76"/>
      <c r="E20" s="280"/>
      <c r="F20" s="281"/>
      <c r="G20" s="73"/>
      <c r="H20" s="73"/>
      <c r="I20" s="73"/>
      <c r="J20" s="72"/>
      <c r="K20" s="72"/>
      <c r="L20" s="282"/>
      <c r="M20" s="73"/>
      <c r="N20" s="73"/>
      <c r="O20" s="73"/>
      <c r="P20" s="283"/>
    </row>
    <row r="21" spans="1:16" ht="15">
      <c r="A21" s="1"/>
      <c r="B21" s="279"/>
      <c r="C21" s="73"/>
      <c r="D21" s="73"/>
      <c r="E21" s="73"/>
      <c r="F21" s="73"/>
      <c r="G21" s="73"/>
      <c r="H21" s="288"/>
      <c r="I21" s="73"/>
      <c r="J21" s="73"/>
      <c r="K21" s="73"/>
      <c r="L21" s="73"/>
      <c r="M21" s="73"/>
      <c r="N21" s="73"/>
      <c r="O21" s="73"/>
      <c r="P21" s="283"/>
    </row>
    <row r="22" spans="1:16" ht="15">
      <c r="A22" s="1"/>
      <c r="B22" s="279"/>
      <c r="C22" s="73"/>
      <c r="D22" s="72" t="s">
        <v>96</v>
      </c>
      <c r="E22" s="73"/>
      <c r="F22" s="288" t="s">
        <v>19</v>
      </c>
      <c r="G22" s="73"/>
      <c r="H22" s="71"/>
      <c r="I22" s="444">
        <v>47086.94</v>
      </c>
      <c r="J22" s="73"/>
      <c r="K22" s="73"/>
      <c r="L22" s="445"/>
      <c r="M22" s="73"/>
      <c r="N22" s="73"/>
      <c r="O22" s="73"/>
      <c r="P22" s="283"/>
    </row>
    <row r="23" spans="1:16" ht="15">
      <c r="A23" s="1"/>
      <c r="B23" s="279"/>
      <c r="C23" s="73"/>
      <c r="D23" s="73"/>
      <c r="E23" s="73"/>
      <c r="F23" s="288" t="s">
        <v>97</v>
      </c>
      <c r="G23" s="73"/>
      <c r="H23" s="71"/>
      <c r="I23" s="444" t="s">
        <v>148</v>
      </c>
      <c r="J23" s="73"/>
      <c r="K23" s="73"/>
      <c r="L23" s="445"/>
      <c r="M23" s="73"/>
      <c r="N23" s="73"/>
      <c r="O23" s="73"/>
      <c r="P23" s="283"/>
    </row>
    <row r="24" spans="1:16" ht="15">
      <c r="A24" s="1"/>
      <c r="B24" s="279"/>
      <c r="C24" s="73"/>
      <c r="D24" s="73"/>
      <c r="E24" s="73"/>
      <c r="F24" s="288" t="s">
        <v>3</v>
      </c>
      <c r="G24" s="73"/>
      <c r="H24" s="71"/>
      <c r="I24" s="446" t="s">
        <v>164</v>
      </c>
      <c r="J24" s="73"/>
      <c r="K24" s="73"/>
      <c r="L24" s="445"/>
      <c r="M24" s="73"/>
      <c r="N24" s="73"/>
      <c r="O24" s="73"/>
      <c r="P24" s="283"/>
    </row>
    <row r="25" spans="1:16" ht="15.75" thickBot="1">
      <c r="A25" s="1"/>
      <c r="B25" s="279"/>
      <c r="C25" s="73"/>
      <c r="D25" s="73"/>
      <c r="E25" s="73"/>
      <c r="F25" s="73"/>
      <c r="G25" s="73"/>
      <c r="H25" s="288"/>
      <c r="I25" s="73"/>
      <c r="J25" s="73"/>
      <c r="K25" s="73"/>
      <c r="L25" s="73"/>
      <c r="M25" s="73"/>
      <c r="N25" s="73"/>
      <c r="O25" s="73"/>
      <c r="P25" s="283"/>
    </row>
    <row r="26" spans="2:16" ht="20.25" thickBot="1" thickTop="1">
      <c r="B26" s="279"/>
      <c r="C26" s="80"/>
      <c r="H26" s="447" t="s">
        <v>98</v>
      </c>
      <c r="I26" s="156">
        <f>SUM(I22:I25)</f>
        <v>47086.94</v>
      </c>
      <c r="L26" s="77"/>
      <c r="M26" s="77"/>
      <c r="N26" s="78"/>
      <c r="O26" s="79"/>
      <c r="P26" s="289"/>
    </row>
    <row r="27" spans="2:16" ht="15.75" thickTop="1">
      <c r="B27" s="279"/>
      <c r="C27" s="80"/>
      <c r="D27" s="76"/>
      <c r="E27" s="76"/>
      <c r="F27" s="82"/>
      <c r="G27" s="77"/>
      <c r="H27" s="77"/>
      <c r="I27" s="77"/>
      <c r="J27" s="77"/>
      <c r="K27" s="77"/>
      <c r="L27" s="77"/>
      <c r="M27" s="77"/>
      <c r="N27" s="78"/>
      <c r="O27" s="79"/>
      <c r="P27" s="289"/>
    </row>
    <row r="28" spans="2:16" ht="15">
      <c r="B28" s="279"/>
      <c r="C28" s="68" t="s">
        <v>99</v>
      </c>
      <c r="D28" s="76"/>
      <c r="E28" s="76"/>
      <c r="F28" s="82"/>
      <c r="G28" s="77"/>
      <c r="H28" s="77"/>
      <c r="I28" s="77"/>
      <c r="J28" s="77"/>
      <c r="K28" s="77"/>
      <c r="L28" s="77"/>
      <c r="M28" s="77"/>
      <c r="N28" s="78"/>
      <c r="O28" s="79"/>
      <c r="P28" s="289"/>
    </row>
    <row r="29" spans="2:16" ht="15">
      <c r="B29" s="279"/>
      <c r="C29" s="80"/>
      <c r="D29" s="76"/>
      <c r="E29" s="76"/>
      <c r="F29" s="82"/>
      <c r="G29" s="77"/>
      <c r="H29" s="77"/>
      <c r="I29" s="77"/>
      <c r="J29" s="77"/>
      <c r="K29" s="77"/>
      <c r="L29" s="77"/>
      <c r="M29" s="77"/>
      <c r="N29" s="78"/>
      <c r="O29" s="79"/>
      <c r="P29" s="289"/>
    </row>
    <row r="30" spans="2:16" ht="15.75">
      <c r="B30" s="279"/>
      <c r="C30" s="80"/>
      <c r="D30" s="448" t="s">
        <v>100</v>
      </c>
      <c r="E30" s="449" t="s">
        <v>15</v>
      </c>
      <c r="F30" s="450" t="s">
        <v>101</v>
      </c>
      <c r="G30" s="451"/>
      <c r="H30" s="679" t="s">
        <v>135</v>
      </c>
      <c r="I30" s="678" t="s">
        <v>134</v>
      </c>
      <c r="J30" s="674"/>
      <c r="K30" s="474"/>
      <c r="L30" s="452" t="s">
        <v>2</v>
      </c>
      <c r="N30" s="78"/>
      <c r="O30" s="79"/>
      <c r="P30" s="289"/>
    </row>
    <row r="31" spans="2:16" ht="15.75">
      <c r="B31" s="279"/>
      <c r="C31" s="80"/>
      <c r="D31" s="453" t="s">
        <v>125</v>
      </c>
      <c r="E31" s="454">
        <v>132</v>
      </c>
      <c r="F31" s="455">
        <v>42.6</v>
      </c>
      <c r="G31" s="456"/>
      <c r="H31" s="457">
        <f>F31*$J$17*$E$17/100</f>
        <v>70443.022608</v>
      </c>
      <c r="I31" s="458">
        <v>68819</v>
      </c>
      <c r="J31" s="676" t="s">
        <v>171</v>
      </c>
      <c r="K31" s="460"/>
      <c r="L31" s="461">
        <f>SUM(H31:K31)</f>
        <v>139262.022608</v>
      </c>
      <c r="M31" s="77"/>
      <c r="N31" s="78"/>
      <c r="O31" s="79"/>
      <c r="P31" s="289"/>
    </row>
    <row r="32" spans="2:16" ht="15.75">
      <c r="B32" s="279"/>
      <c r="C32" s="80"/>
      <c r="D32" s="481" t="s">
        <v>126</v>
      </c>
      <c r="E32" s="76">
        <v>132</v>
      </c>
      <c r="F32" s="82">
        <v>33.6</v>
      </c>
      <c r="G32" s="77"/>
      <c r="H32" s="294">
        <f>F32*$J$17*$E$17/100</f>
        <v>55560.69388800001</v>
      </c>
      <c r="I32" s="498">
        <v>12892</v>
      </c>
      <c r="J32" s="675" t="s">
        <v>171</v>
      </c>
      <c r="K32" s="286"/>
      <c r="L32" s="482">
        <f>SUM(H32:K32)</f>
        <v>68452.69388800001</v>
      </c>
      <c r="M32" s="77"/>
      <c r="N32" s="78"/>
      <c r="O32" s="79"/>
      <c r="P32" s="289"/>
    </row>
    <row r="33" spans="2:16" ht="15.75">
      <c r="B33" s="279"/>
      <c r="C33" s="80"/>
      <c r="D33" s="481" t="s">
        <v>127</v>
      </c>
      <c r="E33" s="76">
        <v>132</v>
      </c>
      <c r="F33" s="82">
        <v>41</v>
      </c>
      <c r="G33" s="77"/>
      <c r="H33" s="294">
        <f>F33*$J$17*$E$17/100</f>
        <v>67797.27528</v>
      </c>
      <c r="I33" s="498">
        <v>1109</v>
      </c>
      <c r="J33" s="675" t="s">
        <v>171</v>
      </c>
      <c r="K33" s="286"/>
      <c r="L33" s="482">
        <f>SUM(H33:K33)</f>
        <v>68906.27528</v>
      </c>
      <c r="M33" s="77"/>
      <c r="N33" s="78"/>
      <c r="O33" s="79"/>
      <c r="P33" s="289"/>
    </row>
    <row r="34" spans="2:16" ht="15.75">
      <c r="B34" s="279"/>
      <c r="C34" s="80"/>
      <c r="D34" s="462"/>
      <c r="E34" s="463"/>
      <c r="F34" s="464"/>
      <c r="G34" s="465"/>
      <c r="H34" s="466"/>
      <c r="I34" s="467"/>
      <c r="J34" s="677"/>
      <c r="K34" s="469"/>
      <c r="L34" s="470"/>
      <c r="M34" s="77"/>
      <c r="N34" s="78"/>
      <c r="O34" s="79"/>
      <c r="P34" s="289"/>
    </row>
    <row r="35" spans="2:16" ht="15">
      <c r="B35" s="279"/>
      <c r="C35" s="80"/>
      <c r="D35" s="76"/>
      <c r="E35" s="76"/>
      <c r="F35" s="290"/>
      <c r="G35" s="77"/>
      <c r="I35" s="83"/>
      <c r="J35" s="286"/>
      <c r="K35" s="286"/>
      <c r="L35" s="471">
        <f>SUM(L31:L34)</f>
        <v>276620.991776</v>
      </c>
      <c r="M35" s="77"/>
      <c r="N35" s="78"/>
      <c r="O35" s="79"/>
      <c r="P35" s="289"/>
    </row>
    <row r="36" spans="2:16" ht="15">
      <c r="B36" s="279"/>
      <c r="C36" s="80"/>
      <c r="D36" s="76"/>
      <c r="E36" s="76"/>
      <c r="F36" s="290"/>
      <c r="G36" s="77"/>
      <c r="I36" s="83"/>
      <c r="J36" s="286"/>
      <c r="K36" s="286"/>
      <c r="L36" s="291"/>
      <c r="M36" s="77"/>
      <c r="N36" s="78"/>
      <c r="O36" s="79"/>
      <c r="P36" s="289"/>
    </row>
    <row r="37" spans="2:16" ht="15.75">
      <c r="B37" s="279"/>
      <c r="C37" s="80"/>
      <c r="D37" s="448" t="s">
        <v>102</v>
      </c>
      <c r="E37" s="449" t="s">
        <v>103</v>
      </c>
      <c r="F37" s="499" t="s">
        <v>113</v>
      </c>
      <c r="G37" s="500"/>
      <c r="H37" s="680" t="s">
        <v>136</v>
      </c>
      <c r="J37" s="472" t="s">
        <v>104</v>
      </c>
      <c r="K37" s="473"/>
      <c r="L37" s="474" t="s">
        <v>50</v>
      </c>
      <c r="M37" s="449" t="s">
        <v>15</v>
      </c>
      <c r="N37" s="475" t="s">
        <v>105</v>
      </c>
      <c r="O37" s="476"/>
      <c r="P37" s="289"/>
    </row>
    <row r="38" spans="2:16" ht="15">
      <c r="B38" s="279"/>
      <c r="C38" s="80"/>
      <c r="D38" s="453"/>
      <c r="E38" s="454"/>
      <c r="F38" s="501"/>
      <c r="G38" s="502"/>
      <c r="H38" s="461">
        <f>+F38*$J$18*$E$17</f>
        <v>0</v>
      </c>
      <c r="J38" s="681" t="s">
        <v>128</v>
      </c>
      <c r="K38" s="682"/>
      <c r="L38" s="683" t="s">
        <v>130</v>
      </c>
      <c r="M38" s="478">
        <v>132</v>
      </c>
      <c r="N38" s="479">
        <f aca="true" t="shared" si="0" ref="N38:N43">$M$16*$E$17</f>
        <v>7688.496</v>
      </c>
      <c r="O38" s="480"/>
      <c r="P38" s="289"/>
    </row>
    <row r="39" spans="2:16" ht="15">
      <c r="B39" s="279"/>
      <c r="C39" s="80"/>
      <c r="D39" s="481"/>
      <c r="E39" s="76"/>
      <c r="F39" s="503"/>
      <c r="G39" s="504"/>
      <c r="H39" s="482">
        <f>+F39*$J$18*$E$17</f>
        <v>0</v>
      </c>
      <c r="J39" s="684" t="s">
        <v>128</v>
      </c>
      <c r="K39" s="685"/>
      <c r="L39" s="686" t="s">
        <v>139</v>
      </c>
      <c r="M39" s="78">
        <v>132</v>
      </c>
      <c r="N39" s="485">
        <f t="shared" si="0"/>
        <v>7688.496</v>
      </c>
      <c r="O39" s="486"/>
      <c r="P39" s="289"/>
    </row>
    <row r="40" spans="2:16" ht="15">
      <c r="B40" s="279"/>
      <c r="C40" s="80"/>
      <c r="D40" s="481"/>
      <c r="E40" s="76"/>
      <c r="F40" s="503"/>
      <c r="G40" s="504"/>
      <c r="H40" s="482">
        <f>+F40*$J$18*$E$17</f>
        <v>0</v>
      </c>
      <c r="J40" s="684" t="s">
        <v>129</v>
      </c>
      <c r="K40" s="685"/>
      <c r="L40" s="686" t="s">
        <v>130</v>
      </c>
      <c r="M40" s="78">
        <v>132</v>
      </c>
      <c r="N40" s="485">
        <f t="shared" si="0"/>
        <v>7688.496</v>
      </c>
      <c r="O40" s="486"/>
      <c r="P40" s="289"/>
    </row>
    <row r="41" spans="2:16" ht="15">
      <c r="B41" s="279"/>
      <c r="C41" s="80"/>
      <c r="D41" s="481"/>
      <c r="E41" s="76"/>
      <c r="F41" s="503"/>
      <c r="G41" s="504"/>
      <c r="H41" s="482">
        <f>+F41*$J$18*$E$17</f>
        <v>0</v>
      </c>
      <c r="J41" s="684" t="s">
        <v>131</v>
      </c>
      <c r="K41" s="685"/>
      <c r="L41" s="686" t="s">
        <v>132</v>
      </c>
      <c r="M41" s="78">
        <v>132</v>
      </c>
      <c r="N41" s="485">
        <f t="shared" si="0"/>
        <v>7688.496</v>
      </c>
      <c r="O41" s="486"/>
      <c r="P41" s="289"/>
    </row>
    <row r="42" spans="2:16" ht="15">
      <c r="B42" s="279"/>
      <c r="C42" s="80"/>
      <c r="D42" s="462"/>
      <c r="E42" s="463"/>
      <c r="F42" s="505"/>
      <c r="G42" s="506"/>
      <c r="H42" s="482">
        <f>+F42*$J$18*$E$17</f>
        <v>0</v>
      </c>
      <c r="J42" s="684" t="s">
        <v>131</v>
      </c>
      <c r="K42" s="685"/>
      <c r="L42" s="686" t="s">
        <v>133</v>
      </c>
      <c r="M42" s="78">
        <v>132</v>
      </c>
      <c r="N42" s="485">
        <f t="shared" si="0"/>
        <v>7688.496</v>
      </c>
      <c r="O42" s="486"/>
      <c r="P42" s="289"/>
    </row>
    <row r="43" spans="2:16" ht="15">
      <c r="B43" s="279"/>
      <c r="C43" s="80"/>
      <c r="D43" s="76"/>
      <c r="E43" s="76"/>
      <c r="F43" s="290"/>
      <c r="G43" s="77"/>
      <c r="H43" s="471">
        <f>SUM(H38:H42)</f>
        <v>0</v>
      </c>
      <c r="J43" s="687" t="s">
        <v>131</v>
      </c>
      <c r="K43" s="688"/>
      <c r="L43" s="689" t="s">
        <v>140</v>
      </c>
      <c r="M43" s="488">
        <v>132</v>
      </c>
      <c r="N43" s="489">
        <f t="shared" si="0"/>
        <v>7688.496</v>
      </c>
      <c r="O43" s="490"/>
      <c r="P43" s="289"/>
    </row>
    <row r="44" spans="2:16" ht="15">
      <c r="B44" s="279"/>
      <c r="C44" s="80"/>
      <c r="D44" s="76"/>
      <c r="E44" s="76"/>
      <c r="F44" s="290"/>
      <c r="G44" s="77"/>
      <c r="I44" s="83"/>
      <c r="J44" s="286"/>
      <c r="K44" s="286"/>
      <c r="L44" s="291"/>
      <c r="M44" s="77"/>
      <c r="N44" s="491">
        <f>SUM(N38:N43)</f>
        <v>46130.976</v>
      </c>
      <c r="O44" s="476"/>
      <c r="P44" s="289"/>
    </row>
    <row r="45" spans="2:16" ht="12.75" customHeight="1" thickBot="1">
      <c r="B45" s="279"/>
      <c r="C45" s="80"/>
      <c r="D45" s="76"/>
      <c r="E45" s="76"/>
      <c r="F45" s="82"/>
      <c r="G45" s="77"/>
      <c r="H45" s="83"/>
      <c r="I45" s="76"/>
      <c r="J45" s="76"/>
      <c r="K45" s="76"/>
      <c r="L45" s="77"/>
      <c r="M45" s="77"/>
      <c r="N45" s="78"/>
      <c r="O45" s="79"/>
      <c r="P45" s="289"/>
    </row>
    <row r="46" spans="2:16" ht="20.25" thickBot="1" thickTop="1">
      <c r="B46" s="279"/>
      <c r="C46" s="80"/>
      <c r="D46" s="76"/>
      <c r="E46" s="76"/>
      <c r="F46" s="82"/>
      <c r="G46" s="77"/>
      <c r="H46" s="492" t="s">
        <v>106</v>
      </c>
      <c r="I46" s="493">
        <f>+H43+N44+L35</f>
        <v>322751.96777600003</v>
      </c>
      <c r="J46" s="76"/>
      <c r="K46" s="492" t="s">
        <v>176</v>
      </c>
      <c r="L46" s="493">
        <v>158090.36</v>
      </c>
      <c r="M46" s="77"/>
      <c r="N46" s="78"/>
      <c r="O46" s="79"/>
      <c r="P46" s="289"/>
    </row>
    <row r="47" spans="2:16" ht="15.75" thickTop="1">
      <c r="B47" s="279"/>
      <c r="C47" s="80"/>
      <c r="D47" s="76"/>
      <c r="E47" s="76"/>
      <c r="F47" s="82"/>
      <c r="G47" s="77"/>
      <c r="H47" s="83"/>
      <c r="I47" s="76"/>
      <c r="J47" s="76"/>
      <c r="K47" s="76"/>
      <c r="L47" s="77"/>
      <c r="M47" s="77"/>
      <c r="N47" s="78"/>
      <c r="O47" s="79"/>
      <c r="P47" s="289"/>
    </row>
    <row r="48" spans="2:16" ht="15.75">
      <c r="B48" s="279"/>
      <c r="C48" s="494" t="s">
        <v>107</v>
      </c>
      <c r="D48" s="76"/>
      <c r="E48" s="76"/>
      <c r="F48" s="82"/>
      <c r="G48" s="77"/>
      <c r="H48" s="83"/>
      <c r="I48" s="76"/>
      <c r="J48" s="76"/>
      <c r="K48" s="76"/>
      <c r="L48" s="77"/>
      <c r="M48" s="77"/>
      <c r="N48" s="78"/>
      <c r="O48" s="79"/>
      <c r="P48" s="289"/>
    </row>
    <row r="49" spans="2:16" ht="15.75" thickBot="1">
      <c r="B49" s="279"/>
      <c r="C49" s="80"/>
      <c r="D49" s="76"/>
      <c r="E49" s="76"/>
      <c r="F49" s="82"/>
      <c r="G49" s="77"/>
      <c r="H49" s="83"/>
      <c r="I49" s="76"/>
      <c r="J49" s="76"/>
      <c r="K49" s="76"/>
      <c r="L49" s="77"/>
      <c r="M49" s="77"/>
      <c r="N49" s="78"/>
      <c r="O49" s="79"/>
      <c r="P49" s="289"/>
    </row>
    <row r="50" spans="2:16" ht="20.25" thickBot="1" thickTop="1">
      <c r="B50" s="279"/>
      <c r="C50" s="80"/>
      <c r="D50" s="236" t="s">
        <v>108</v>
      </c>
      <c r="F50" s="292"/>
      <c r="G50" s="73"/>
      <c r="H50" s="155" t="s">
        <v>109</v>
      </c>
      <c r="I50" s="495">
        <f>E18*L46</f>
        <v>3952.259</v>
      </c>
      <c r="J50" s="69"/>
      <c r="K50" s="69"/>
      <c r="O50" s="69"/>
      <c r="P50" s="289"/>
    </row>
    <row r="51" spans="2:16" ht="21.75" thickTop="1">
      <c r="B51" s="279"/>
      <c r="C51" s="80"/>
      <c r="F51" s="293"/>
      <c r="G51" s="45"/>
      <c r="I51" s="69"/>
      <c r="J51" s="69"/>
      <c r="K51" s="69"/>
      <c r="O51" s="69"/>
      <c r="P51" s="289"/>
    </row>
    <row r="52" spans="2:16" ht="15">
      <c r="B52" s="279"/>
      <c r="C52" s="68" t="s">
        <v>110</v>
      </c>
      <c r="E52" s="69"/>
      <c r="F52" s="69"/>
      <c r="G52" s="69"/>
      <c r="H52" s="69"/>
      <c r="I52" s="77"/>
      <c r="J52" s="77"/>
      <c r="K52" s="77"/>
      <c r="L52" s="77"/>
      <c r="M52" s="77"/>
      <c r="N52" s="78"/>
      <c r="O52" s="79"/>
      <c r="P52" s="289"/>
    </row>
    <row r="53" spans="2:16" ht="15">
      <c r="B53" s="279"/>
      <c r="C53" s="80"/>
      <c r="D53" s="75" t="s">
        <v>111</v>
      </c>
      <c r="E53" s="294">
        <f>10*I26*I50/I46</f>
        <v>5766.030914693573</v>
      </c>
      <c r="F53" s="496"/>
      <c r="H53" s="69"/>
      <c r="I53" s="77"/>
      <c r="J53" s="77"/>
      <c r="K53" s="77"/>
      <c r="L53" s="77"/>
      <c r="M53" s="77"/>
      <c r="N53" s="78"/>
      <c r="O53" s="79"/>
      <c r="P53" s="289"/>
    </row>
    <row r="54" spans="2:16" ht="15">
      <c r="B54" s="279"/>
      <c r="C54" s="80"/>
      <c r="D54" s="69"/>
      <c r="E54" s="69"/>
      <c r="J54" s="77"/>
      <c r="K54" s="77"/>
      <c r="L54" s="77"/>
      <c r="M54" s="77"/>
      <c r="N54" s="78"/>
      <c r="O54" s="79"/>
      <c r="P54" s="289"/>
    </row>
    <row r="55" spans="2:16" ht="15">
      <c r="B55" s="279"/>
      <c r="C55" s="80"/>
      <c r="D55" s="69" t="s">
        <v>124</v>
      </c>
      <c r="E55" s="69"/>
      <c r="F55" s="69"/>
      <c r="G55" s="69"/>
      <c r="H55" s="69"/>
      <c r="M55" s="77"/>
      <c r="N55" s="78"/>
      <c r="O55" s="79"/>
      <c r="P55" s="289"/>
    </row>
    <row r="56" spans="2:16" ht="15.75" thickBot="1">
      <c r="B56" s="279"/>
      <c r="C56" s="80"/>
      <c r="D56" s="69"/>
      <c r="E56" s="69"/>
      <c r="F56" s="69"/>
      <c r="G56" s="69"/>
      <c r="H56" s="69"/>
      <c r="M56" s="77"/>
      <c r="N56" s="78"/>
      <c r="O56" s="79"/>
      <c r="P56" s="289"/>
    </row>
    <row r="57" spans="2:16" ht="20.25" thickBot="1" thickTop="1">
      <c r="B57" s="279"/>
      <c r="C57" s="80"/>
      <c r="D57" s="76"/>
      <c r="E57" s="76"/>
      <c r="F57" s="82"/>
      <c r="G57" s="77"/>
      <c r="H57" s="237" t="s">
        <v>112</v>
      </c>
      <c r="I57" s="497">
        <f>IF($E$53&gt;3*I50,3*I50,$E$53)</f>
        <v>5766.030914693573</v>
      </c>
      <c r="J57" s="77"/>
      <c r="K57" s="77"/>
      <c r="L57" s="77"/>
      <c r="M57" s="77"/>
      <c r="N57" s="78"/>
      <c r="O57" s="79"/>
      <c r="P57" s="289"/>
    </row>
    <row r="58" spans="2:16" ht="16.5" thickBot="1" thickTop="1">
      <c r="B58" s="295"/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7"/>
    </row>
    <row r="59" spans="2:16" ht="13.5" thickTop="1">
      <c r="B59" s="1"/>
      <c r="P59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8" ht="12" customHeight="1"/>
    <row r="104" ht="12.75">
      <c r="B104" s="1"/>
    </row>
    <row r="110" ht="12.75">
      <c r="A110" s="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5" r:id="rId4"/>
  <headerFooter alignWithMargins="0">
    <oddFooter>&amp;L&amp;"Times New Roman,Normal"&amp;8&amp;Z&amp;F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AB88"/>
  <sheetViews>
    <sheetView tabSelected="1" zoomScale="70" zoomScaleNormal="70" zoomScalePageLayoutView="0" workbookViewId="0" topLeftCell="A1">
      <selection activeCell="L14" sqref="L14"/>
    </sheetView>
  </sheetViews>
  <sheetFormatPr defaultColWidth="11.421875" defaultRowHeight="12.75"/>
  <cols>
    <col min="1" max="2" width="4.28125" style="0" customWidth="1"/>
    <col min="3" max="3" width="5.421875" style="0" customWidth="1"/>
    <col min="4" max="5" width="13.7109375" style="0" customWidth="1"/>
    <col min="6" max="6" width="45.7109375" style="0" customWidth="1"/>
    <col min="7" max="7" width="9.7109375" style="0" customWidth="1"/>
    <col min="8" max="8" width="9.421875" style="0" customWidth="1"/>
    <col min="9" max="9" width="12.7109375" style="0" hidden="1" customWidth="1"/>
    <col min="10" max="11" width="15.7109375" style="0" customWidth="1"/>
    <col min="12" max="14" width="9.7109375" style="0" customWidth="1"/>
    <col min="16" max="25" width="14.140625" style="0" hidden="1" customWidth="1"/>
    <col min="26" max="26" width="14.140625" style="0" customWidth="1"/>
    <col min="27" max="27" width="15.7109375" style="0" customWidth="1"/>
    <col min="28" max="28" width="4.28125" style="0" customWidth="1"/>
  </cols>
  <sheetData>
    <row r="1" s="109" customFormat="1" ht="26.25">
      <c r="AB1" s="416"/>
    </row>
    <row r="2" spans="2:28" s="109" customFormat="1" ht="26.25">
      <c r="B2" s="110" t="str">
        <f>+'TOT-0814'!B2</f>
        <v>ANEXO II al Memorándum  D.T.E.E.  N°  301 /2016              .-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</row>
    <row r="3" s="10" customFormat="1" ht="12.75"/>
    <row r="4" spans="1:3" s="112" customFormat="1" ht="11.25">
      <c r="A4" s="701" t="s">
        <v>16</v>
      </c>
      <c r="C4" s="700"/>
    </row>
    <row r="5" spans="1:3" s="112" customFormat="1" ht="11.25">
      <c r="A5" s="701" t="s">
        <v>145</v>
      </c>
      <c r="C5" s="700"/>
    </row>
    <row r="6" s="10" customFormat="1" ht="13.5" thickBot="1"/>
    <row r="7" spans="1:28" s="10" customFormat="1" ht="13.5" thickTop="1">
      <c r="A7" s="8"/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3"/>
    </row>
    <row r="8" spans="1:28" s="114" customFormat="1" ht="20.25">
      <c r="A8" s="45"/>
      <c r="B8" s="113"/>
      <c r="C8" s="45"/>
      <c r="D8" s="45"/>
      <c r="E8" s="45"/>
      <c r="F8" s="21" t="s">
        <v>40</v>
      </c>
      <c r="G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115"/>
    </row>
    <row r="9" spans="1:28" s="10" customFormat="1" ht="12.75">
      <c r="A9" s="8"/>
      <c r="B9" s="44"/>
      <c r="C9" s="8"/>
      <c r="D9" s="8"/>
      <c r="E9" s="8"/>
      <c r="F9" s="126"/>
      <c r="G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11"/>
    </row>
    <row r="10" spans="1:28" s="114" customFormat="1" ht="20.25">
      <c r="A10" s="45"/>
      <c r="B10" s="113"/>
      <c r="C10" s="45"/>
      <c r="D10" s="45"/>
      <c r="E10" s="45"/>
      <c r="F10" s="21" t="s">
        <v>41</v>
      </c>
      <c r="G10" s="21"/>
      <c r="H10" s="45"/>
      <c r="I10" s="116"/>
      <c r="J10" s="116"/>
      <c r="K10" s="116"/>
      <c r="L10" s="116"/>
      <c r="M10" s="116"/>
      <c r="N10" s="116"/>
      <c r="O10" s="116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115"/>
    </row>
    <row r="11" spans="1:28" s="10" customFormat="1" ht="12.75">
      <c r="A11" s="8"/>
      <c r="B11" s="44"/>
      <c r="C11" s="8"/>
      <c r="D11" s="8"/>
      <c r="E11" s="8"/>
      <c r="F11" s="125"/>
      <c r="G11" s="123"/>
      <c r="H11" s="8"/>
      <c r="I11" s="122"/>
      <c r="J11" s="122"/>
      <c r="K11" s="122"/>
      <c r="L11" s="122"/>
      <c r="M11" s="122"/>
      <c r="N11" s="122"/>
      <c r="O11" s="122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11"/>
    </row>
    <row r="12" spans="1:28" s="114" customFormat="1" ht="20.25">
      <c r="A12" s="45"/>
      <c r="B12" s="113"/>
      <c r="C12" s="45"/>
      <c r="D12" s="45"/>
      <c r="E12" s="45"/>
      <c r="F12" s="21" t="s">
        <v>42</v>
      </c>
      <c r="G12" s="21"/>
      <c r="H12" s="45"/>
      <c r="I12" s="116"/>
      <c r="J12" s="116"/>
      <c r="K12" s="116"/>
      <c r="L12" s="116"/>
      <c r="M12" s="116"/>
      <c r="N12" s="116"/>
      <c r="O12" s="116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115"/>
    </row>
    <row r="13" spans="1:28" s="10" customFormat="1" ht="12.75">
      <c r="A13" s="8"/>
      <c r="B13" s="44"/>
      <c r="C13" s="8"/>
      <c r="D13" s="8"/>
      <c r="E13" s="8"/>
      <c r="F13" s="125"/>
      <c r="G13" s="123"/>
      <c r="H13" s="8"/>
      <c r="I13" s="122"/>
      <c r="J13" s="122"/>
      <c r="K13" s="122"/>
      <c r="L13" s="122"/>
      <c r="M13" s="122"/>
      <c r="N13" s="122"/>
      <c r="O13" s="122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11"/>
    </row>
    <row r="14" spans="1:28" s="121" customFormat="1" ht="19.5">
      <c r="A14" s="47"/>
      <c r="B14" s="87" t="str">
        <f>+'TOT-0814'!B14</f>
        <v>Desde el 01 al 31 de agosto de 2014</v>
      </c>
      <c r="C14" s="117"/>
      <c r="D14" s="117"/>
      <c r="E14" s="117"/>
      <c r="F14" s="117"/>
      <c r="G14" s="118"/>
      <c r="H14" s="118"/>
      <c r="I14" s="119"/>
      <c r="J14" s="119"/>
      <c r="K14" s="119"/>
      <c r="L14" s="119"/>
      <c r="M14" s="119"/>
      <c r="N14" s="119"/>
      <c r="O14" s="119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20"/>
    </row>
    <row r="15" spans="1:28" s="10" customFormat="1" ht="13.5" thickBot="1">
      <c r="A15" s="8"/>
      <c r="B15" s="44"/>
      <c r="C15" s="8"/>
      <c r="D15" s="8"/>
      <c r="E15" s="8"/>
      <c r="F15" s="8"/>
      <c r="G15" s="123"/>
      <c r="H15" s="124"/>
      <c r="I15" s="122"/>
      <c r="J15" s="122"/>
      <c r="K15" s="122"/>
      <c r="L15" s="122"/>
      <c r="M15" s="122"/>
      <c r="N15" s="122"/>
      <c r="O15" s="122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11"/>
    </row>
    <row r="16" spans="1:28" s="95" customFormat="1" ht="16.5" customHeight="1" thickBot="1" thickTop="1">
      <c r="A16" s="91"/>
      <c r="B16" s="92"/>
      <c r="C16" s="91"/>
      <c r="D16" s="91"/>
      <c r="E16" s="91"/>
      <c r="F16" s="508" t="s">
        <v>43</v>
      </c>
      <c r="G16" s="509">
        <v>232.594</v>
      </c>
      <c r="H16" s="510"/>
      <c r="I16" s="96"/>
      <c r="J16" s="96"/>
      <c r="K16" s="96"/>
      <c r="L16" s="96"/>
      <c r="M16" s="96"/>
      <c r="N16" s="96"/>
      <c r="O16" s="96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4"/>
    </row>
    <row r="17" spans="1:28" s="95" customFormat="1" ht="16.5" customHeight="1" thickBot="1" thickTop="1">
      <c r="A17" s="91"/>
      <c r="B17" s="92"/>
      <c r="C17" s="91"/>
      <c r="D17" s="91"/>
      <c r="E17" s="91"/>
      <c r="F17" s="508" t="s">
        <v>44</v>
      </c>
      <c r="G17" s="509">
        <v>222.257</v>
      </c>
      <c r="H17" s="511"/>
      <c r="I17" s="91"/>
      <c r="K17" s="97" t="s">
        <v>45</v>
      </c>
      <c r="L17" s="98">
        <f>30*'TOT-0814'!B13</f>
        <v>30</v>
      </c>
      <c r="M17" s="239" t="str">
        <f>IF(L17=30," ",IF(L17=60,"Coeficiente duplicado por tasa de falla &gt;4 Sal. x año/100 km.","REVISAR COEFICIENTE"))</f>
        <v> </v>
      </c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4"/>
    </row>
    <row r="18" spans="1:28" s="724" customFormat="1" ht="14.25" thickBot="1" thickTop="1">
      <c r="A18" s="720"/>
      <c r="B18" s="721"/>
      <c r="C18" s="722">
        <v>3</v>
      </c>
      <c r="D18" s="722">
        <v>4</v>
      </c>
      <c r="E18" s="722">
        <v>5</v>
      </c>
      <c r="F18" s="722">
        <v>6</v>
      </c>
      <c r="G18" s="722">
        <v>7</v>
      </c>
      <c r="H18" s="722">
        <v>8</v>
      </c>
      <c r="I18" s="722">
        <v>9</v>
      </c>
      <c r="J18" s="722">
        <v>10</v>
      </c>
      <c r="K18" s="722">
        <v>11</v>
      </c>
      <c r="L18" s="722">
        <v>12</v>
      </c>
      <c r="M18" s="722">
        <v>13</v>
      </c>
      <c r="N18" s="722">
        <v>14</v>
      </c>
      <c r="O18" s="722">
        <v>15</v>
      </c>
      <c r="P18" s="722">
        <v>16</v>
      </c>
      <c r="Q18" s="722">
        <v>17</v>
      </c>
      <c r="R18" s="722">
        <v>18</v>
      </c>
      <c r="S18" s="722">
        <v>19</v>
      </c>
      <c r="T18" s="722">
        <v>20</v>
      </c>
      <c r="U18" s="722">
        <v>21</v>
      </c>
      <c r="V18" s="722">
        <v>22</v>
      </c>
      <c r="W18" s="722">
        <v>23</v>
      </c>
      <c r="X18" s="722">
        <v>24</v>
      </c>
      <c r="Y18" s="722">
        <v>25</v>
      </c>
      <c r="Z18" s="722">
        <v>26</v>
      </c>
      <c r="AA18" s="722">
        <v>27</v>
      </c>
      <c r="AB18" s="723"/>
    </row>
    <row r="19" spans="1:28" s="108" customFormat="1" ht="33.75" customHeight="1" thickBot="1" thickTop="1">
      <c r="A19" s="99"/>
      <c r="B19" s="100"/>
      <c r="C19" s="101" t="s">
        <v>46</v>
      </c>
      <c r="D19" s="101" t="s">
        <v>144</v>
      </c>
      <c r="E19" s="101" t="s">
        <v>143</v>
      </c>
      <c r="F19" s="102" t="s">
        <v>19</v>
      </c>
      <c r="G19" s="103" t="s">
        <v>47</v>
      </c>
      <c r="H19" s="104" t="s">
        <v>48</v>
      </c>
      <c r="I19" s="269" t="s">
        <v>49</v>
      </c>
      <c r="J19" s="102" t="s">
        <v>50</v>
      </c>
      <c r="K19" s="102" t="s">
        <v>51</v>
      </c>
      <c r="L19" s="103" t="s">
        <v>52</v>
      </c>
      <c r="M19" s="103" t="s">
        <v>53</v>
      </c>
      <c r="N19" s="105" t="s">
        <v>54</v>
      </c>
      <c r="O19" s="103" t="s">
        <v>55</v>
      </c>
      <c r="P19" s="298" t="s">
        <v>56</v>
      </c>
      <c r="Q19" s="301" t="s">
        <v>57</v>
      </c>
      <c r="R19" s="304" t="s">
        <v>58</v>
      </c>
      <c r="S19" s="305"/>
      <c r="T19" s="306"/>
      <c r="U19" s="315" t="s">
        <v>59</v>
      </c>
      <c r="V19" s="316"/>
      <c r="W19" s="317"/>
      <c r="X19" s="325" t="s">
        <v>60</v>
      </c>
      <c r="Y19" s="328" t="s">
        <v>61</v>
      </c>
      <c r="Z19" s="106" t="s">
        <v>62</v>
      </c>
      <c r="AA19" s="106" t="s">
        <v>63</v>
      </c>
      <c r="AB19" s="107"/>
    </row>
    <row r="20" spans="1:28" ht="16.5" customHeight="1" thickTop="1">
      <c r="A20" s="1"/>
      <c r="B20" s="2"/>
      <c r="C20" s="51"/>
      <c r="D20" s="699"/>
      <c r="E20" s="699"/>
      <c r="F20" s="413"/>
      <c r="G20" s="53"/>
      <c r="H20" s="53"/>
      <c r="I20" s="405"/>
      <c r="J20" s="53"/>
      <c r="K20" s="54"/>
      <c r="L20" s="54"/>
      <c r="M20" s="54"/>
      <c r="N20" s="52"/>
      <c r="O20" s="53"/>
      <c r="P20" s="299"/>
      <c r="Q20" s="302"/>
      <c r="R20" s="307"/>
      <c r="S20" s="308"/>
      <c r="T20" s="309"/>
      <c r="U20" s="318"/>
      <c r="V20" s="319"/>
      <c r="W20" s="320"/>
      <c r="X20" s="326"/>
      <c r="Y20" s="329"/>
      <c r="Z20" s="313"/>
      <c r="AA20" s="414"/>
      <c r="AB20" s="3"/>
    </row>
    <row r="21" spans="1:28" ht="16.5" customHeight="1">
      <c r="A21" s="1"/>
      <c r="B21" s="2"/>
      <c r="C21" s="534"/>
      <c r="D21" s="697"/>
      <c r="E21" s="697"/>
      <c r="F21" s="534"/>
      <c r="G21" s="535"/>
      <c r="H21" s="535"/>
      <c r="I21" s="406"/>
      <c r="J21" s="534"/>
      <c r="K21" s="536"/>
      <c r="L21" s="90"/>
      <c r="M21" s="90"/>
      <c r="N21" s="537"/>
      <c r="O21" s="534"/>
      <c r="P21" s="538"/>
      <c r="Q21" s="539"/>
      <c r="R21" s="540"/>
      <c r="S21" s="541"/>
      <c r="T21" s="542"/>
      <c r="U21" s="543"/>
      <c r="V21" s="544"/>
      <c r="W21" s="545"/>
      <c r="X21" s="546"/>
      <c r="Y21" s="547"/>
      <c r="Z21" s="548"/>
      <c r="AA21" s="90"/>
      <c r="AB21" s="3"/>
    </row>
    <row r="22" spans="1:28" ht="16.5" customHeight="1">
      <c r="A22" s="1"/>
      <c r="B22" s="2"/>
      <c r="C22" s="512">
        <v>1</v>
      </c>
      <c r="D22" s="512">
        <v>277694</v>
      </c>
      <c r="E22" s="512">
        <v>1628</v>
      </c>
      <c r="F22" s="513" t="s">
        <v>153</v>
      </c>
      <c r="G22" s="514">
        <v>132</v>
      </c>
      <c r="H22" s="515">
        <v>112</v>
      </c>
      <c r="I22" s="407">
        <f aca="true" t="shared" si="0" ref="I22:I35">IF(H22&gt;25,H22,25)*IF(G22=330,$G$16,$G$17)/100</f>
        <v>248.92784</v>
      </c>
      <c r="J22" s="520">
        <v>41859.368055555555</v>
      </c>
      <c r="K22" s="520">
        <v>41859.67361111111</v>
      </c>
      <c r="L22" s="13">
        <f aca="true" t="shared" si="1" ref="L22:L35">IF(F22="","",(K22-J22)*24)</f>
        <v>7.333333333313931</v>
      </c>
      <c r="M22" s="14">
        <f aca="true" t="shared" si="2" ref="M22:M35">IF(F22="","",ROUND((K22-J22)*24*60,0))</f>
        <v>440</v>
      </c>
      <c r="N22" s="521" t="s">
        <v>150</v>
      </c>
      <c r="O22" s="719" t="s">
        <v>152</v>
      </c>
      <c r="P22" s="704">
        <f aca="true" t="shared" si="3" ref="P22:P35">IF(N22="P",ROUND(M22/60,2)*I22*$L$17*0.01,"--")</f>
        <v>547.39232016</v>
      </c>
      <c r="Q22" s="705" t="str">
        <f aca="true" t="shared" si="4" ref="Q22:Q35">IF(N22="RP",ROUND(M22/60,2)*I22*$L$17*0.01*O22/100,"--")</f>
        <v>--</v>
      </c>
      <c r="R22" s="706" t="str">
        <f aca="true" t="shared" si="5" ref="R22:R35">IF(N22="F",I22*$L$17,"--")</f>
        <v>--</v>
      </c>
      <c r="S22" s="707" t="str">
        <f aca="true" t="shared" si="6" ref="S22:S35">IF(AND(M22&gt;10,N22="F"),I22*$L$17*IF(M22&gt;180,3,ROUND(M22/60,2)),"--")</f>
        <v>--</v>
      </c>
      <c r="T22" s="708" t="str">
        <f aca="true" t="shared" si="7" ref="T22:T35">IF(AND(M22&gt;180,N22="F"),(ROUND(M22/60,2)-3)*I22*$L$17*0.1,"--")</f>
        <v>--</v>
      </c>
      <c r="U22" s="709" t="str">
        <f aca="true" t="shared" si="8" ref="U22:U35">IF(N22="R",I22*$L$17*O22/100,"--")</f>
        <v>--</v>
      </c>
      <c r="V22" s="710" t="str">
        <f aca="true" t="shared" si="9" ref="V22:V35">IF(AND(M22&gt;10,N22="R"),I22*$L$17*O22/100*IF(M22&gt;180,3,ROUND(M22/60,2)),"--")</f>
        <v>--</v>
      </c>
      <c r="W22" s="711" t="str">
        <f aca="true" t="shared" si="10" ref="W22:W35">IF(AND(M22&gt;180,N22="R"),(ROUND(M22/60,2)-3)*O22/100*I22*$L$17*0.1,"--")</f>
        <v>--</v>
      </c>
      <c r="X22" s="712" t="str">
        <f aca="true" t="shared" si="11" ref="X22:X35">IF(N22="RF",ROUND(M22/60,2)*I22*$L$17*0.1,"--")</f>
        <v>--</v>
      </c>
      <c r="Y22" s="713" t="str">
        <f aca="true" t="shared" si="12" ref="Y22:Y35">IF(N22="RR",ROUND(M22/60,2)*O22/100*I22*$L$17*0.1,"--")</f>
        <v>--</v>
      </c>
      <c r="Z22" s="714" t="s">
        <v>151</v>
      </c>
      <c r="AA22" s="55">
        <f aca="true" t="shared" si="13" ref="AA22:AA35">IF(F22="","",SUM(P22:Y22)*IF(Z22="SI",1,2))</f>
        <v>547.39232016</v>
      </c>
      <c r="AB22" s="3"/>
    </row>
    <row r="23" spans="1:28" ht="16.5" customHeight="1">
      <c r="A23" s="1"/>
      <c r="B23" s="2"/>
      <c r="C23" s="512">
        <v>2</v>
      </c>
      <c r="D23" s="512">
        <v>278408</v>
      </c>
      <c r="E23" s="512">
        <v>4881</v>
      </c>
      <c r="F23" s="513" t="s">
        <v>154</v>
      </c>
      <c r="G23" s="514">
        <v>132</v>
      </c>
      <c r="H23" s="515">
        <v>128</v>
      </c>
      <c r="I23" s="407">
        <f t="shared" si="0"/>
        <v>284.48896</v>
      </c>
      <c r="J23" s="520">
        <v>41881.333333333336</v>
      </c>
      <c r="K23" s="520">
        <v>41881.74375</v>
      </c>
      <c r="L23" s="13">
        <f t="shared" si="1"/>
        <v>9.849999999976717</v>
      </c>
      <c r="M23" s="14">
        <f t="shared" si="2"/>
        <v>591</v>
      </c>
      <c r="N23" s="521" t="s">
        <v>150</v>
      </c>
      <c r="O23" s="719" t="s">
        <v>152</v>
      </c>
      <c r="P23" s="704">
        <f t="shared" si="3"/>
        <v>840.6648768000001</v>
      </c>
      <c r="Q23" s="705" t="str">
        <f t="shared" si="4"/>
        <v>--</v>
      </c>
      <c r="R23" s="706" t="str">
        <f t="shared" si="5"/>
        <v>--</v>
      </c>
      <c r="S23" s="707" t="str">
        <f t="shared" si="6"/>
        <v>--</v>
      </c>
      <c r="T23" s="708" t="str">
        <f t="shared" si="7"/>
        <v>--</v>
      </c>
      <c r="U23" s="709" t="str">
        <f t="shared" si="8"/>
        <v>--</v>
      </c>
      <c r="V23" s="710" t="str">
        <f t="shared" si="9"/>
        <v>--</v>
      </c>
      <c r="W23" s="711" t="str">
        <f t="shared" si="10"/>
        <v>--</v>
      </c>
      <c r="X23" s="712" t="str">
        <f t="shared" si="11"/>
        <v>--</v>
      </c>
      <c r="Y23" s="713" t="str">
        <f t="shared" si="12"/>
        <v>--</v>
      </c>
      <c r="Z23" s="714" t="s">
        <v>151</v>
      </c>
      <c r="AA23" s="55">
        <f t="shared" si="13"/>
        <v>840.6648768000001</v>
      </c>
      <c r="AB23" s="3"/>
    </row>
    <row r="24" spans="1:28" ht="16.5" customHeight="1">
      <c r="A24" s="1"/>
      <c r="B24" s="2"/>
      <c r="C24" s="512"/>
      <c r="D24" s="512"/>
      <c r="E24" s="512"/>
      <c r="F24" s="513"/>
      <c r="G24" s="514"/>
      <c r="H24" s="515"/>
      <c r="I24" s="407">
        <f t="shared" si="0"/>
        <v>55.56425</v>
      </c>
      <c r="J24" s="520"/>
      <c r="K24" s="520"/>
      <c r="L24" s="13">
        <f t="shared" si="1"/>
      </c>
      <c r="M24" s="14">
        <f t="shared" si="2"/>
      </c>
      <c r="N24" s="521"/>
      <c r="O24" s="703">
        <f aca="true" t="shared" si="14" ref="O24:O35">IF(F24="","","--")</f>
      </c>
      <c r="P24" s="704" t="str">
        <f t="shared" si="3"/>
        <v>--</v>
      </c>
      <c r="Q24" s="705" t="str">
        <f t="shared" si="4"/>
        <v>--</v>
      </c>
      <c r="R24" s="706" t="str">
        <f t="shared" si="5"/>
        <v>--</v>
      </c>
      <c r="S24" s="707" t="str">
        <f t="shared" si="6"/>
        <v>--</v>
      </c>
      <c r="T24" s="708" t="str">
        <f t="shared" si="7"/>
        <v>--</v>
      </c>
      <c r="U24" s="709" t="str">
        <f t="shared" si="8"/>
        <v>--</v>
      </c>
      <c r="V24" s="710" t="str">
        <f t="shared" si="9"/>
        <v>--</v>
      </c>
      <c r="W24" s="711" t="str">
        <f t="shared" si="10"/>
        <v>--</v>
      </c>
      <c r="X24" s="712" t="str">
        <f t="shared" si="11"/>
        <v>--</v>
      </c>
      <c r="Y24" s="713" t="str">
        <f t="shared" si="12"/>
        <v>--</v>
      </c>
      <c r="Z24" s="714">
        <f aca="true" t="shared" si="15" ref="Z24:Z35">IF(F24="","","SI")</f>
      </c>
      <c r="AA24" s="55">
        <f t="shared" si="13"/>
      </c>
      <c r="AB24" s="3"/>
    </row>
    <row r="25" spans="1:28" ht="16.5" customHeight="1">
      <c r="A25" s="1"/>
      <c r="B25" s="2"/>
      <c r="C25" s="512"/>
      <c r="D25" s="512"/>
      <c r="E25" s="512"/>
      <c r="F25" s="513"/>
      <c r="G25" s="514"/>
      <c r="H25" s="515"/>
      <c r="I25" s="407">
        <f t="shared" si="0"/>
        <v>55.56425</v>
      </c>
      <c r="J25" s="520"/>
      <c r="K25" s="520"/>
      <c r="L25" s="13">
        <f t="shared" si="1"/>
      </c>
      <c r="M25" s="14">
        <f t="shared" si="2"/>
      </c>
      <c r="N25" s="521"/>
      <c r="O25" s="703">
        <f t="shared" si="14"/>
      </c>
      <c r="P25" s="704" t="str">
        <f t="shared" si="3"/>
        <v>--</v>
      </c>
      <c r="Q25" s="705" t="str">
        <f t="shared" si="4"/>
        <v>--</v>
      </c>
      <c r="R25" s="706" t="str">
        <f t="shared" si="5"/>
        <v>--</v>
      </c>
      <c r="S25" s="707" t="str">
        <f t="shared" si="6"/>
        <v>--</v>
      </c>
      <c r="T25" s="708" t="str">
        <f t="shared" si="7"/>
        <v>--</v>
      </c>
      <c r="U25" s="709" t="str">
        <f t="shared" si="8"/>
        <v>--</v>
      </c>
      <c r="V25" s="710" t="str">
        <f t="shared" si="9"/>
        <v>--</v>
      </c>
      <c r="W25" s="711" t="str">
        <f t="shared" si="10"/>
        <v>--</v>
      </c>
      <c r="X25" s="712" t="str">
        <f t="shared" si="11"/>
        <v>--</v>
      </c>
      <c r="Y25" s="713" t="str">
        <f t="shared" si="12"/>
        <v>--</v>
      </c>
      <c r="Z25" s="714">
        <f t="shared" si="15"/>
      </c>
      <c r="AA25" s="55">
        <f t="shared" si="13"/>
      </c>
      <c r="AB25" s="3"/>
    </row>
    <row r="26" spans="1:28" ht="16.5" customHeight="1">
      <c r="A26" s="1"/>
      <c r="B26" s="2"/>
      <c r="C26" s="512"/>
      <c r="D26" s="512"/>
      <c r="E26" s="512"/>
      <c r="F26" s="513"/>
      <c r="G26" s="514"/>
      <c r="H26" s="515"/>
      <c r="I26" s="407">
        <f t="shared" si="0"/>
        <v>55.56425</v>
      </c>
      <c r="J26" s="520"/>
      <c r="K26" s="520"/>
      <c r="L26" s="13">
        <f t="shared" si="1"/>
      </c>
      <c r="M26" s="14">
        <f t="shared" si="2"/>
      </c>
      <c r="N26" s="521"/>
      <c r="O26" s="703">
        <f t="shared" si="14"/>
      </c>
      <c r="P26" s="704" t="str">
        <f t="shared" si="3"/>
        <v>--</v>
      </c>
      <c r="Q26" s="705" t="str">
        <f t="shared" si="4"/>
        <v>--</v>
      </c>
      <c r="R26" s="706" t="str">
        <f t="shared" si="5"/>
        <v>--</v>
      </c>
      <c r="S26" s="707" t="str">
        <f t="shared" si="6"/>
        <v>--</v>
      </c>
      <c r="T26" s="708" t="str">
        <f t="shared" si="7"/>
        <v>--</v>
      </c>
      <c r="U26" s="709" t="str">
        <f t="shared" si="8"/>
        <v>--</v>
      </c>
      <c r="V26" s="710" t="str">
        <f t="shared" si="9"/>
        <v>--</v>
      </c>
      <c r="W26" s="711" t="str">
        <f t="shared" si="10"/>
        <v>--</v>
      </c>
      <c r="X26" s="712" t="str">
        <f t="shared" si="11"/>
        <v>--</v>
      </c>
      <c r="Y26" s="713" t="str">
        <f t="shared" si="12"/>
        <v>--</v>
      </c>
      <c r="Z26" s="714">
        <f t="shared" si="15"/>
      </c>
      <c r="AA26" s="55">
        <f t="shared" si="13"/>
      </c>
      <c r="AB26" s="3"/>
    </row>
    <row r="27" spans="1:28" ht="16.5" customHeight="1">
      <c r="A27" s="1"/>
      <c r="B27" s="2"/>
      <c r="C27" s="512"/>
      <c r="D27" s="512"/>
      <c r="E27" s="512"/>
      <c r="F27" s="513"/>
      <c r="G27" s="514"/>
      <c r="H27" s="515"/>
      <c r="I27" s="407">
        <f t="shared" si="0"/>
        <v>55.56425</v>
      </c>
      <c r="J27" s="520"/>
      <c r="K27" s="520"/>
      <c r="L27" s="13">
        <f t="shared" si="1"/>
      </c>
      <c r="M27" s="14">
        <f t="shared" si="2"/>
      </c>
      <c r="N27" s="521"/>
      <c r="O27" s="703">
        <f t="shared" si="14"/>
      </c>
      <c r="P27" s="704" t="str">
        <f t="shared" si="3"/>
        <v>--</v>
      </c>
      <c r="Q27" s="705" t="str">
        <f t="shared" si="4"/>
        <v>--</v>
      </c>
      <c r="R27" s="706" t="str">
        <f t="shared" si="5"/>
        <v>--</v>
      </c>
      <c r="S27" s="707" t="str">
        <f t="shared" si="6"/>
        <v>--</v>
      </c>
      <c r="T27" s="708" t="str">
        <f t="shared" si="7"/>
        <v>--</v>
      </c>
      <c r="U27" s="709" t="str">
        <f t="shared" si="8"/>
        <v>--</v>
      </c>
      <c r="V27" s="710" t="str">
        <f t="shared" si="9"/>
        <v>--</v>
      </c>
      <c r="W27" s="711" t="str">
        <f t="shared" si="10"/>
        <v>--</v>
      </c>
      <c r="X27" s="712" t="str">
        <f t="shared" si="11"/>
        <v>--</v>
      </c>
      <c r="Y27" s="713" t="str">
        <f t="shared" si="12"/>
        <v>--</v>
      </c>
      <c r="Z27" s="714">
        <f t="shared" si="15"/>
      </c>
      <c r="AA27" s="55">
        <f t="shared" si="13"/>
      </c>
      <c r="AB27" s="3"/>
    </row>
    <row r="28" spans="1:28" ht="16.5" customHeight="1">
      <c r="A28" s="1"/>
      <c r="B28" s="2"/>
      <c r="C28" s="512"/>
      <c r="D28" s="512"/>
      <c r="E28" s="512"/>
      <c r="F28" s="513"/>
      <c r="G28" s="514"/>
      <c r="H28" s="515"/>
      <c r="I28" s="407">
        <f t="shared" si="0"/>
        <v>55.56425</v>
      </c>
      <c r="J28" s="520"/>
      <c r="K28" s="520"/>
      <c r="L28" s="13">
        <f t="shared" si="1"/>
      </c>
      <c r="M28" s="14">
        <f t="shared" si="2"/>
      </c>
      <c r="N28" s="521"/>
      <c r="O28" s="703">
        <f t="shared" si="14"/>
      </c>
      <c r="P28" s="704" t="str">
        <f t="shared" si="3"/>
        <v>--</v>
      </c>
      <c r="Q28" s="705" t="str">
        <f t="shared" si="4"/>
        <v>--</v>
      </c>
      <c r="R28" s="706" t="str">
        <f t="shared" si="5"/>
        <v>--</v>
      </c>
      <c r="S28" s="707" t="str">
        <f t="shared" si="6"/>
        <v>--</v>
      </c>
      <c r="T28" s="708" t="str">
        <f t="shared" si="7"/>
        <v>--</v>
      </c>
      <c r="U28" s="709" t="str">
        <f t="shared" si="8"/>
        <v>--</v>
      </c>
      <c r="V28" s="710" t="str">
        <f t="shared" si="9"/>
        <v>--</v>
      </c>
      <c r="W28" s="711" t="str">
        <f t="shared" si="10"/>
        <v>--</v>
      </c>
      <c r="X28" s="712" t="str">
        <f t="shared" si="11"/>
        <v>--</v>
      </c>
      <c r="Y28" s="713" t="str">
        <f t="shared" si="12"/>
        <v>--</v>
      </c>
      <c r="Z28" s="714">
        <f t="shared" si="15"/>
      </c>
      <c r="AA28" s="55">
        <f t="shared" si="13"/>
      </c>
      <c r="AB28" s="3"/>
    </row>
    <row r="29" spans="1:28" ht="16.5" customHeight="1">
      <c r="A29" s="1"/>
      <c r="B29" s="2"/>
      <c r="C29" s="512"/>
      <c r="D29" s="512"/>
      <c r="E29" s="512"/>
      <c r="F29" s="513"/>
      <c r="G29" s="514"/>
      <c r="H29" s="515"/>
      <c r="I29" s="407">
        <f t="shared" si="0"/>
        <v>55.56425</v>
      </c>
      <c r="J29" s="520"/>
      <c r="K29" s="520"/>
      <c r="L29" s="13">
        <f t="shared" si="1"/>
      </c>
      <c r="M29" s="14">
        <f t="shared" si="2"/>
      </c>
      <c r="N29" s="521"/>
      <c r="O29" s="703">
        <f t="shared" si="14"/>
      </c>
      <c r="P29" s="704" t="str">
        <f t="shared" si="3"/>
        <v>--</v>
      </c>
      <c r="Q29" s="705" t="str">
        <f t="shared" si="4"/>
        <v>--</v>
      </c>
      <c r="R29" s="706" t="str">
        <f t="shared" si="5"/>
        <v>--</v>
      </c>
      <c r="S29" s="707" t="str">
        <f t="shared" si="6"/>
        <v>--</v>
      </c>
      <c r="T29" s="708" t="str">
        <f t="shared" si="7"/>
        <v>--</v>
      </c>
      <c r="U29" s="709" t="str">
        <f t="shared" si="8"/>
        <v>--</v>
      </c>
      <c r="V29" s="710" t="str">
        <f t="shared" si="9"/>
        <v>--</v>
      </c>
      <c r="W29" s="711" t="str">
        <f t="shared" si="10"/>
        <v>--</v>
      </c>
      <c r="X29" s="712" t="str">
        <f t="shared" si="11"/>
        <v>--</v>
      </c>
      <c r="Y29" s="713" t="str">
        <f t="shared" si="12"/>
        <v>--</v>
      </c>
      <c r="Z29" s="714">
        <f t="shared" si="15"/>
      </c>
      <c r="AA29" s="55">
        <f t="shared" si="13"/>
      </c>
      <c r="AB29" s="3"/>
    </row>
    <row r="30" spans="1:28" ht="16.5" customHeight="1">
      <c r="A30" s="1"/>
      <c r="B30" s="2"/>
      <c r="C30" s="512"/>
      <c r="D30" s="512"/>
      <c r="E30" s="512"/>
      <c r="F30" s="513"/>
      <c r="G30" s="514"/>
      <c r="H30" s="515"/>
      <c r="I30" s="407">
        <f t="shared" si="0"/>
        <v>55.56425</v>
      </c>
      <c r="J30" s="520"/>
      <c r="K30" s="520"/>
      <c r="L30" s="13">
        <f t="shared" si="1"/>
      </c>
      <c r="M30" s="14">
        <f t="shared" si="2"/>
      </c>
      <c r="N30" s="521"/>
      <c r="O30" s="703">
        <f t="shared" si="14"/>
      </c>
      <c r="P30" s="704" t="str">
        <f t="shared" si="3"/>
        <v>--</v>
      </c>
      <c r="Q30" s="705" t="str">
        <f t="shared" si="4"/>
        <v>--</v>
      </c>
      <c r="R30" s="706" t="str">
        <f t="shared" si="5"/>
        <v>--</v>
      </c>
      <c r="S30" s="707" t="str">
        <f t="shared" si="6"/>
        <v>--</v>
      </c>
      <c r="T30" s="708" t="str">
        <f t="shared" si="7"/>
        <v>--</v>
      </c>
      <c r="U30" s="709" t="str">
        <f t="shared" si="8"/>
        <v>--</v>
      </c>
      <c r="V30" s="710" t="str">
        <f t="shared" si="9"/>
        <v>--</v>
      </c>
      <c r="W30" s="711" t="str">
        <f t="shared" si="10"/>
        <v>--</v>
      </c>
      <c r="X30" s="712" t="str">
        <f t="shared" si="11"/>
        <v>--</v>
      </c>
      <c r="Y30" s="713" t="str">
        <f t="shared" si="12"/>
        <v>--</v>
      </c>
      <c r="Z30" s="714">
        <f t="shared" si="15"/>
      </c>
      <c r="AA30" s="55">
        <f t="shared" si="13"/>
      </c>
      <c r="AB30" s="3"/>
    </row>
    <row r="31" spans="1:28" ht="16.5" customHeight="1">
      <c r="A31" s="1"/>
      <c r="B31" s="2"/>
      <c r="C31" s="512"/>
      <c r="D31" s="512"/>
      <c r="E31" s="512"/>
      <c r="F31" s="513"/>
      <c r="G31" s="514"/>
      <c r="H31" s="515"/>
      <c r="I31" s="407">
        <f t="shared" si="0"/>
        <v>55.56425</v>
      </c>
      <c r="J31" s="520"/>
      <c r="K31" s="520"/>
      <c r="L31" s="13">
        <f t="shared" si="1"/>
      </c>
      <c r="M31" s="14">
        <f t="shared" si="2"/>
      </c>
      <c r="N31" s="521"/>
      <c r="O31" s="703">
        <f t="shared" si="14"/>
      </c>
      <c r="P31" s="704" t="str">
        <f t="shared" si="3"/>
        <v>--</v>
      </c>
      <c r="Q31" s="705" t="str">
        <f t="shared" si="4"/>
        <v>--</v>
      </c>
      <c r="R31" s="706" t="str">
        <f t="shared" si="5"/>
        <v>--</v>
      </c>
      <c r="S31" s="707" t="str">
        <f t="shared" si="6"/>
        <v>--</v>
      </c>
      <c r="T31" s="708" t="str">
        <f t="shared" si="7"/>
        <v>--</v>
      </c>
      <c r="U31" s="709" t="str">
        <f t="shared" si="8"/>
        <v>--</v>
      </c>
      <c r="V31" s="710" t="str">
        <f t="shared" si="9"/>
        <v>--</v>
      </c>
      <c r="W31" s="711" t="str">
        <f t="shared" si="10"/>
        <v>--</v>
      </c>
      <c r="X31" s="712" t="str">
        <f t="shared" si="11"/>
        <v>--</v>
      </c>
      <c r="Y31" s="713" t="str">
        <f t="shared" si="12"/>
        <v>--</v>
      </c>
      <c r="Z31" s="714">
        <f t="shared" si="15"/>
      </c>
      <c r="AA31" s="55">
        <f t="shared" si="13"/>
      </c>
      <c r="AB31" s="3"/>
    </row>
    <row r="32" spans="1:28" ht="16.5" customHeight="1">
      <c r="A32" s="1"/>
      <c r="B32" s="2"/>
      <c r="C32" s="512"/>
      <c r="D32" s="512"/>
      <c r="E32" s="512"/>
      <c r="F32" s="513"/>
      <c r="G32" s="514"/>
      <c r="H32" s="515"/>
      <c r="I32" s="407">
        <f t="shared" si="0"/>
        <v>55.56425</v>
      </c>
      <c r="J32" s="520"/>
      <c r="K32" s="520"/>
      <c r="L32" s="13">
        <f t="shared" si="1"/>
      </c>
      <c r="M32" s="14">
        <f t="shared" si="2"/>
      </c>
      <c r="N32" s="521"/>
      <c r="O32" s="703">
        <f t="shared" si="14"/>
      </c>
      <c r="P32" s="704" t="str">
        <f t="shared" si="3"/>
        <v>--</v>
      </c>
      <c r="Q32" s="705" t="str">
        <f t="shared" si="4"/>
        <v>--</v>
      </c>
      <c r="R32" s="706" t="str">
        <f t="shared" si="5"/>
        <v>--</v>
      </c>
      <c r="S32" s="707" t="str">
        <f t="shared" si="6"/>
        <v>--</v>
      </c>
      <c r="T32" s="708" t="str">
        <f t="shared" si="7"/>
        <v>--</v>
      </c>
      <c r="U32" s="709" t="str">
        <f t="shared" si="8"/>
        <v>--</v>
      </c>
      <c r="V32" s="710" t="str">
        <f t="shared" si="9"/>
        <v>--</v>
      </c>
      <c r="W32" s="711" t="str">
        <f t="shared" si="10"/>
        <v>--</v>
      </c>
      <c r="X32" s="712" t="str">
        <f t="shared" si="11"/>
        <v>--</v>
      </c>
      <c r="Y32" s="713" t="str">
        <f t="shared" si="12"/>
        <v>--</v>
      </c>
      <c r="Z32" s="714">
        <f t="shared" si="15"/>
      </c>
      <c r="AA32" s="55">
        <f t="shared" si="13"/>
      </c>
      <c r="AB32" s="3"/>
    </row>
    <row r="33" spans="1:28" ht="16.5" customHeight="1">
      <c r="A33" s="1"/>
      <c r="B33" s="2"/>
      <c r="C33" s="512"/>
      <c r="D33" s="512"/>
      <c r="E33" s="512"/>
      <c r="F33" s="513"/>
      <c r="G33" s="514"/>
      <c r="H33" s="515"/>
      <c r="I33" s="407">
        <f t="shared" si="0"/>
        <v>55.56425</v>
      </c>
      <c r="J33" s="520"/>
      <c r="K33" s="520"/>
      <c r="L33" s="13">
        <f t="shared" si="1"/>
      </c>
      <c r="M33" s="14">
        <f t="shared" si="2"/>
      </c>
      <c r="N33" s="521"/>
      <c r="O33" s="703">
        <f t="shared" si="14"/>
      </c>
      <c r="P33" s="704" t="str">
        <f t="shared" si="3"/>
        <v>--</v>
      </c>
      <c r="Q33" s="705" t="str">
        <f t="shared" si="4"/>
        <v>--</v>
      </c>
      <c r="R33" s="706" t="str">
        <f t="shared" si="5"/>
        <v>--</v>
      </c>
      <c r="S33" s="707" t="str">
        <f t="shared" si="6"/>
        <v>--</v>
      </c>
      <c r="T33" s="708" t="str">
        <f t="shared" si="7"/>
        <v>--</v>
      </c>
      <c r="U33" s="709" t="str">
        <f t="shared" si="8"/>
        <v>--</v>
      </c>
      <c r="V33" s="710" t="str">
        <f t="shared" si="9"/>
        <v>--</v>
      </c>
      <c r="W33" s="711" t="str">
        <f t="shared" si="10"/>
        <v>--</v>
      </c>
      <c r="X33" s="712" t="str">
        <f t="shared" si="11"/>
        <v>--</v>
      </c>
      <c r="Y33" s="713" t="str">
        <f t="shared" si="12"/>
        <v>--</v>
      </c>
      <c r="Z33" s="714">
        <f t="shared" si="15"/>
      </c>
      <c r="AA33" s="55">
        <f t="shared" si="13"/>
      </c>
      <c r="AB33" s="3"/>
    </row>
    <row r="34" spans="1:28" ht="16.5" customHeight="1">
      <c r="A34" s="1"/>
      <c r="B34" s="2"/>
      <c r="C34" s="512"/>
      <c r="D34" s="512"/>
      <c r="E34" s="512"/>
      <c r="F34" s="513"/>
      <c r="G34" s="514"/>
      <c r="H34" s="515"/>
      <c r="I34" s="407">
        <f t="shared" si="0"/>
        <v>55.56425</v>
      </c>
      <c r="J34" s="520"/>
      <c r="K34" s="520"/>
      <c r="L34" s="13">
        <f t="shared" si="1"/>
      </c>
      <c r="M34" s="14">
        <f t="shared" si="2"/>
      </c>
      <c r="N34" s="521"/>
      <c r="O34" s="703">
        <f t="shared" si="14"/>
      </c>
      <c r="P34" s="704" t="str">
        <f t="shared" si="3"/>
        <v>--</v>
      </c>
      <c r="Q34" s="705" t="str">
        <f t="shared" si="4"/>
        <v>--</v>
      </c>
      <c r="R34" s="706" t="str">
        <f t="shared" si="5"/>
        <v>--</v>
      </c>
      <c r="S34" s="707" t="str">
        <f t="shared" si="6"/>
        <v>--</v>
      </c>
      <c r="T34" s="708" t="str">
        <f t="shared" si="7"/>
        <v>--</v>
      </c>
      <c r="U34" s="709" t="str">
        <f t="shared" si="8"/>
        <v>--</v>
      </c>
      <c r="V34" s="710" t="str">
        <f t="shared" si="9"/>
        <v>--</v>
      </c>
      <c r="W34" s="711" t="str">
        <f t="shared" si="10"/>
        <v>--</v>
      </c>
      <c r="X34" s="712" t="str">
        <f t="shared" si="11"/>
        <v>--</v>
      </c>
      <c r="Y34" s="713" t="str">
        <f t="shared" si="12"/>
        <v>--</v>
      </c>
      <c r="Z34" s="714">
        <f t="shared" si="15"/>
      </c>
      <c r="AA34" s="55">
        <f t="shared" si="13"/>
      </c>
      <c r="AB34" s="3"/>
    </row>
    <row r="35" spans="2:28" ht="16.5" customHeight="1">
      <c r="B35" s="56"/>
      <c r="C35" s="512"/>
      <c r="D35" s="512"/>
      <c r="E35" s="512"/>
      <c r="F35" s="513"/>
      <c r="G35" s="514"/>
      <c r="H35" s="515"/>
      <c r="I35" s="407">
        <f t="shared" si="0"/>
        <v>55.56425</v>
      </c>
      <c r="J35" s="520"/>
      <c r="K35" s="520"/>
      <c r="L35" s="13">
        <f t="shared" si="1"/>
      </c>
      <c r="M35" s="14">
        <f t="shared" si="2"/>
      </c>
      <c r="N35" s="521"/>
      <c r="O35" s="703">
        <f t="shared" si="14"/>
      </c>
      <c r="P35" s="704" t="str">
        <f t="shared" si="3"/>
        <v>--</v>
      </c>
      <c r="Q35" s="705" t="str">
        <f t="shared" si="4"/>
        <v>--</v>
      </c>
      <c r="R35" s="706" t="str">
        <f t="shared" si="5"/>
        <v>--</v>
      </c>
      <c r="S35" s="707" t="str">
        <f t="shared" si="6"/>
        <v>--</v>
      </c>
      <c r="T35" s="708" t="str">
        <f t="shared" si="7"/>
        <v>--</v>
      </c>
      <c r="U35" s="709" t="str">
        <f t="shared" si="8"/>
        <v>--</v>
      </c>
      <c r="V35" s="710" t="str">
        <f t="shared" si="9"/>
        <v>--</v>
      </c>
      <c r="W35" s="711" t="str">
        <f t="shared" si="10"/>
        <v>--</v>
      </c>
      <c r="X35" s="712" t="str">
        <f t="shared" si="11"/>
        <v>--</v>
      </c>
      <c r="Y35" s="713" t="str">
        <f t="shared" si="12"/>
        <v>--</v>
      </c>
      <c r="Z35" s="714">
        <f t="shared" si="15"/>
      </c>
      <c r="AA35" s="55">
        <f t="shared" si="13"/>
      </c>
      <c r="AB35" s="3"/>
    </row>
    <row r="36" spans="2:28" ht="16.5" customHeight="1">
      <c r="B36" s="56"/>
      <c r="C36" s="512"/>
      <c r="D36" s="512"/>
      <c r="E36" s="512"/>
      <c r="F36" s="513"/>
      <c r="G36" s="514"/>
      <c r="H36" s="515"/>
      <c r="I36" s="407">
        <f>IF(H36&gt;25,H36,25)*IF(G36=330,$G$16,$G$17)/100</f>
        <v>55.56425</v>
      </c>
      <c r="J36" s="520"/>
      <c r="K36" s="520"/>
      <c r="L36" s="13">
        <f>IF(F36="","",(K36-J36)*24)</f>
      </c>
      <c r="M36" s="14">
        <f>IF(F36="","",ROUND((K36-J36)*24*60,0))</f>
      </c>
      <c r="N36" s="521"/>
      <c r="O36" s="703">
        <f>IF(F36="","","--")</f>
      </c>
      <c r="P36" s="704" t="str">
        <f>IF(N36="P",ROUND(M36/60,2)*I36*$L$17*0.01,"--")</f>
        <v>--</v>
      </c>
      <c r="Q36" s="705" t="str">
        <f>IF(N36="RP",ROUND(M36/60,2)*I36*$L$17*0.01*O36/100,"--")</f>
        <v>--</v>
      </c>
      <c r="R36" s="706" t="str">
        <f>IF(N36="F",I36*$L$17,"--")</f>
        <v>--</v>
      </c>
      <c r="S36" s="707" t="str">
        <f>IF(AND(M36&gt;10,N36="F"),I36*$L$17*IF(M36&gt;180,3,ROUND(M36/60,2)),"--")</f>
        <v>--</v>
      </c>
      <c r="T36" s="708" t="str">
        <f>IF(AND(M36&gt;180,N36="F"),(ROUND(M36/60,2)-3)*I36*$L$17*0.1,"--")</f>
        <v>--</v>
      </c>
      <c r="U36" s="709" t="str">
        <f>IF(N36="R",I36*$L$17*O36/100,"--")</f>
        <v>--</v>
      </c>
      <c r="V36" s="710" t="str">
        <f>IF(AND(M36&gt;10,N36="R"),I36*$L$17*O36/100*IF(M36&gt;180,3,ROUND(M36/60,2)),"--")</f>
        <v>--</v>
      </c>
      <c r="W36" s="711" t="str">
        <f>IF(AND(M36&gt;180,N36="R"),(ROUND(M36/60,2)-3)*O36/100*I36*$L$17*0.1,"--")</f>
        <v>--</v>
      </c>
      <c r="X36" s="712" t="str">
        <f>IF(N36="RF",ROUND(M36/60,2)*I36*$L$17*0.1,"--")</f>
        <v>--</v>
      </c>
      <c r="Y36" s="713" t="str">
        <f>IF(N36="RR",ROUND(M36/60,2)*O36/100*I36*$L$17*0.1,"--")</f>
        <v>--</v>
      </c>
      <c r="Z36" s="714">
        <f>IF(F36="","","SI")</f>
      </c>
      <c r="AA36" s="55">
        <f>IF(F36="","",SUM(P36:Y36)*IF(Z36="SI",1,2))</f>
      </c>
      <c r="AB36" s="3"/>
    </row>
    <row r="37" spans="2:28" ht="16.5" customHeight="1">
      <c r="B37" s="56"/>
      <c r="C37" s="512"/>
      <c r="D37" s="512"/>
      <c r="E37" s="512"/>
      <c r="F37" s="513"/>
      <c r="G37" s="514"/>
      <c r="H37" s="515"/>
      <c r="I37" s="407">
        <f>IF(H37&gt;25,H37,25)*IF(G37=330,$G$16,$G$17)/100</f>
        <v>55.56425</v>
      </c>
      <c r="J37" s="520"/>
      <c r="K37" s="520"/>
      <c r="L37" s="13">
        <f>IF(F37="","",(K37-J37)*24)</f>
      </c>
      <c r="M37" s="14">
        <f>IF(F37="","",ROUND((K37-J37)*24*60,0))</f>
      </c>
      <c r="N37" s="521"/>
      <c r="O37" s="703">
        <f>IF(F37="","","--")</f>
      </c>
      <c r="P37" s="704" t="str">
        <f>IF(N37="P",ROUND(M37/60,2)*I37*$L$17*0.01,"--")</f>
        <v>--</v>
      </c>
      <c r="Q37" s="705" t="str">
        <f>IF(N37="RP",ROUND(M37/60,2)*I37*$L$17*0.01*O37/100,"--")</f>
        <v>--</v>
      </c>
      <c r="R37" s="706" t="str">
        <f>IF(N37="F",I37*$L$17,"--")</f>
        <v>--</v>
      </c>
      <c r="S37" s="707" t="str">
        <f>IF(AND(M37&gt;10,N37="F"),I37*$L$17*IF(M37&gt;180,3,ROUND(M37/60,2)),"--")</f>
        <v>--</v>
      </c>
      <c r="T37" s="708" t="str">
        <f>IF(AND(M37&gt;180,N37="F"),(ROUND(M37/60,2)-3)*I37*$L$17*0.1,"--")</f>
        <v>--</v>
      </c>
      <c r="U37" s="709" t="str">
        <f>IF(N37="R",I37*$L$17*O37/100,"--")</f>
        <v>--</v>
      </c>
      <c r="V37" s="710" t="str">
        <f>IF(AND(M37&gt;10,N37="R"),I37*$L$17*O37/100*IF(M37&gt;180,3,ROUND(M37/60,2)),"--")</f>
        <v>--</v>
      </c>
      <c r="W37" s="711" t="str">
        <f>IF(AND(M37&gt;180,N37="R"),(ROUND(M37/60,2)-3)*O37/100*I37*$L$17*0.1,"--")</f>
        <v>--</v>
      </c>
      <c r="X37" s="712" t="str">
        <f>IF(N37="RF",ROUND(M37/60,2)*I37*$L$17*0.1,"--")</f>
        <v>--</v>
      </c>
      <c r="Y37" s="713" t="str">
        <f>IF(N37="RR",ROUND(M37/60,2)*O37/100*I37*$L$17*0.1,"--")</f>
        <v>--</v>
      </c>
      <c r="Z37" s="714">
        <f>IF(F37="","","SI")</f>
      </c>
      <c r="AA37" s="55">
        <f>IF(F37="","",SUM(P37:Y37)*IF(Z37="SI",1,2))</f>
      </c>
      <c r="AB37" s="3"/>
    </row>
    <row r="38" spans="2:28" ht="16.5" customHeight="1">
      <c r="B38" s="56"/>
      <c r="C38" s="512"/>
      <c r="D38" s="512"/>
      <c r="E38" s="512"/>
      <c r="F38" s="513"/>
      <c r="G38" s="514"/>
      <c r="H38" s="515"/>
      <c r="I38" s="407">
        <f>IF(H38&gt;25,H38,25)*IF(G38=330,$G$16,$G$17)/100</f>
        <v>55.56425</v>
      </c>
      <c r="J38" s="520"/>
      <c r="K38" s="520"/>
      <c r="L38" s="13">
        <f>IF(F38="","",(K38-J38)*24)</f>
      </c>
      <c r="M38" s="14">
        <f>IF(F38="","",ROUND((K38-J38)*24*60,0))</f>
      </c>
      <c r="N38" s="521"/>
      <c r="O38" s="703">
        <f>IF(F38="","","--")</f>
      </c>
      <c r="P38" s="704" t="str">
        <f>IF(N38="P",ROUND(M38/60,2)*I38*$L$17*0.01,"--")</f>
        <v>--</v>
      </c>
      <c r="Q38" s="705" t="str">
        <f>IF(N38="RP",ROUND(M38/60,2)*I38*$L$17*0.01*O38/100,"--")</f>
        <v>--</v>
      </c>
      <c r="R38" s="706" t="str">
        <f>IF(N38="F",I38*$L$17,"--")</f>
        <v>--</v>
      </c>
      <c r="S38" s="707" t="str">
        <f>IF(AND(M38&gt;10,N38="F"),I38*$L$17*IF(M38&gt;180,3,ROUND(M38/60,2)),"--")</f>
        <v>--</v>
      </c>
      <c r="T38" s="708" t="str">
        <f>IF(AND(M38&gt;180,N38="F"),(ROUND(M38/60,2)-3)*I38*$L$17*0.1,"--")</f>
        <v>--</v>
      </c>
      <c r="U38" s="709" t="str">
        <f>IF(N38="R",I38*$L$17*O38/100,"--")</f>
        <v>--</v>
      </c>
      <c r="V38" s="710" t="str">
        <f>IF(AND(M38&gt;10,N38="R"),I38*$L$17*O38/100*IF(M38&gt;180,3,ROUND(M38/60,2)),"--")</f>
        <v>--</v>
      </c>
      <c r="W38" s="711" t="str">
        <f>IF(AND(M38&gt;180,N38="R"),(ROUND(M38/60,2)-3)*O38/100*I38*$L$17*0.1,"--")</f>
        <v>--</v>
      </c>
      <c r="X38" s="712" t="str">
        <f>IF(N38="RF",ROUND(M38/60,2)*I38*$L$17*0.1,"--")</f>
        <v>--</v>
      </c>
      <c r="Y38" s="713" t="str">
        <f>IF(N38="RR",ROUND(M38/60,2)*O38/100*I38*$L$17*0.1,"--")</f>
        <v>--</v>
      </c>
      <c r="Z38" s="714">
        <f>IF(F38="","","SI")</f>
      </c>
      <c r="AA38" s="55">
        <f>IF(F38="","",SUM(P38:Y38)*IF(Z38="SI",1,2))</f>
      </c>
      <c r="AB38" s="3"/>
    </row>
    <row r="39" spans="1:28" ht="16.5" customHeight="1" thickBot="1">
      <c r="A39" s="1"/>
      <c r="B39" s="2"/>
      <c r="C39" s="516"/>
      <c r="D39" s="516"/>
      <c r="E39" s="516"/>
      <c r="F39" s="517"/>
      <c r="G39" s="518"/>
      <c r="H39" s="519"/>
      <c r="I39" s="408"/>
      <c r="J39" s="519"/>
      <c r="K39" s="519"/>
      <c r="L39" s="15"/>
      <c r="M39" s="15"/>
      <c r="N39" s="519"/>
      <c r="O39" s="522"/>
      <c r="P39" s="523"/>
      <c r="Q39" s="524"/>
      <c r="R39" s="525"/>
      <c r="S39" s="526"/>
      <c r="T39" s="527"/>
      <c r="U39" s="528"/>
      <c r="V39" s="529"/>
      <c r="W39" s="530"/>
      <c r="X39" s="531"/>
      <c r="Y39" s="532"/>
      <c r="Z39" s="533"/>
      <c r="AA39" s="57"/>
      <c r="AB39" s="3"/>
    </row>
    <row r="40" spans="1:28" ht="16.5" customHeight="1" thickBot="1" thickTop="1">
      <c r="A40" s="1"/>
      <c r="B40" s="2"/>
      <c r="C40" s="244" t="s">
        <v>64</v>
      </c>
      <c r="D40" s="734" t="s">
        <v>173</v>
      </c>
      <c r="E40" s="698"/>
      <c r="F40" s="245"/>
      <c r="G40" s="16"/>
      <c r="H40" s="17"/>
      <c r="I40" s="58"/>
      <c r="J40" s="58"/>
      <c r="K40" s="58"/>
      <c r="L40" s="58"/>
      <c r="M40" s="58"/>
      <c r="N40" s="58"/>
      <c r="O40" s="59"/>
      <c r="P40" s="331">
        <f aca="true" t="shared" si="16" ref="P40:Y40">ROUND(SUM(P20:P39),2)</f>
        <v>1388.06</v>
      </c>
      <c r="Q40" s="332">
        <f t="shared" si="16"/>
        <v>0</v>
      </c>
      <c r="R40" s="333">
        <f t="shared" si="16"/>
        <v>0</v>
      </c>
      <c r="S40" s="333">
        <f t="shared" si="16"/>
        <v>0</v>
      </c>
      <c r="T40" s="334">
        <f t="shared" si="16"/>
        <v>0</v>
      </c>
      <c r="U40" s="335">
        <f t="shared" si="16"/>
        <v>0</v>
      </c>
      <c r="V40" s="335">
        <f t="shared" si="16"/>
        <v>0</v>
      </c>
      <c r="W40" s="336">
        <f t="shared" si="16"/>
        <v>0</v>
      </c>
      <c r="X40" s="337">
        <f t="shared" si="16"/>
        <v>0</v>
      </c>
      <c r="Y40" s="338">
        <f t="shared" si="16"/>
        <v>0</v>
      </c>
      <c r="Z40" s="60"/>
      <c r="AA40" s="702">
        <f>ROUND(SUM(AA20:AA39),2)</f>
        <v>1388.06</v>
      </c>
      <c r="AB40" s="61"/>
    </row>
    <row r="41" spans="1:28" s="259" customFormat="1" ht="9.75" thickTop="1">
      <c r="A41" s="248"/>
      <c r="B41" s="249"/>
      <c r="C41" s="246"/>
      <c r="D41" s="246"/>
      <c r="E41" s="246"/>
      <c r="F41" s="247"/>
      <c r="G41" s="250"/>
      <c r="H41" s="251"/>
      <c r="I41" s="252"/>
      <c r="J41" s="252"/>
      <c r="K41" s="252"/>
      <c r="L41" s="252"/>
      <c r="M41" s="252"/>
      <c r="N41" s="252"/>
      <c r="O41" s="253"/>
      <c r="P41" s="254"/>
      <c r="Q41" s="254"/>
      <c r="R41" s="255"/>
      <c r="S41" s="255"/>
      <c r="T41" s="256"/>
      <c r="U41" s="256"/>
      <c r="V41" s="256"/>
      <c r="W41" s="256"/>
      <c r="X41" s="256"/>
      <c r="Y41" s="256"/>
      <c r="Z41" s="256"/>
      <c r="AA41" s="257"/>
      <c r="AB41" s="258"/>
    </row>
    <row r="42" spans="1:28" s="10" customFormat="1" ht="16.5" customHeight="1" thickBot="1">
      <c r="A42" s="8"/>
      <c r="B42" s="48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50"/>
    </row>
    <row r="43" spans="1:28" ht="13.5" thickTop="1">
      <c r="A43" s="1"/>
      <c r="B43" s="1"/>
      <c r="AB43" s="1"/>
    </row>
    <row r="88" spans="1:2" ht="12.75">
      <c r="A88" s="1"/>
      <c r="B88" s="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8" r:id="rId3"/>
  <headerFooter alignWithMargins="0">
    <oddFooter>&amp;L&amp;"Times New Roman,Normal"&amp;8&amp;Z&amp;F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AB91"/>
  <sheetViews>
    <sheetView zoomScale="70" zoomScaleNormal="70" zoomScalePageLayoutView="0" workbookViewId="0" topLeftCell="A2">
      <selection activeCell="G16" sqref="G16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45.7109375" style="0" customWidth="1"/>
    <col min="7" max="8" width="9.7109375" style="0" customWidth="1"/>
    <col min="9" max="9" width="12.7109375" style="0" hidden="1" customWidth="1"/>
    <col min="10" max="11" width="15.7109375" style="0" customWidth="1"/>
    <col min="12" max="14" width="9.7109375" style="0" customWidth="1"/>
    <col min="15" max="15" width="14.140625" style="0" customWidth="1"/>
    <col min="16" max="25" width="14.140625" style="0" hidden="1" customWidth="1"/>
    <col min="26" max="26" width="14.140625" style="0" customWidth="1"/>
    <col min="27" max="27" width="15.7109375" style="0" customWidth="1"/>
    <col min="28" max="28" width="4.140625" style="0" customWidth="1"/>
  </cols>
  <sheetData>
    <row r="1" s="109" customFormat="1" ht="26.25">
      <c r="AB1" s="416"/>
    </row>
    <row r="2" spans="2:28" s="109" customFormat="1" ht="26.25">
      <c r="B2" s="110" t="str">
        <f>+'TOT-0814'!B2</f>
        <v>ANEXO II al Memorándum  D.T.E.E.  N°  301 /2016              .-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</row>
    <row r="3" s="10" customFormat="1" ht="12.75"/>
    <row r="4" spans="1:4" s="112" customFormat="1" ht="11.25">
      <c r="A4" s="701" t="s">
        <v>16</v>
      </c>
      <c r="C4" s="700"/>
      <c r="D4" s="700"/>
    </row>
    <row r="5" spans="1:4" s="112" customFormat="1" ht="11.25">
      <c r="A5" s="701" t="s">
        <v>145</v>
      </c>
      <c r="C5" s="700"/>
      <c r="D5" s="700"/>
    </row>
    <row r="6" s="10" customFormat="1" ht="13.5" thickBot="1"/>
    <row r="7" spans="1:28" s="10" customFormat="1" ht="13.5" thickTop="1">
      <c r="A7" s="8"/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3"/>
    </row>
    <row r="8" spans="1:28" s="114" customFormat="1" ht="20.25">
      <c r="A8" s="45"/>
      <c r="B8" s="113"/>
      <c r="C8" s="45"/>
      <c r="D8" s="45"/>
      <c r="E8" s="45"/>
      <c r="F8" s="21" t="s">
        <v>40</v>
      </c>
      <c r="G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115"/>
    </row>
    <row r="9" spans="1:28" s="10" customFormat="1" ht="12.75">
      <c r="A9" s="8"/>
      <c r="B9" s="44"/>
      <c r="C9" s="8"/>
      <c r="D9" s="8"/>
      <c r="E9" s="8"/>
      <c r="F9" s="126"/>
      <c r="G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11"/>
    </row>
    <row r="10" spans="1:28" s="114" customFormat="1" ht="20.25">
      <c r="A10" s="45"/>
      <c r="B10" s="113"/>
      <c r="C10" s="45"/>
      <c r="D10" s="45"/>
      <c r="E10" s="45"/>
      <c r="F10" s="21" t="s">
        <v>142</v>
      </c>
      <c r="G10" s="21"/>
      <c r="H10" s="45"/>
      <c r="I10" s="116"/>
      <c r="J10" s="116"/>
      <c r="K10" s="116"/>
      <c r="L10" s="116"/>
      <c r="M10" s="116"/>
      <c r="N10" s="116"/>
      <c r="O10" s="116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115"/>
    </row>
    <row r="11" spans="1:28" s="10" customFormat="1" ht="12.75">
      <c r="A11" s="8"/>
      <c r="B11" s="44"/>
      <c r="C11" s="8"/>
      <c r="D11" s="8"/>
      <c r="E11" s="8"/>
      <c r="F11" s="125"/>
      <c r="G11" s="123"/>
      <c r="H11" s="8"/>
      <c r="I11" s="122"/>
      <c r="J11" s="122"/>
      <c r="K11" s="122"/>
      <c r="L11" s="122"/>
      <c r="M11" s="122"/>
      <c r="N11" s="122"/>
      <c r="O11" s="122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11"/>
    </row>
    <row r="12" spans="1:28" s="121" customFormat="1" ht="19.5">
      <c r="A12" s="47"/>
      <c r="B12" s="87" t="str">
        <f>+'TOT-0814'!B14</f>
        <v>Desde el 01 al 31 de agosto de 2014</v>
      </c>
      <c r="C12" s="117"/>
      <c r="D12" s="117"/>
      <c r="E12" s="117"/>
      <c r="F12" s="117"/>
      <c r="G12" s="118"/>
      <c r="H12" s="118"/>
      <c r="I12" s="119"/>
      <c r="J12" s="119"/>
      <c r="K12" s="119"/>
      <c r="L12" s="119"/>
      <c r="M12" s="119"/>
      <c r="N12" s="119"/>
      <c r="O12" s="119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20"/>
    </row>
    <row r="13" spans="1:28" s="121" customFormat="1" ht="7.5" customHeight="1">
      <c r="A13" s="47"/>
      <c r="B13" s="87"/>
      <c r="C13" s="117"/>
      <c r="D13" s="117"/>
      <c r="E13" s="117"/>
      <c r="F13" s="117"/>
      <c r="G13" s="118"/>
      <c r="H13" s="118"/>
      <c r="I13" s="119"/>
      <c r="J13" s="119"/>
      <c r="K13" s="119"/>
      <c r="L13" s="119"/>
      <c r="M13" s="119"/>
      <c r="N13" s="119"/>
      <c r="O13" s="119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20"/>
    </row>
    <row r="14" spans="1:28" s="10" customFormat="1" ht="7.5" customHeight="1" thickBot="1">
      <c r="A14" s="8"/>
      <c r="B14" s="44"/>
      <c r="C14" s="8"/>
      <c r="D14" s="8"/>
      <c r="E14" s="8"/>
      <c r="F14" s="8"/>
      <c r="G14" s="123"/>
      <c r="H14" s="124"/>
      <c r="I14" s="122"/>
      <c r="J14" s="122"/>
      <c r="K14" s="122"/>
      <c r="L14" s="122"/>
      <c r="M14" s="122"/>
      <c r="N14" s="122"/>
      <c r="O14" s="122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11"/>
    </row>
    <row r="15" spans="1:28" s="95" customFormat="1" ht="16.5" customHeight="1" thickBot="1" thickTop="1">
      <c r="A15" s="91"/>
      <c r="B15" s="92"/>
      <c r="C15" s="91"/>
      <c r="D15" s="91"/>
      <c r="E15" s="91"/>
      <c r="F15" s="508" t="s">
        <v>43</v>
      </c>
      <c r="G15" s="509" t="s">
        <v>164</v>
      </c>
      <c r="H15" s="242"/>
      <c r="I15" s="96"/>
      <c r="J15" s="96"/>
      <c r="K15" s="96"/>
      <c r="L15" s="96"/>
      <c r="M15" s="96"/>
      <c r="N15" s="96"/>
      <c r="O15" s="96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4"/>
    </row>
    <row r="16" spans="1:28" s="95" customFormat="1" ht="16.5" customHeight="1" thickBot="1" thickTop="1">
      <c r="A16" s="91"/>
      <c r="B16" s="92"/>
      <c r="C16" s="91"/>
      <c r="D16" s="91"/>
      <c r="E16" s="91"/>
      <c r="F16" s="508" t="s">
        <v>44</v>
      </c>
      <c r="G16" s="509">
        <v>69.72</v>
      </c>
      <c r="H16" s="243"/>
      <c r="I16" s="91"/>
      <c r="K16" s="97" t="s">
        <v>45</v>
      </c>
      <c r="L16" s="98">
        <f>30*'TOT-0814'!B13</f>
        <v>30</v>
      </c>
      <c r="M16" s="239" t="str">
        <f>IF(L16=30," ",IF(L16=60,"Coeficiente duplicado por tasa de falla &gt;4 Sal. x año/100 km.","REVISAR COEFICIENTE"))</f>
        <v> </v>
      </c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4"/>
    </row>
    <row r="17" spans="1:28" s="95" customFormat="1" ht="7.5" customHeight="1" thickTop="1">
      <c r="A17" s="91"/>
      <c r="B17" s="92"/>
      <c r="C17" s="91"/>
      <c r="D17" s="91"/>
      <c r="E17" s="91"/>
      <c r="F17" s="690"/>
      <c r="G17" s="691"/>
      <c r="H17" s="692"/>
      <c r="I17" s="91"/>
      <c r="K17" s="97"/>
      <c r="L17" s="98"/>
      <c r="M17" s="239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4"/>
    </row>
    <row r="18" spans="1:28" s="724" customFormat="1" ht="15" customHeight="1" thickBot="1">
      <c r="A18" s="720"/>
      <c r="B18" s="721"/>
      <c r="C18" s="722">
        <v>3</v>
      </c>
      <c r="D18" s="722">
        <v>4</v>
      </c>
      <c r="E18" s="722">
        <v>5</v>
      </c>
      <c r="F18" s="722">
        <v>6</v>
      </c>
      <c r="G18" s="722">
        <v>7</v>
      </c>
      <c r="H18" s="722">
        <v>8</v>
      </c>
      <c r="I18" s="722">
        <v>9</v>
      </c>
      <c r="J18" s="722">
        <v>10</v>
      </c>
      <c r="K18" s="722">
        <v>11</v>
      </c>
      <c r="L18" s="722">
        <v>12</v>
      </c>
      <c r="M18" s="722">
        <v>13</v>
      </c>
      <c r="N18" s="722">
        <v>14</v>
      </c>
      <c r="O18" s="722">
        <v>15</v>
      </c>
      <c r="P18" s="722">
        <v>16</v>
      </c>
      <c r="Q18" s="722">
        <v>17</v>
      </c>
      <c r="R18" s="722">
        <v>18</v>
      </c>
      <c r="S18" s="722">
        <v>19</v>
      </c>
      <c r="T18" s="722">
        <v>20</v>
      </c>
      <c r="U18" s="722">
        <v>21</v>
      </c>
      <c r="V18" s="722">
        <v>22</v>
      </c>
      <c r="W18" s="722">
        <v>23</v>
      </c>
      <c r="X18" s="722">
        <v>24</v>
      </c>
      <c r="Y18" s="722">
        <v>25</v>
      </c>
      <c r="Z18" s="722">
        <v>26</v>
      </c>
      <c r="AA18" s="722">
        <v>27</v>
      </c>
      <c r="AB18" s="723"/>
    </row>
    <row r="19" spans="1:28" s="108" customFormat="1" ht="33.75" customHeight="1" thickBot="1" thickTop="1">
      <c r="A19" s="99"/>
      <c r="B19" s="100"/>
      <c r="C19" s="101" t="s">
        <v>46</v>
      </c>
      <c r="D19" s="101" t="s">
        <v>144</v>
      </c>
      <c r="E19" s="101" t="s">
        <v>143</v>
      </c>
      <c r="F19" s="102" t="s">
        <v>19</v>
      </c>
      <c r="G19" s="103" t="s">
        <v>47</v>
      </c>
      <c r="H19" s="104" t="s">
        <v>48</v>
      </c>
      <c r="I19" s="269" t="s">
        <v>49</v>
      </c>
      <c r="J19" s="102" t="s">
        <v>50</v>
      </c>
      <c r="K19" s="102" t="s">
        <v>51</v>
      </c>
      <c r="L19" s="103" t="s">
        <v>52</v>
      </c>
      <c r="M19" s="103" t="s">
        <v>53</v>
      </c>
      <c r="N19" s="105" t="s">
        <v>54</v>
      </c>
      <c r="O19" s="103" t="s">
        <v>55</v>
      </c>
      <c r="P19" s="298" t="s">
        <v>56</v>
      </c>
      <c r="Q19" s="301" t="s">
        <v>57</v>
      </c>
      <c r="R19" s="304" t="s">
        <v>58</v>
      </c>
      <c r="S19" s="305"/>
      <c r="T19" s="306"/>
      <c r="U19" s="315" t="s">
        <v>59</v>
      </c>
      <c r="V19" s="316"/>
      <c r="W19" s="317"/>
      <c r="X19" s="325" t="s">
        <v>60</v>
      </c>
      <c r="Y19" s="328" t="s">
        <v>61</v>
      </c>
      <c r="Z19" s="106" t="s">
        <v>62</v>
      </c>
      <c r="AA19" s="106" t="s">
        <v>63</v>
      </c>
      <c r="AB19" s="107"/>
    </row>
    <row r="20" spans="1:28" ht="16.5" customHeight="1" thickTop="1">
      <c r="A20" s="1"/>
      <c r="B20" s="2"/>
      <c r="C20" s="51"/>
      <c r="D20" s="88"/>
      <c r="E20" s="88"/>
      <c r="F20" s="52"/>
      <c r="G20" s="53"/>
      <c r="H20" s="53"/>
      <c r="I20" s="270"/>
      <c r="J20" s="53"/>
      <c r="K20" s="54"/>
      <c r="L20" s="54"/>
      <c r="M20" s="54"/>
      <c r="N20" s="52"/>
      <c r="O20" s="53"/>
      <c r="P20" s="299"/>
      <c r="Q20" s="302"/>
      <c r="R20" s="307"/>
      <c r="S20" s="308"/>
      <c r="T20" s="309"/>
      <c r="U20" s="318"/>
      <c r="V20" s="319"/>
      <c r="W20" s="320"/>
      <c r="X20" s="326"/>
      <c r="Y20" s="329"/>
      <c r="Z20" s="313"/>
      <c r="AA20" s="54"/>
      <c r="AB20" s="3"/>
    </row>
    <row r="21" spans="1:28" ht="16.5" customHeight="1">
      <c r="A21" s="1"/>
      <c r="B21" s="2"/>
      <c r="C21" s="51"/>
      <c r="D21" s="51"/>
      <c r="E21" s="51"/>
      <c r="F21" s="51"/>
      <c r="G21" s="89"/>
      <c r="H21" s="89"/>
      <c r="I21" s="271"/>
      <c r="J21" s="51"/>
      <c r="K21" s="90"/>
      <c r="L21" s="90"/>
      <c r="M21" s="90"/>
      <c r="N21" s="88"/>
      <c r="O21" s="51"/>
      <c r="P21" s="300"/>
      <c r="Q21" s="303"/>
      <c r="R21" s="310"/>
      <c r="S21" s="311"/>
      <c r="T21" s="312"/>
      <c r="U21" s="321"/>
      <c r="V21" s="322"/>
      <c r="W21" s="323"/>
      <c r="X21" s="327"/>
      <c r="Y21" s="330"/>
      <c r="Z21" s="314"/>
      <c r="AA21" s="90"/>
      <c r="AB21" s="3"/>
    </row>
    <row r="22" spans="1:28" ht="16.5" customHeight="1">
      <c r="A22" s="1"/>
      <c r="B22" s="2"/>
      <c r="C22" s="512">
        <v>3</v>
      </c>
      <c r="D22" s="512">
        <v>278210</v>
      </c>
      <c r="E22" s="512">
        <v>1636</v>
      </c>
      <c r="F22" s="513" t="s">
        <v>7</v>
      </c>
      <c r="G22" s="514">
        <v>132</v>
      </c>
      <c r="H22" s="515">
        <v>4.400000095367432</v>
      </c>
      <c r="I22" s="272">
        <f>IF(H22&gt;25,H22,25)*IF(G22=330,$G$15,$G$16)/100</f>
        <v>17.43</v>
      </c>
      <c r="J22" s="520">
        <v>41869.74097222222</v>
      </c>
      <c r="K22" s="520">
        <v>41869.75486111111</v>
      </c>
      <c r="L22" s="13">
        <f aca="true" t="shared" si="0" ref="L22:L41">IF(F22="","",(K22-J22)*24)</f>
        <v>0.33333333337213844</v>
      </c>
      <c r="M22" s="14">
        <f aca="true" t="shared" si="1" ref="M22:M41">IF(F22="","",ROUND((K22-J22)*24*60,0))</f>
        <v>20</v>
      </c>
      <c r="N22" s="521" t="s">
        <v>155</v>
      </c>
      <c r="O22" s="719" t="s">
        <v>152</v>
      </c>
      <c r="P22" s="704" t="str">
        <f aca="true" t="shared" si="2" ref="P22:P41">IF(N22="P",ROUND(M22/60,2)*I22*$L$16*0.01,"--")</f>
        <v>--</v>
      </c>
      <c r="Q22" s="705" t="str">
        <f>IF(N22="RP",ROUND(M22/60,2)*I22*$L$16*0.01*O22/100,"--")</f>
        <v>--</v>
      </c>
      <c r="R22" s="706">
        <f aca="true" t="shared" si="3" ref="R22:R41">IF(N22="F",I22*$L$16,"--")</f>
        <v>522.9</v>
      </c>
      <c r="S22" s="707">
        <f aca="true" t="shared" si="4" ref="S22:S41">IF(AND(M22&gt;10,N22="F"),I22*$L$16*IF(M22&gt;180,3,ROUND(M22/60,2)),"--")</f>
        <v>172.557</v>
      </c>
      <c r="T22" s="708" t="str">
        <f aca="true" t="shared" si="5" ref="T22:T41">IF(AND(M22&gt;180,N22="F"),(ROUND(M22/60,2)-3)*I22*$L$16*0.1,"--")</f>
        <v>--</v>
      </c>
      <c r="U22" s="709" t="str">
        <f aca="true" t="shared" si="6" ref="U22:U41">IF(N22="R",I22*$L$16*O22/100,"--")</f>
        <v>--</v>
      </c>
      <c r="V22" s="710" t="str">
        <f aca="true" t="shared" si="7" ref="V22:V41">IF(AND(M22&gt;10,N22="R"),I22*$L$16*O22/100*IF(M22&gt;180,3,ROUND(M22/60,2)),"--")</f>
        <v>--</v>
      </c>
      <c r="W22" s="711" t="str">
        <f aca="true" t="shared" si="8" ref="W22:W41">IF(AND(M22&gt;180,N22="R"),(ROUND(M22/60,2)-3)*O22/100*I22*$L$16*0.1,"--")</f>
        <v>--</v>
      </c>
      <c r="X22" s="712" t="str">
        <f aca="true" t="shared" si="9" ref="X22:X41">IF(N22="RF",ROUND(M22/60,2)*I22*$L$16*0.1,"--")</f>
        <v>--</v>
      </c>
      <c r="Y22" s="713" t="str">
        <f aca="true" t="shared" si="10" ref="Y22:Y41">IF(N22="RR",ROUND(M22/60,2)*O22/100*I22*$L$16*0.1,"--")</f>
        <v>--</v>
      </c>
      <c r="Z22" s="714" t="s">
        <v>151</v>
      </c>
      <c r="AA22" s="55">
        <f aca="true" t="shared" si="11" ref="AA22:AA41">IF(F22="","",SUM(P22:Y22)*IF(Z22="SI",1,2))</f>
        <v>695.457</v>
      </c>
      <c r="AB22" s="3"/>
    </row>
    <row r="23" spans="1:28" ht="16.5" customHeight="1">
      <c r="A23" s="1"/>
      <c r="B23" s="2"/>
      <c r="C23" s="512">
        <v>4</v>
      </c>
      <c r="D23" s="512">
        <v>278403</v>
      </c>
      <c r="E23" s="512">
        <v>1635</v>
      </c>
      <c r="F23" s="513" t="s">
        <v>156</v>
      </c>
      <c r="G23" s="514">
        <v>132</v>
      </c>
      <c r="H23" s="515">
        <v>162.60000610351562</v>
      </c>
      <c r="I23" s="272">
        <f aca="true" t="shared" si="12" ref="I23:I38">IF(H23&gt;25,H23,25)*IF(G23=330,$G$15,$G$16)/100</f>
        <v>113.36472425537109</v>
      </c>
      <c r="J23" s="520">
        <v>41879.71875</v>
      </c>
      <c r="K23" s="520">
        <v>41880.61388888889</v>
      </c>
      <c r="L23" s="13">
        <f t="shared" si="0"/>
        <v>21.483333333337214</v>
      </c>
      <c r="M23" s="14">
        <f t="shared" si="1"/>
        <v>1289</v>
      </c>
      <c r="N23" s="521" t="s">
        <v>155</v>
      </c>
      <c r="O23" s="719" t="s">
        <v>152</v>
      </c>
      <c r="P23" s="704" t="str">
        <f t="shared" si="2"/>
        <v>--</v>
      </c>
      <c r="Q23" s="705" t="str">
        <f aca="true" t="shared" si="13" ref="Q23:Q38">IF(N23="RP",ROUND(M23/60,2)*I23*$L$16*0.01*O23/100,"--")</f>
        <v>--</v>
      </c>
      <c r="R23" s="706">
        <f t="shared" si="3"/>
        <v>3400.9417276611325</v>
      </c>
      <c r="S23" s="707">
        <f t="shared" si="4"/>
        <v>10202.825182983397</v>
      </c>
      <c r="T23" s="708">
        <f t="shared" si="5"/>
        <v>6284.940312717774</v>
      </c>
      <c r="U23" s="709" t="str">
        <f t="shared" si="6"/>
        <v>--</v>
      </c>
      <c r="V23" s="710" t="str">
        <f t="shared" si="7"/>
        <v>--</v>
      </c>
      <c r="W23" s="711" t="str">
        <f t="shared" si="8"/>
        <v>--</v>
      </c>
      <c r="X23" s="712" t="str">
        <f t="shared" si="9"/>
        <v>--</v>
      </c>
      <c r="Y23" s="713" t="str">
        <f t="shared" si="10"/>
        <v>--</v>
      </c>
      <c r="Z23" s="714" t="s">
        <v>151</v>
      </c>
      <c r="AA23" s="55">
        <f t="shared" si="11"/>
        <v>19888.707223362304</v>
      </c>
      <c r="AB23" s="3"/>
    </row>
    <row r="24" spans="1:28" ht="16.5" customHeight="1">
      <c r="A24" s="1"/>
      <c r="B24" s="2"/>
      <c r="C24" s="512">
        <v>5</v>
      </c>
      <c r="D24" s="512">
        <v>278404</v>
      </c>
      <c r="E24" s="512">
        <v>1634</v>
      </c>
      <c r="F24" s="513" t="s">
        <v>157</v>
      </c>
      <c r="G24" s="514">
        <v>132</v>
      </c>
      <c r="H24" s="515">
        <v>23</v>
      </c>
      <c r="I24" s="272">
        <f t="shared" si="12"/>
        <v>17.43</v>
      </c>
      <c r="J24" s="520">
        <v>41879.71875</v>
      </c>
      <c r="K24" s="520">
        <v>41880.61388888889</v>
      </c>
      <c r="L24" s="13">
        <f t="shared" si="0"/>
        <v>21.483333333337214</v>
      </c>
      <c r="M24" s="14">
        <f t="shared" si="1"/>
        <v>1289</v>
      </c>
      <c r="N24" s="521" t="s">
        <v>155</v>
      </c>
      <c r="O24" s="719" t="s">
        <v>152</v>
      </c>
      <c r="P24" s="704" t="str">
        <f t="shared" si="2"/>
        <v>--</v>
      </c>
      <c r="Q24" s="705" t="str">
        <f t="shared" si="13"/>
        <v>--</v>
      </c>
      <c r="R24" s="706">
        <f t="shared" si="3"/>
        <v>522.9</v>
      </c>
      <c r="S24" s="707">
        <f t="shared" si="4"/>
        <v>1568.6999999999998</v>
      </c>
      <c r="T24" s="708">
        <f t="shared" si="5"/>
        <v>966.3192000000001</v>
      </c>
      <c r="U24" s="709" t="str">
        <f t="shared" si="6"/>
        <v>--</v>
      </c>
      <c r="V24" s="710" t="str">
        <f t="shared" si="7"/>
        <v>--</v>
      </c>
      <c r="W24" s="711" t="str">
        <f t="shared" si="8"/>
        <v>--</v>
      </c>
      <c r="X24" s="712" t="str">
        <f t="shared" si="9"/>
        <v>--</v>
      </c>
      <c r="Y24" s="713" t="str">
        <f t="shared" si="10"/>
        <v>--</v>
      </c>
      <c r="Z24" s="714" t="s">
        <v>151</v>
      </c>
      <c r="AA24" s="55">
        <f t="shared" si="11"/>
        <v>3057.9192000000003</v>
      </c>
      <c r="AB24" s="3"/>
    </row>
    <row r="25" spans="1:28" ht="16.5" customHeight="1">
      <c r="A25" s="1"/>
      <c r="B25" s="2"/>
      <c r="C25" s="512">
        <v>6</v>
      </c>
      <c r="D25" s="512">
        <v>278410</v>
      </c>
      <c r="E25" s="512">
        <v>1636</v>
      </c>
      <c r="F25" s="513" t="s">
        <v>7</v>
      </c>
      <c r="G25" s="514">
        <v>132</v>
      </c>
      <c r="H25" s="515">
        <v>4.400000095367432</v>
      </c>
      <c r="I25" s="272">
        <f t="shared" si="12"/>
        <v>17.43</v>
      </c>
      <c r="J25" s="520">
        <v>41881.62777777778</v>
      </c>
      <c r="K25" s="520">
        <v>41881.66180555556</v>
      </c>
      <c r="L25" s="13">
        <f t="shared" si="0"/>
        <v>0.8166666667093523</v>
      </c>
      <c r="M25" s="14">
        <f t="shared" si="1"/>
        <v>49</v>
      </c>
      <c r="N25" s="521" t="s">
        <v>155</v>
      </c>
      <c r="O25" s="719" t="s">
        <v>152</v>
      </c>
      <c r="P25" s="704" t="str">
        <f t="shared" si="2"/>
        <v>--</v>
      </c>
      <c r="Q25" s="705" t="str">
        <f t="shared" si="13"/>
        <v>--</v>
      </c>
      <c r="R25" s="706">
        <f t="shared" si="3"/>
        <v>522.9</v>
      </c>
      <c r="S25" s="707">
        <f t="shared" si="4"/>
        <v>428.77799999999996</v>
      </c>
      <c r="T25" s="708" t="str">
        <f t="shared" si="5"/>
        <v>--</v>
      </c>
      <c r="U25" s="709" t="str">
        <f t="shared" si="6"/>
        <v>--</v>
      </c>
      <c r="V25" s="710" t="str">
        <f t="shared" si="7"/>
        <v>--</v>
      </c>
      <c r="W25" s="711" t="str">
        <f t="shared" si="8"/>
        <v>--</v>
      </c>
      <c r="X25" s="712" t="str">
        <f t="shared" si="9"/>
        <v>--</v>
      </c>
      <c r="Y25" s="713" t="str">
        <f t="shared" si="10"/>
        <v>--</v>
      </c>
      <c r="Z25" s="714" t="s">
        <v>151</v>
      </c>
      <c r="AA25" s="55">
        <f t="shared" si="11"/>
        <v>951.6779999999999</v>
      </c>
      <c r="AB25" s="3"/>
    </row>
    <row r="26" spans="1:28" ht="16.5" customHeight="1">
      <c r="A26" s="1"/>
      <c r="B26" s="2"/>
      <c r="C26" s="512"/>
      <c r="D26" s="512"/>
      <c r="E26" s="512"/>
      <c r="F26" s="513"/>
      <c r="G26" s="514"/>
      <c r="H26" s="515"/>
      <c r="I26" s="272">
        <f t="shared" si="12"/>
        <v>17.43</v>
      </c>
      <c r="J26" s="520"/>
      <c r="K26" s="520"/>
      <c r="L26" s="13">
        <f t="shared" si="0"/>
      </c>
      <c r="M26" s="14">
        <f t="shared" si="1"/>
      </c>
      <c r="N26" s="521"/>
      <c r="O26" s="703">
        <f aca="true" t="shared" si="14" ref="O26:O41">IF(F26="","","--")</f>
      </c>
      <c r="P26" s="704" t="str">
        <f t="shared" si="2"/>
        <v>--</v>
      </c>
      <c r="Q26" s="705" t="str">
        <f t="shared" si="13"/>
        <v>--</v>
      </c>
      <c r="R26" s="706" t="str">
        <f t="shared" si="3"/>
        <v>--</v>
      </c>
      <c r="S26" s="707" t="str">
        <f t="shared" si="4"/>
        <v>--</v>
      </c>
      <c r="T26" s="708" t="str">
        <f t="shared" si="5"/>
        <v>--</v>
      </c>
      <c r="U26" s="709" t="str">
        <f t="shared" si="6"/>
        <v>--</v>
      </c>
      <c r="V26" s="710" t="str">
        <f t="shared" si="7"/>
        <v>--</v>
      </c>
      <c r="W26" s="711" t="str">
        <f t="shared" si="8"/>
        <v>--</v>
      </c>
      <c r="X26" s="712" t="str">
        <f t="shared" si="9"/>
        <v>--</v>
      </c>
      <c r="Y26" s="713" t="str">
        <f t="shared" si="10"/>
        <v>--</v>
      </c>
      <c r="Z26" s="714">
        <f aca="true" t="shared" si="15" ref="Z26:Z41">IF(F26="","","SI")</f>
      </c>
      <c r="AA26" s="55">
        <f t="shared" si="11"/>
      </c>
      <c r="AB26" s="3"/>
    </row>
    <row r="27" spans="1:28" ht="16.5" customHeight="1">
      <c r="A27" s="1"/>
      <c r="B27" s="2"/>
      <c r="C27" s="512"/>
      <c r="D27" s="512"/>
      <c r="E27" s="512"/>
      <c r="F27" s="513"/>
      <c r="G27" s="514"/>
      <c r="H27" s="515"/>
      <c r="I27" s="272">
        <f t="shared" si="12"/>
        <v>17.43</v>
      </c>
      <c r="J27" s="520"/>
      <c r="K27" s="520"/>
      <c r="L27" s="13">
        <f t="shared" si="0"/>
      </c>
      <c r="M27" s="14">
        <f t="shared" si="1"/>
      </c>
      <c r="N27" s="521"/>
      <c r="O27" s="703">
        <f t="shared" si="14"/>
      </c>
      <c r="P27" s="704" t="str">
        <f t="shared" si="2"/>
        <v>--</v>
      </c>
      <c r="Q27" s="705" t="str">
        <f t="shared" si="13"/>
        <v>--</v>
      </c>
      <c r="R27" s="706" t="str">
        <f t="shared" si="3"/>
        <v>--</v>
      </c>
      <c r="S27" s="707" t="str">
        <f t="shared" si="4"/>
        <v>--</v>
      </c>
      <c r="T27" s="708" t="str">
        <f t="shared" si="5"/>
        <v>--</v>
      </c>
      <c r="U27" s="709" t="str">
        <f t="shared" si="6"/>
        <v>--</v>
      </c>
      <c r="V27" s="710" t="str">
        <f t="shared" si="7"/>
        <v>--</v>
      </c>
      <c r="W27" s="711" t="str">
        <f t="shared" si="8"/>
        <v>--</v>
      </c>
      <c r="X27" s="712" t="str">
        <f t="shared" si="9"/>
        <v>--</v>
      </c>
      <c r="Y27" s="713" t="str">
        <f t="shared" si="10"/>
        <v>--</v>
      </c>
      <c r="Z27" s="714">
        <f t="shared" si="15"/>
      </c>
      <c r="AA27" s="55">
        <f t="shared" si="11"/>
      </c>
      <c r="AB27" s="3"/>
    </row>
    <row r="28" spans="1:28" ht="16.5" customHeight="1">
      <c r="A28" s="1"/>
      <c r="B28" s="2"/>
      <c r="C28" s="512"/>
      <c r="D28" s="512"/>
      <c r="E28" s="512"/>
      <c r="F28" s="513"/>
      <c r="G28" s="514"/>
      <c r="H28" s="515"/>
      <c r="I28" s="272">
        <f t="shared" si="12"/>
        <v>17.43</v>
      </c>
      <c r="J28" s="520"/>
      <c r="K28" s="520"/>
      <c r="L28" s="13">
        <f t="shared" si="0"/>
      </c>
      <c r="M28" s="14">
        <f t="shared" si="1"/>
      </c>
      <c r="N28" s="521"/>
      <c r="O28" s="703">
        <f t="shared" si="14"/>
      </c>
      <c r="P28" s="704" t="str">
        <f t="shared" si="2"/>
        <v>--</v>
      </c>
      <c r="Q28" s="705" t="str">
        <f t="shared" si="13"/>
        <v>--</v>
      </c>
      <c r="R28" s="706" t="str">
        <f t="shared" si="3"/>
        <v>--</v>
      </c>
      <c r="S28" s="707" t="str">
        <f t="shared" si="4"/>
        <v>--</v>
      </c>
      <c r="T28" s="708" t="str">
        <f t="shared" si="5"/>
        <v>--</v>
      </c>
      <c r="U28" s="709" t="str">
        <f t="shared" si="6"/>
        <v>--</v>
      </c>
      <c r="V28" s="710" t="str">
        <f t="shared" si="7"/>
        <v>--</v>
      </c>
      <c r="W28" s="711" t="str">
        <f t="shared" si="8"/>
        <v>--</v>
      </c>
      <c r="X28" s="712" t="str">
        <f t="shared" si="9"/>
        <v>--</v>
      </c>
      <c r="Y28" s="713" t="str">
        <f t="shared" si="10"/>
        <v>--</v>
      </c>
      <c r="Z28" s="714">
        <f t="shared" si="15"/>
      </c>
      <c r="AA28" s="55">
        <f t="shared" si="11"/>
      </c>
      <c r="AB28" s="3"/>
    </row>
    <row r="29" spans="1:28" ht="16.5" customHeight="1">
      <c r="A29" s="1"/>
      <c r="B29" s="2"/>
      <c r="C29" s="512"/>
      <c r="D29" s="512"/>
      <c r="E29" s="512"/>
      <c r="F29" s="513"/>
      <c r="G29" s="514"/>
      <c r="H29" s="515"/>
      <c r="I29" s="272">
        <f t="shared" si="12"/>
        <v>17.43</v>
      </c>
      <c r="J29" s="520"/>
      <c r="K29" s="520"/>
      <c r="L29" s="13">
        <f t="shared" si="0"/>
      </c>
      <c r="M29" s="14">
        <f t="shared" si="1"/>
      </c>
      <c r="N29" s="521"/>
      <c r="O29" s="703">
        <f t="shared" si="14"/>
      </c>
      <c r="P29" s="704" t="str">
        <f t="shared" si="2"/>
        <v>--</v>
      </c>
      <c r="Q29" s="705" t="str">
        <f t="shared" si="13"/>
        <v>--</v>
      </c>
      <c r="R29" s="706" t="str">
        <f t="shared" si="3"/>
        <v>--</v>
      </c>
      <c r="S29" s="707" t="str">
        <f t="shared" si="4"/>
        <v>--</v>
      </c>
      <c r="T29" s="708" t="str">
        <f t="shared" si="5"/>
        <v>--</v>
      </c>
      <c r="U29" s="709" t="str">
        <f t="shared" si="6"/>
        <v>--</v>
      </c>
      <c r="V29" s="710" t="str">
        <f t="shared" si="7"/>
        <v>--</v>
      </c>
      <c r="W29" s="711" t="str">
        <f t="shared" si="8"/>
        <v>--</v>
      </c>
      <c r="X29" s="712" t="str">
        <f t="shared" si="9"/>
        <v>--</v>
      </c>
      <c r="Y29" s="713" t="str">
        <f t="shared" si="10"/>
        <v>--</v>
      </c>
      <c r="Z29" s="714">
        <f t="shared" si="15"/>
      </c>
      <c r="AA29" s="55">
        <f t="shared" si="11"/>
      </c>
      <c r="AB29" s="3"/>
    </row>
    <row r="30" spans="1:28" ht="16.5" customHeight="1">
      <c r="A30" s="1"/>
      <c r="B30" s="2"/>
      <c r="C30" s="512"/>
      <c r="D30" s="512"/>
      <c r="E30" s="512"/>
      <c r="F30" s="513"/>
      <c r="G30" s="514"/>
      <c r="H30" s="515"/>
      <c r="I30" s="272">
        <f t="shared" si="12"/>
        <v>17.43</v>
      </c>
      <c r="J30" s="520"/>
      <c r="K30" s="520"/>
      <c r="L30" s="13">
        <f t="shared" si="0"/>
      </c>
      <c r="M30" s="14">
        <f t="shared" si="1"/>
      </c>
      <c r="N30" s="521"/>
      <c r="O30" s="703">
        <f t="shared" si="14"/>
      </c>
      <c r="P30" s="704" t="str">
        <f t="shared" si="2"/>
        <v>--</v>
      </c>
      <c r="Q30" s="705" t="str">
        <f t="shared" si="13"/>
        <v>--</v>
      </c>
      <c r="R30" s="706" t="str">
        <f t="shared" si="3"/>
        <v>--</v>
      </c>
      <c r="S30" s="707" t="str">
        <f t="shared" si="4"/>
        <v>--</v>
      </c>
      <c r="T30" s="708" t="str">
        <f t="shared" si="5"/>
        <v>--</v>
      </c>
      <c r="U30" s="709" t="str">
        <f t="shared" si="6"/>
        <v>--</v>
      </c>
      <c r="V30" s="710" t="str">
        <f t="shared" si="7"/>
        <v>--</v>
      </c>
      <c r="W30" s="711" t="str">
        <f t="shared" si="8"/>
        <v>--</v>
      </c>
      <c r="X30" s="712" t="str">
        <f t="shared" si="9"/>
        <v>--</v>
      </c>
      <c r="Y30" s="713" t="str">
        <f t="shared" si="10"/>
        <v>--</v>
      </c>
      <c r="Z30" s="714">
        <f t="shared" si="15"/>
      </c>
      <c r="AA30" s="55">
        <f t="shared" si="11"/>
      </c>
      <c r="AB30" s="3"/>
    </row>
    <row r="31" spans="1:28" ht="16.5" customHeight="1">
      <c r="A31" s="1"/>
      <c r="B31" s="2"/>
      <c r="C31" s="512"/>
      <c r="D31" s="512"/>
      <c r="E31" s="512"/>
      <c r="F31" s="513"/>
      <c r="G31" s="514"/>
      <c r="H31" s="515"/>
      <c r="I31" s="272">
        <f t="shared" si="12"/>
        <v>17.43</v>
      </c>
      <c r="J31" s="520"/>
      <c r="K31" s="520"/>
      <c r="L31" s="13">
        <f t="shared" si="0"/>
      </c>
      <c r="M31" s="14">
        <f t="shared" si="1"/>
      </c>
      <c r="N31" s="521"/>
      <c r="O31" s="703">
        <f t="shared" si="14"/>
      </c>
      <c r="P31" s="704" t="str">
        <f t="shared" si="2"/>
        <v>--</v>
      </c>
      <c r="Q31" s="705" t="str">
        <f t="shared" si="13"/>
        <v>--</v>
      </c>
      <c r="R31" s="706" t="str">
        <f t="shared" si="3"/>
        <v>--</v>
      </c>
      <c r="S31" s="707" t="str">
        <f t="shared" si="4"/>
        <v>--</v>
      </c>
      <c r="T31" s="708" t="str">
        <f t="shared" si="5"/>
        <v>--</v>
      </c>
      <c r="U31" s="709" t="str">
        <f t="shared" si="6"/>
        <v>--</v>
      </c>
      <c r="V31" s="710" t="str">
        <f t="shared" si="7"/>
        <v>--</v>
      </c>
      <c r="W31" s="711" t="str">
        <f t="shared" si="8"/>
        <v>--</v>
      </c>
      <c r="X31" s="712" t="str">
        <f t="shared" si="9"/>
        <v>--</v>
      </c>
      <c r="Y31" s="713" t="str">
        <f t="shared" si="10"/>
        <v>--</v>
      </c>
      <c r="Z31" s="714">
        <f t="shared" si="15"/>
      </c>
      <c r="AA31" s="55">
        <f t="shared" si="11"/>
      </c>
      <c r="AB31" s="3"/>
    </row>
    <row r="32" spans="1:28" ht="16.5" customHeight="1">
      <c r="A32" s="1"/>
      <c r="B32" s="2"/>
      <c r="C32" s="512"/>
      <c r="D32" s="512"/>
      <c r="E32" s="512"/>
      <c r="F32" s="513"/>
      <c r="G32" s="514"/>
      <c r="H32" s="515"/>
      <c r="I32" s="272">
        <f t="shared" si="12"/>
        <v>17.43</v>
      </c>
      <c r="J32" s="520"/>
      <c r="K32" s="520"/>
      <c r="L32" s="13">
        <f t="shared" si="0"/>
      </c>
      <c r="M32" s="14">
        <f t="shared" si="1"/>
      </c>
      <c r="N32" s="521"/>
      <c r="O32" s="703">
        <f t="shared" si="14"/>
      </c>
      <c r="P32" s="704" t="str">
        <f t="shared" si="2"/>
        <v>--</v>
      </c>
      <c r="Q32" s="705" t="str">
        <f t="shared" si="13"/>
        <v>--</v>
      </c>
      <c r="R32" s="706" t="str">
        <f t="shared" si="3"/>
        <v>--</v>
      </c>
      <c r="S32" s="707" t="str">
        <f t="shared" si="4"/>
        <v>--</v>
      </c>
      <c r="T32" s="708" t="str">
        <f t="shared" si="5"/>
        <v>--</v>
      </c>
      <c r="U32" s="709" t="str">
        <f t="shared" si="6"/>
        <v>--</v>
      </c>
      <c r="V32" s="710" t="str">
        <f t="shared" si="7"/>
        <v>--</v>
      </c>
      <c r="W32" s="711" t="str">
        <f t="shared" si="8"/>
        <v>--</v>
      </c>
      <c r="X32" s="712" t="str">
        <f t="shared" si="9"/>
        <v>--</v>
      </c>
      <c r="Y32" s="713" t="str">
        <f t="shared" si="10"/>
        <v>--</v>
      </c>
      <c r="Z32" s="714">
        <f t="shared" si="15"/>
      </c>
      <c r="AA32" s="55">
        <f t="shared" si="11"/>
      </c>
      <c r="AB32" s="3"/>
    </row>
    <row r="33" spans="1:28" ht="16.5" customHeight="1">
      <c r="A33" s="1"/>
      <c r="B33" s="2"/>
      <c r="C33" s="512"/>
      <c r="D33" s="512"/>
      <c r="E33" s="512"/>
      <c r="F33" s="513"/>
      <c r="G33" s="514"/>
      <c r="H33" s="515"/>
      <c r="I33" s="272">
        <f t="shared" si="12"/>
        <v>17.43</v>
      </c>
      <c r="J33" s="520"/>
      <c r="K33" s="520"/>
      <c r="L33" s="13">
        <f t="shared" si="0"/>
      </c>
      <c r="M33" s="14">
        <f t="shared" si="1"/>
      </c>
      <c r="N33" s="521"/>
      <c r="O33" s="703">
        <f t="shared" si="14"/>
      </c>
      <c r="P33" s="704" t="str">
        <f t="shared" si="2"/>
        <v>--</v>
      </c>
      <c r="Q33" s="705" t="str">
        <f t="shared" si="13"/>
        <v>--</v>
      </c>
      <c r="R33" s="706" t="str">
        <f t="shared" si="3"/>
        <v>--</v>
      </c>
      <c r="S33" s="707" t="str">
        <f t="shared" si="4"/>
        <v>--</v>
      </c>
      <c r="T33" s="708" t="str">
        <f t="shared" si="5"/>
        <v>--</v>
      </c>
      <c r="U33" s="709" t="str">
        <f t="shared" si="6"/>
        <v>--</v>
      </c>
      <c r="V33" s="710" t="str">
        <f t="shared" si="7"/>
        <v>--</v>
      </c>
      <c r="W33" s="711" t="str">
        <f t="shared" si="8"/>
        <v>--</v>
      </c>
      <c r="X33" s="712" t="str">
        <f t="shared" si="9"/>
        <v>--</v>
      </c>
      <c r="Y33" s="713" t="str">
        <f t="shared" si="10"/>
        <v>--</v>
      </c>
      <c r="Z33" s="714">
        <f t="shared" si="15"/>
      </c>
      <c r="AA33" s="55">
        <f t="shared" si="11"/>
      </c>
      <c r="AB33" s="3"/>
    </row>
    <row r="34" spans="1:28" ht="16.5" customHeight="1">
      <c r="A34" s="1"/>
      <c r="B34" s="2"/>
      <c r="C34" s="512"/>
      <c r="D34" s="512"/>
      <c r="E34" s="512"/>
      <c r="F34" s="513"/>
      <c r="G34" s="514"/>
      <c r="H34" s="515"/>
      <c r="I34" s="272">
        <f t="shared" si="12"/>
        <v>17.43</v>
      </c>
      <c r="J34" s="520"/>
      <c r="K34" s="520"/>
      <c r="L34" s="13">
        <f t="shared" si="0"/>
      </c>
      <c r="M34" s="14">
        <f t="shared" si="1"/>
      </c>
      <c r="N34" s="521"/>
      <c r="O34" s="703">
        <f t="shared" si="14"/>
      </c>
      <c r="P34" s="704" t="str">
        <f t="shared" si="2"/>
        <v>--</v>
      </c>
      <c r="Q34" s="705" t="str">
        <f t="shared" si="13"/>
        <v>--</v>
      </c>
      <c r="R34" s="706" t="str">
        <f t="shared" si="3"/>
        <v>--</v>
      </c>
      <c r="S34" s="707" t="str">
        <f t="shared" si="4"/>
        <v>--</v>
      </c>
      <c r="T34" s="708" t="str">
        <f t="shared" si="5"/>
        <v>--</v>
      </c>
      <c r="U34" s="709" t="str">
        <f t="shared" si="6"/>
        <v>--</v>
      </c>
      <c r="V34" s="710" t="str">
        <f t="shared" si="7"/>
        <v>--</v>
      </c>
      <c r="W34" s="711" t="str">
        <f t="shared" si="8"/>
        <v>--</v>
      </c>
      <c r="X34" s="712" t="str">
        <f t="shared" si="9"/>
        <v>--</v>
      </c>
      <c r="Y34" s="713" t="str">
        <f t="shared" si="10"/>
        <v>--</v>
      </c>
      <c r="Z34" s="714">
        <f t="shared" si="15"/>
      </c>
      <c r="AA34" s="55">
        <f t="shared" si="11"/>
      </c>
      <c r="AB34" s="3"/>
    </row>
    <row r="35" spans="1:28" ht="16.5" customHeight="1">
      <c r="A35" s="1"/>
      <c r="B35" s="2"/>
      <c r="C35" s="512"/>
      <c r="D35" s="512"/>
      <c r="E35" s="512"/>
      <c r="F35" s="513"/>
      <c r="G35" s="514"/>
      <c r="H35" s="515"/>
      <c r="I35" s="272">
        <f t="shared" si="12"/>
        <v>17.43</v>
      </c>
      <c r="J35" s="520"/>
      <c r="K35" s="520"/>
      <c r="L35" s="13">
        <f t="shared" si="0"/>
      </c>
      <c r="M35" s="14">
        <f t="shared" si="1"/>
      </c>
      <c r="N35" s="521"/>
      <c r="O35" s="703">
        <f t="shared" si="14"/>
      </c>
      <c r="P35" s="704" t="str">
        <f t="shared" si="2"/>
        <v>--</v>
      </c>
      <c r="Q35" s="705" t="str">
        <f t="shared" si="13"/>
        <v>--</v>
      </c>
      <c r="R35" s="706" t="str">
        <f t="shared" si="3"/>
        <v>--</v>
      </c>
      <c r="S35" s="707" t="str">
        <f t="shared" si="4"/>
        <v>--</v>
      </c>
      <c r="T35" s="708" t="str">
        <f t="shared" si="5"/>
        <v>--</v>
      </c>
      <c r="U35" s="709" t="str">
        <f t="shared" si="6"/>
        <v>--</v>
      </c>
      <c r="V35" s="710" t="str">
        <f t="shared" si="7"/>
        <v>--</v>
      </c>
      <c r="W35" s="711" t="str">
        <f t="shared" si="8"/>
        <v>--</v>
      </c>
      <c r="X35" s="712" t="str">
        <f t="shared" si="9"/>
        <v>--</v>
      </c>
      <c r="Y35" s="713" t="str">
        <f t="shared" si="10"/>
        <v>--</v>
      </c>
      <c r="Z35" s="714">
        <f t="shared" si="15"/>
      </c>
      <c r="AA35" s="55">
        <f t="shared" si="11"/>
      </c>
      <c r="AB35" s="3"/>
    </row>
    <row r="36" spans="1:28" ht="16.5" customHeight="1">
      <c r="A36" s="1"/>
      <c r="B36" s="2"/>
      <c r="C36" s="512"/>
      <c r="D36" s="512"/>
      <c r="E36" s="512"/>
      <c r="F36" s="513"/>
      <c r="G36" s="514"/>
      <c r="H36" s="515"/>
      <c r="I36" s="272">
        <f t="shared" si="12"/>
        <v>17.43</v>
      </c>
      <c r="J36" s="520"/>
      <c r="K36" s="520"/>
      <c r="L36" s="13">
        <f t="shared" si="0"/>
      </c>
      <c r="M36" s="14">
        <f t="shared" si="1"/>
      </c>
      <c r="N36" s="521"/>
      <c r="O36" s="703">
        <f t="shared" si="14"/>
      </c>
      <c r="P36" s="704" t="str">
        <f t="shared" si="2"/>
        <v>--</v>
      </c>
      <c r="Q36" s="705" t="str">
        <f t="shared" si="13"/>
        <v>--</v>
      </c>
      <c r="R36" s="706" t="str">
        <f t="shared" si="3"/>
        <v>--</v>
      </c>
      <c r="S36" s="707" t="str">
        <f t="shared" si="4"/>
        <v>--</v>
      </c>
      <c r="T36" s="708" t="str">
        <f t="shared" si="5"/>
        <v>--</v>
      </c>
      <c r="U36" s="709" t="str">
        <f t="shared" si="6"/>
        <v>--</v>
      </c>
      <c r="V36" s="710" t="str">
        <f t="shared" si="7"/>
        <v>--</v>
      </c>
      <c r="W36" s="711" t="str">
        <f t="shared" si="8"/>
        <v>--</v>
      </c>
      <c r="X36" s="712" t="str">
        <f t="shared" si="9"/>
        <v>--</v>
      </c>
      <c r="Y36" s="713" t="str">
        <f t="shared" si="10"/>
        <v>--</v>
      </c>
      <c r="Z36" s="714">
        <f t="shared" si="15"/>
      </c>
      <c r="AA36" s="55">
        <f t="shared" si="11"/>
      </c>
      <c r="AB36" s="3"/>
    </row>
    <row r="37" spans="1:28" ht="16.5" customHeight="1">
      <c r="A37" s="1"/>
      <c r="B37" s="2"/>
      <c r="C37" s="512"/>
      <c r="D37" s="512"/>
      <c r="E37" s="512"/>
      <c r="F37" s="513"/>
      <c r="G37" s="514"/>
      <c r="H37" s="515"/>
      <c r="I37" s="272">
        <f t="shared" si="12"/>
        <v>17.43</v>
      </c>
      <c r="J37" s="520"/>
      <c r="K37" s="520"/>
      <c r="L37" s="13">
        <f t="shared" si="0"/>
      </c>
      <c r="M37" s="14">
        <f t="shared" si="1"/>
      </c>
      <c r="N37" s="521"/>
      <c r="O37" s="703">
        <f t="shared" si="14"/>
      </c>
      <c r="P37" s="704" t="str">
        <f t="shared" si="2"/>
        <v>--</v>
      </c>
      <c r="Q37" s="705" t="str">
        <f t="shared" si="13"/>
        <v>--</v>
      </c>
      <c r="R37" s="706" t="str">
        <f t="shared" si="3"/>
        <v>--</v>
      </c>
      <c r="S37" s="707" t="str">
        <f t="shared" si="4"/>
        <v>--</v>
      </c>
      <c r="T37" s="708" t="str">
        <f t="shared" si="5"/>
        <v>--</v>
      </c>
      <c r="U37" s="709" t="str">
        <f t="shared" si="6"/>
        <v>--</v>
      </c>
      <c r="V37" s="710" t="str">
        <f t="shared" si="7"/>
        <v>--</v>
      </c>
      <c r="W37" s="711" t="str">
        <f t="shared" si="8"/>
        <v>--</v>
      </c>
      <c r="X37" s="712" t="str">
        <f t="shared" si="9"/>
        <v>--</v>
      </c>
      <c r="Y37" s="713" t="str">
        <f t="shared" si="10"/>
        <v>--</v>
      </c>
      <c r="Z37" s="714">
        <f t="shared" si="15"/>
      </c>
      <c r="AA37" s="55">
        <f t="shared" si="11"/>
      </c>
      <c r="AB37" s="3"/>
    </row>
    <row r="38" spans="2:28" ht="16.5" customHeight="1">
      <c r="B38" s="56"/>
      <c r="C38" s="512"/>
      <c r="D38" s="512"/>
      <c r="E38" s="512"/>
      <c r="F38" s="513"/>
      <c r="G38" s="514"/>
      <c r="H38" s="515"/>
      <c r="I38" s="272">
        <f t="shared" si="12"/>
        <v>17.43</v>
      </c>
      <c r="J38" s="520"/>
      <c r="K38" s="520"/>
      <c r="L38" s="13">
        <f t="shared" si="0"/>
      </c>
      <c r="M38" s="14">
        <f t="shared" si="1"/>
      </c>
      <c r="N38" s="521"/>
      <c r="O38" s="703">
        <f t="shared" si="14"/>
      </c>
      <c r="P38" s="704" t="str">
        <f t="shared" si="2"/>
        <v>--</v>
      </c>
      <c r="Q38" s="705" t="str">
        <f t="shared" si="13"/>
        <v>--</v>
      </c>
      <c r="R38" s="706" t="str">
        <f t="shared" si="3"/>
        <v>--</v>
      </c>
      <c r="S38" s="707" t="str">
        <f t="shared" si="4"/>
        <v>--</v>
      </c>
      <c r="T38" s="708" t="str">
        <f t="shared" si="5"/>
        <v>--</v>
      </c>
      <c r="U38" s="709" t="str">
        <f t="shared" si="6"/>
        <v>--</v>
      </c>
      <c r="V38" s="710" t="str">
        <f t="shared" si="7"/>
        <v>--</v>
      </c>
      <c r="W38" s="711" t="str">
        <f t="shared" si="8"/>
        <v>--</v>
      </c>
      <c r="X38" s="712" t="str">
        <f t="shared" si="9"/>
        <v>--</v>
      </c>
      <c r="Y38" s="713" t="str">
        <f t="shared" si="10"/>
        <v>--</v>
      </c>
      <c r="Z38" s="714">
        <f t="shared" si="15"/>
      </c>
      <c r="AA38" s="55">
        <f t="shared" si="11"/>
      </c>
      <c r="AB38" s="3"/>
    </row>
    <row r="39" spans="2:28" ht="16.5" customHeight="1">
      <c r="B39" s="56"/>
      <c r="C39" s="512"/>
      <c r="D39" s="512"/>
      <c r="E39" s="512"/>
      <c r="F39" s="513"/>
      <c r="G39" s="514"/>
      <c r="H39" s="515"/>
      <c r="I39" s="272">
        <f>IF(H39&gt;25,H39,25)*IF(G39=330,$G$15,$G$16)/100</f>
        <v>17.43</v>
      </c>
      <c r="J39" s="520"/>
      <c r="K39" s="520"/>
      <c r="L39" s="13">
        <f t="shared" si="0"/>
      </c>
      <c r="M39" s="14">
        <f t="shared" si="1"/>
      </c>
      <c r="N39" s="521"/>
      <c r="O39" s="703">
        <f t="shared" si="14"/>
      </c>
      <c r="P39" s="704" t="str">
        <f t="shared" si="2"/>
        <v>--</v>
      </c>
      <c r="Q39" s="705" t="str">
        <f>IF(N39="RP",ROUND(M39/60,2)*I39*$L$16*0.01*O39/100,"--")</f>
        <v>--</v>
      </c>
      <c r="R39" s="706" t="str">
        <f t="shared" si="3"/>
        <v>--</v>
      </c>
      <c r="S39" s="707" t="str">
        <f t="shared" si="4"/>
        <v>--</v>
      </c>
      <c r="T39" s="708" t="str">
        <f t="shared" si="5"/>
        <v>--</v>
      </c>
      <c r="U39" s="709" t="str">
        <f t="shared" si="6"/>
        <v>--</v>
      </c>
      <c r="V39" s="710" t="str">
        <f t="shared" si="7"/>
        <v>--</v>
      </c>
      <c r="W39" s="711" t="str">
        <f t="shared" si="8"/>
        <v>--</v>
      </c>
      <c r="X39" s="712" t="str">
        <f t="shared" si="9"/>
        <v>--</v>
      </c>
      <c r="Y39" s="713" t="str">
        <f t="shared" si="10"/>
        <v>--</v>
      </c>
      <c r="Z39" s="714">
        <f t="shared" si="15"/>
      </c>
      <c r="AA39" s="55">
        <f t="shared" si="11"/>
      </c>
      <c r="AB39" s="3"/>
    </row>
    <row r="40" spans="2:28" ht="16.5" customHeight="1">
      <c r="B40" s="56"/>
      <c r="C40" s="512"/>
      <c r="D40" s="512"/>
      <c r="E40" s="512"/>
      <c r="F40" s="513"/>
      <c r="G40" s="514"/>
      <c r="H40" s="515"/>
      <c r="I40" s="272">
        <f>IF(H40&gt;25,H40,25)*IF(G40=330,$G$15,$G$16)/100</f>
        <v>17.43</v>
      </c>
      <c r="J40" s="520"/>
      <c r="K40" s="520"/>
      <c r="L40" s="13">
        <f t="shared" si="0"/>
      </c>
      <c r="M40" s="14">
        <f t="shared" si="1"/>
      </c>
      <c r="N40" s="521"/>
      <c r="O40" s="703">
        <f t="shared" si="14"/>
      </c>
      <c r="P40" s="704" t="str">
        <f t="shared" si="2"/>
        <v>--</v>
      </c>
      <c r="Q40" s="705" t="str">
        <f>IF(N40="RP",ROUND(M40/60,2)*I40*$L$16*0.01*O40/100,"--")</f>
        <v>--</v>
      </c>
      <c r="R40" s="706" t="str">
        <f t="shared" si="3"/>
        <v>--</v>
      </c>
      <c r="S40" s="707" t="str">
        <f t="shared" si="4"/>
        <v>--</v>
      </c>
      <c r="T40" s="708" t="str">
        <f t="shared" si="5"/>
        <v>--</v>
      </c>
      <c r="U40" s="709" t="str">
        <f t="shared" si="6"/>
        <v>--</v>
      </c>
      <c r="V40" s="710" t="str">
        <f t="shared" si="7"/>
        <v>--</v>
      </c>
      <c r="W40" s="711" t="str">
        <f t="shared" si="8"/>
        <v>--</v>
      </c>
      <c r="X40" s="712" t="str">
        <f t="shared" si="9"/>
        <v>--</v>
      </c>
      <c r="Y40" s="713" t="str">
        <f t="shared" si="10"/>
        <v>--</v>
      </c>
      <c r="Z40" s="714">
        <f t="shared" si="15"/>
      </c>
      <c r="AA40" s="55">
        <f t="shared" si="11"/>
      </c>
      <c r="AB40" s="3"/>
    </row>
    <row r="41" spans="2:28" ht="16.5" customHeight="1">
      <c r="B41" s="56"/>
      <c r="C41" s="512"/>
      <c r="D41" s="512"/>
      <c r="E41" s="512"/>
      <c r="F41" s="513"/>
      <c r="G41" s="514"/>
      <c r="H41" s="515"/>
      <c r="I41" s="272">
        <f>IF(H41&gt;25,H41,25)*IF(G41=330,$G$15,$G$16)/100</f>
        <v>17.43</v>
      </c>
      <c r="J41" s="520"/>
      <c r="K41" s="520"/>
      <c r="L41" s="13">
        <f t="shared" si="0"/>
      </c>
      <c r="M41" s="14">
        <f t="shared" si="1"/>
      </c>
      <c r="N41" s="521"/>
      <c r="O41" s="703">
        <f t="shared" si="14"/>
      </c>
      <c r="P41" s="704" t="str">
        <f t="shared" si="2"/>
        <v>--</v>
      </c>
      <c r="Q41" s="705" t="str">
        <f>IF(N41="RP",ROUND(M41/60,2)*I41*$L$16*0.01*O41/100,"--")</f>
        <v>--</v>
      </c>
      <c r="R41" s="706" t="str">
        <f t="shared" si="3"/>
        <v>--</v>
      </c>
      <c r="S41" s="707" t="str">
        <f t="shared" si="4"/>
        <v>--</v>
      </c>
      <c r="T41" s="708" t="str">
        <f t="shared" si="5"/>
        <v>--</v>
      </c>
      <c r="U41" s="709" t="str">
        <f t="shared" si="6"/>
        <v>--</v>
      </c>
      <c r="V41" s="710" t="str">
        <f t="shared" si="7"/>
        <v>--</v>
      </c>
      <c r="W41" s="711" t="str">
        <f t="shared" si="8"/>
        <v>--</v>
      </c>
      <c r="X41" s="712" t="str">
        <f t="shared" si="9"/>
        <v>--</v>
      </c>
      <c r="Y41" s="713" t="str">
        <f t="shared" si="10"/>
        <v>--</v>
      </c>
      <c r="Z41" s="714">
        <f t="shared" si="15"/>
      </c>
      <c r="AA41" s="55">
        <f t="shared" si="11"/>
      </c>
      <c r="AB41" s="3"/>
    </row>
    <row r="42" spans="1:28" ht="16.5" customHeight="1" thickBot="1">
      <c r="A42" s="1"/>
      <c r="B42" s="2"/>
      <c r="C42" s="516"/>
      <c r="D42" s="516"/>
      <c r="E42" s="516"/>
      <c r="F42" s="517"/>
      <c r="G42" s="518"/>
      <c r="H42" s="519"/>
      <c r="I42" s="273"/>
      <c r="J42" s="519"/>
      <c r="K42" s="519"/>
      <c r="L42" s="15"/>
      <c r="M42" s="15"/>
      <c r="N42" s="519"/>
      <c r="O42" s="522"/>
      <c r="P42" s="523"/>
      <c r="Q42" s="524"/>
      <c r="R42" s="525"/>
      <c r="S42" s="526"/>
      <c r="T42" s="527"/>
      <c r="U42" s="528"/>
      <c r="V42" s="529"/>
      <c r="W42" s="530"/>
      <c r="X42" s="531"/>
      <c r="Y42" s="532"/>
      <c r="Z42" s="533"/>
      <c r="AA42" s="57"/>
      <c r="AB42" s="3"/>
    </row>
    <row r="43" spans="1:28" ht="16.5" customHeight="1" thickBot="1" thickTop="1">
      <c r="A43" s="1"/>
      <c r="B43" s="2"/>
      <c r="C43" s="244" t="s">
        <v>64</v>
      </c>
      <c r="D43" s="734" t="s">
        <v>174</v>
      </c>
      <c r="E43" s="698"/>
      <c r="F43" s="245"/>
      <c r="G43" s="16"/>
      <c r="H43" s="17"/>
      <c r="I43" s="58"/>
      <c r="J43" s="58"/>
      <c r="K43" s="58"/>
      <c r="L43" s="58"/>
      <c r="M43" s="58"/>
      <c r="N43" s="58"/>
      <c r="O43" s="59"/>
      <c r="P43" s="331">
        <f aca="true" t="shared" si="16" ref="P43:Y43">ROUND(SUM(P20:P42),2)</f>
        <v>0</v>
      </c>
      <c r="Q43" s="332">
        <f t="shared" si="16"/>
        <v>0</v>
      </c>
      <c r="R43" s="333">
        <f t="shared" si="16"/>
        <v>4969.64</v>
      </c>
      <c r="S43" s="333">
        <f t="shared" si="16"/>
        <v>12372.86</v>
      </c>
      <c r="T43" s="334">
        <f t="shared" si="16"/>
        <v>7251.26</v>
      </c>
      <c r="U43" s="335">
        <f t="shared" si="16"/>
        <v>0</v>
      </c>
      <c r="V43" s="335">
        <f t="shared" si="16"/>
        <v>0</v>
      </c>
      <c r="W43" s="336">
        <f t="shared" si="16"/>
        <v>0</v>
      </c>
      <c r="X43" s="337">
        <f t="shared" si="16"/>
        <v>0</v>
      </c>
      <c r="Y43" s="338">
        <f t="shared" si="16"/>
        <v>0</v>
      </c>
      <c r="Z43" s="60"/>
      <c r="AA43" s="702">
        <f>ROUND(SUM(AA20:AA42),2)</f>
        <v>24593.76</v>
      </c>
      <c r="AB43" s="61"/>
    </row>
    <row r="44" spans="1:28" s="259" customFormat="1" ht="9.75" thickTop="1">
      <c r="A44" s="248"/>
      <c r="B44" s="249"/>
      <c r="C44" s="246"/>
      <c r="D44" s="246"/>
      <c r="E44" s="246"/>
      <c r="F44" s="247"/>
      <c r="G44" s="250"/>
      <c r="H44" s="251"/>
      <c r="I44" s="252"/>
      <c r="J44" s="252"/>
      <c r="K44" s="252"/>
      <c r="L44" s="252"/>
      <c r="M44" s="252"/>
      <c r="N44" s="252"/>
      <c r="O44" s="253"/>
      <c r="P44" s="254"/>
      <c r="Q44" s="254"/>
      <c r="R44" s="255"/>
      <c r="S44" s="255"/>
      <c r="T44" s="256"/>
      <c r="U44" s="256"/>
      <c r="V44" s="256"/>
      <c r="W44" s="256"/>
      <c r="X44" s="256"/>
      <c r="Y44" s="256"/>
      <c r="Z44" s="256"/>
      <c r="AA44" s="257"/>
      <c r="AB44" s="258"/>
    </row>
    <row r="45" spans="1:28" s="10" customFormat="1" ht="16.5" customHeight="1" thickBot="1">
      <c r="A45" s="8"/>
      <c r="B45" s="4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50"/>
    </row>
    <row r="46" spans="1:28" ht="13.5" thickTop="1">
      <c r="A46" s="1"/>
      <c r="B46" s="1"/>
      <c r="AB46" s="1"/>
    </row>
    <row r="91" spans="1:2" ht="12.75">
      <c r="A91" s="1"/>
      <c r="B91" s="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7" r:id="rId3"/>
  <headerFooter alignWithMargins="0">
    <oddFooter>&amp;L&amp;"Times New Roman,Normal"&amp;8&amp;Z&amp;F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AB91"/>
  <sheetViews>
    <sheetView zoomScale="70" zoomScaleNormal="70" zoomScalePageLayoutView="0" workbookViewId="0" topLeftCell="A1">
      <selection activeCell="G16" sqref="G16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45.7109375" style="0" customWidth="1"/>
    <col min="7" max="8" width="9.7109375" style="0" customWidth="1"/>
    <col min="9" max="9" width="12.7109375" style="0" hidden="1" customWidth="1"/>
    <col min="10" max="11" width="15.7109375" style="0" customWidth="1"/>
    <col min="12" max="14" width="9.7109375" style="0" customWidth="1"/>
    <col min="15" max="15" width="14.140625" style="0" customWidth="1"/>
    <col min="16" max="25" width="14.140625" style="0" hidden="1" customWidth="1"/>
    <col min="26" max="26" width="14.140625" style="0" customWidth="1"/>
    <col min="27" max="27" width="15.7109375" style="0" customWidth="1"/>
    <col min="28" max="28" width="4.140625" style="0" customWidth="1"/>
  </cols>
  <sheetData>
    <row r="1" s="109" customFormat="1" ht="26.25">
      <c r="AB1" s="416"/>
    </row>
    <row r="2" spans="2:28" s="109" customFormat="1" ht="26.25">
      <c r="B2" s="110" t="str">
        <f>+'TOT-0814'!B2</f>
        <v>ANEXO II al Memorándum  D.T.E.E.  N°  301 /2016              .-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</row>
    <row r="3" s="10" customFormat="1" ht="12.75"/>
    <row r="4" spans="1:4" s="112" customFormat="1" ht="11.25">
      <c r="A4" s="701" t="s">
        <v>16</v>
      </c>
      <c r="C4" s="700"/>
      <c r="D4" s="700"/>
    </row>
    <row r="5" spans="1:4" s="112" customFormat="1" ht="11.25">
      <c r="A5" s="701" t="s">
        <v>145</v>
      </c>
      <c r="C5" s="700"/>
      <c r="D5" s="700"/>
    </row>
    <row r="6" s="10" customFormat="1" ht="13.5" thickBot="1"/>
    <row r="7" spans="1:28" s="10" customFormat="1" ht="13.5" thickTop="1">
      <c r="A7" s="8"/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3"/>
    </row>
    <row r="8" spans="1:28" s="114" customFormat="1" ht="20.25">
      <c r="A8" s="45"/>
      <c r="B8" s="113"/>
      <c r="C8" s="45"/>
      <c r="D8" s="45"/>
      <c r="E8" s="45"/>
      <c r="F8" s="21" t="s">
        <v>40</v>
      </c>
      <c r="G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115"/>
    </row>
    <row r="9" spans="1:28" s="10" customFormat="1" ht="12.75">
      <c r="A9" s="8"/>
      <c r="B9" s="44"/>
      <c r="C9" s="8"/>
      <c r="D9" s="8"/>
      <c r="E9" s="8"/>
      <c r="F9" s="126"/>
      <c r="G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11"/>
    </row>
    <row r="10" spans="1:28" s="114" customFormat="1" ht="20.25">
      <c r="A10" s="45"/>
      <c r="B10" s="113"/>
      <c r="C10" s="45"/>
      <c r="D10" s="45"/>
      <c r="E10" s="45"/>
      <c r="F10" s="21" t="s">
        <v>163</v>
      </c>
      <c r="G10" s="21"/>
      <c r="H10" s="45"/>
      <c r="I10" s="116"/>
      <c r="J10" s="116"/>
      <c r="K10" s="116"/>
      <c r="L10" s="116"/>
      <c r="M10" s="116"/>
      <c r="N10" s="116"/>
      <c r="O10" s="116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115"/>
    </row>
    <row r="11" spans="1:28" s="10" customFormat="1" ht="12.75">
      <c r="A11" s="8"/>
      <c r="B11" s="44"/>
      <c r="C11" s="8"/>
      <c r="D11" s="8"/>
      <c r="E11" s="8"/>
      <c r="F11" s="125"/>
      <c r="G11" s="123"/>
      <c r="H11" s="8"/>
      <c r="I11" s="122"/>
      <c r="J11" s="122"/>
      <c r="K11" s="122"/>
      <c r="L11" s="122"/>
      <c r="M11" s="122"/>
      <c r="N11" s="122"/>
      <c r="O11" s="122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11"/>
    </row>
    <row r="12" spans="1:28" s="121" customFormat="1" ht="19.5">
      <c r="A12" s="47"/>
      <c r="B12" s="87" t="str">
        <f>+'TOT-0814'!B14</f>
        <v>Desde el 01 al 31 de agosto de 2014</v>
      </c>
      <c r="C12" s="117"/>
      <c r="D12" s="117"/>
      <c r="E12" s="117"/>
      <c r="F12" s="117"/>
      <c r="G12" s="118"/>
      <c r="H12" s="118"/>
      <c r="I12" s="119"/>
      <c r="J12" s="119"/>
      <c r="K12" s="119"/>
      <c r="L12" s="119"/>
      <c r="M12" s="119"/>
      <c r="N12" s="119"/>
      <c r="O12" s="119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20"/>
    </row>
    <row r="13" spans="1:28" s="121" customFormat="1" ht="7.5" customHeight="1">
      <c r="A13" s="47"/>
      <c r="B13" s="87"/>
      <c r="C13" s="117"/>
      <c r="D13" s="117"/>
      <c r="E13" s="117"/>
      <c r="F13" s="117"/>
      <c r="G13" s="118"/>
      <c r="H13" s="118"/>
      <c r="I13" s="119"/>
      <c r="J13" s="119"/>
      <c r="K13" s="119"/>
      <c r="L13" s="119"/>
      <c r="M13" s="119"/>
      <c r="N13" s="119"/>
      <c r="O13" s="119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20"/>
    </row>
    <row r="14" spans="1:28" s="10" customFormat="1" ht="7.5" customHeight="1" thickBot="1">
      <c r="A14" s="8"/>
      <c r="B14" s="44"/>
      <c r="C14" s="8"/>
      <c r="D14" s="8"/>
      <c r="E14" s="8"/>
      <c r="F14" s="8"/>
      <c r="G14" s="123"/>
      <c r="H14" s="124"/>
      <c r="I14" s="122"/>
      <c r="J14" s="122"/>
      <c r="K14" s="122"/>
      <c r="L14" s="122"/>
      <c r="M14" s="122"/>
      <c r="N14" s="122"/>
      <c r="O14" s="122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11"/>
    </row>
    <row r="15" spans="1:28" s="95" customFormat="1" ht="16.5" customHeight="1" thickBot="1" thickTop="1">
      <c r="A15" s="91"/>
      <c r="B15" s="92"/>
      <c r="C15" s="91"/>
      <c r="D15" s="91"/>
      <c r="E15" s="91"/>
      <c r="F15" s="508" t="s">
        <v>43</v>
      </c>
      <c r="G15" s="509" t="s">
        <v>164</v>
      </c>
      <c r="H15" s="242"/>
      <c r="I15" s="96"/>
      <c r="J15" s="96"/>
      <c r="K15" s="96"/>
      <c r="L15" s="96"/>
      <c r="M15" s="96"/>
      <c r="N15" s="96"/>
      <c r="O15" s="96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4"/>
    </row>
    <row r="16" spans="1:28" s="95" customFormat="1" ht="16.5" customHeight="1" thickBot="1" thickTop="1">
      <c r="A16" s="91"/>
      <c r="B16" s="92"/>
      <c r="C16" s="91"/>
      <c r="D16" s="91"/>
      <c r="E16" s="91"/>
      <c r="F16" s="508" t="s">
        <v>44</v>
      </c>
      <c r="G16" s="509">
        <v>69.72</v>
      </c>
      <c r="H16" s="243"/>
      <c r="I16" s="91"/>
      <c r="K16" s="97" t="s">
        <v>45</v>
      </c>
      <c r="L16" s="98">
        <f>30*'TOT-0814'!B13</f>
        <v>30</v>
      </c>
      <c r="M16" s="239" t="str">
        <f>IF(L16=30," ",IF(L16=60,"Coeficiente duplicado por tasa de falla &gt;4 Sal. x año/100 km.","REVISAR COEFICIENTE"))</f>
        <v> </v>
      </c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4"/>
    </row>
    <row r="17" spans="1:28" s="95" customFormat="1" ht="7.5" customHeight="1" thickTop="1">
      <c r="A17" s="91"/>
      <c r="B17" s="92"/>
      <c r="C17" s="91"/>
      <c r="D17" s="91"/>
      <c r="E17" s="91"/>
      <c r="F17" s="690"/>
      <c r="G17" s="691"/>
      <c r="H17" s="692"/>
      <c r="I17" s="91"/>
      <c r="K17" s="97"/>
      <c r="L17" s="98"/>
      <c r="M17" s="239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4"/>
    </row>
    <row r="18" spans="1:28" s="724" customFormat="1" ht="15" customHeight="1" thickBot="1">
      <c r="A18" s="720"/>
      <c r="B18" s="721"/>
      <c r="C18" s="722">
        <v>3</v>
      </c>
      <c r="D18" s="722">
        <v>4</v>
      </c>
      <c r="E18" s="722">
        <v>5</v>
      </c>
      <c r="F18" s="722">
        <v>6</v>
      </c>
      <c r="G18" s="722">
        <v>7</v>
      </c>
      <c r="H18" s="722">
        <v>8</v>
      </c>
      <c r="I18" s="722">
        <v>9</v>
      </c>
      <c r="J18" s="722">
        <v>10</v>
      </c>
      <c r="K18" s="722">
        <v>11</v>
      </c>
      <c r="L18" s="722">
        <v>12</v>
      </c>
      <c r="M18" s="722">
        <v>13</v>
      </c>
      <c r="N18" s="722">
        <v>14</v>
      </c>
      <c r="O18" s="722">
        <v>15</v>
      </c>
      <c r="P18" s="722">
        <v>16</v>
      </c>
      <c r="Q18" s="722">
        <v>17</v>
      </c>
      <c r="R18" s="722">
        <v>18</v>
      </c>
      <c r="S18" s="722">
        <v>19</v>
      </c>
      <c r="T18" s="722">
        <v>20</v>
      </c>
      <c r="U18" s="722">
        <v>21</v>
      </c>
      <c r="V18" s="722">
        <v>22</v>
      </c>
      <c r="W18" s="722">
        <v>23</v>
      </c>
      <c r="X18" s="722">
        <v>24</v>
      </c>
      <c r="Y18" s="722">
        <v>25</v>
      </c>
      <c r="Z18" s="722">
        <v>26</v>
      </c>
      <c r="AA18" s="722">
        <v>27</v>
      </c>
      <c r="AB18" s="723"/>
    </row>
    <row r="19" spans="1:28" s="108" customFormat="1" ht="33.75" customHeight="1" thickBot="1" thickTop="1">
      <c r="A19" s="99"/>
      <c r="B19" s="100"/>
      <c r="C19" s="101" t="s">
        <v>46</v>
      </c>
      <c r="D19" s="101" t="s">
        <v>144</v>
      </c>
      <c r="E19" s="101" t="s">
        <v>143</v>
      </c>
      <c r="F19" s="102" t="s">
        <v>19</v>
      </c>
      <c r="G19" s="103" t="s">
        <v>47</v>
      </c>
      <c r="H19" s="104" t="s">
        <v>48</v>
      </c>
      <c r="I19" s="269" t="s">
        <v>49</v>
      </c>
      <c r="J19" s="102" t="s">
        <v>50</v>
      </c>
      <c r="K19" s="102" t="s">
        <v>51</v>
      </c>
      <c r="L19" s="103" t="s">
        <v>52</v>
      </c>
      <c r="M19" s="103" t="s">
        <v>53</v>
      </c>
      <c r="N19" s="105" t="s">
        <v>54</v>
      </c>
      <c r="O19" s="103" t="s">
        <v>55</v>
      </c>
      <c r="P19" s="298" t="s">
        <v>56</v>
      </c>
      <c r="Q19" s="301" t="s">
        <v>57</v>
      </c>
      <c r="R19" s="304" t="s">
        <v>58</v>
      </c>
      <c r="S19" s="305"/>
      <c r="T19" s="306"/>
      <c r="U19" s="315" t="s">
        <v>59</v>
      </c>
      <c r="V19" s="316"/>
      <c r="W19" s="317"/>
      <c r="X19" s="325" t="s">
        <v>60</v>
      </c>
      <c r="Y19" s="328" t="s">
        <v>61</v>
      </c>
      <c r="Z19" s="106" t="s">
        <v>62</v>
      </c>
      <c r="AA19" s="106" t="s">
        <v>63</v>
      </c>
      <c r="AB19" s="107"/>
    </row>
    <row r="20" spans="1:28" ht="16.5" customHeight="1" thickTop="1">
      <c r="A20" s="1"/>
      <c r="B20" s="2"/>
      <c r="C20" s="51"/>
      <c r="D20" s="88"/>
      <c r="E20" s="88"/>
      <c r="F20" s="52"/>
      <c r="G20" s="53"/>
      <c r="H20" s="53"/>
      <c r="I20" s="270"/>
      <c r="J20" s="53"/>
      <c r="K20" s="54"/>
      <c r="L20" s="54"/>
      <c r="M20" s="54"/>
      <c r="N20" s="52"/>
      <c r="O20" s="53"/>
      <c r="P20" s="299"/>
      <c r="Q20" s="302"/>
      <c r="R20" s="307"/>
      <c r="S20" s="308"/>
      <c r="T20" s="309"/>
      <c r="U20" s="318"/>
      <c r="V20" s="319"/>
      <c r="W20" s="320"/>
      <c r="X20" s="326"/>
      <c r="Y20" s="329"/>
      <c r="Z20" s="313"/>
      <c r="AA20" s="54"/>
      <c r="AB20" s="3"/>
    </row>
    <row r="21" spans="1:28" ht="16.5" customHeight="1">
      <c r="A21" s="1"/>
      <c r="B21" s="2"/>
      <c r="C21" s="51"/>
      <c r="D21" s="51"/>
      <c r="E21" s="51"/>
      <c r="F21" s="51"/>
      <c r="G21" s="89"/>
      <c r="H21" s="89"/>
      <c r="I21" s="271"/>
      <c r="J21" s="51"/>
      <c r="K21" s="90"/>
      <c r="L21" s="90"/>
      <c r="M21" s="90"/>
      <c r="N21" s="88"/>
      <c r="O21" s="51"/>
      <c r="P21" s="300"/>
      <c r="Q21" s="303"/>
      <c r="R21" s="310"/>
      <c r="S21" s="311"/>
      <c r="T21" s="312"/>
      <c r="U21" s="321"/>
      <c r="V21" s="322"/>
      <c r="W21" s="323"/>
      <c r="X21" s="327"/>
      <c r="Y21" s="330"/>
      <c r="Z21" s="314"/>
      <c r="AA21" s="90"/>
      <c r="AB21" s="3"/>
    </row>
    <row r="22" spans="1:28" ht="16.5" customHeight="1">
      <c r="A22" s="1"/>
      <c r="B22" s="2"/>
      <c r="C22" s="512">
        <v>7</v>
      </c>
      <c r="D22" s="512">
        <v>278398</v>
      </c>
      <c r="E22" s="512">
        <v>4586</v>
      </c>
      <c r="F22" s="513" t="s">
        <v>165</v>
      </c>
      <c r="G22" s="514">
        <v>132</v>
      </c>
      <c r="H22" s="515">
        <v>127.98</v>
      </c>
      <c r="I22" s="272">
        <f aca="true" t="shared" si="0" ref="I22:I41">IF(H22&gt;25,H22,25)*IF(G22=330,$G$15,$G$16)/100</f>
        <v>89.22765600000001</v>
      </c>
      <c r="J22" s="520">
        <v>41876.04236111111</v>
      </c>
      <c r="K22" s="520">
        <v>41876.8</v>
      </c>
      <c r="L22" s="13">
        <f aca="true" t="shared" si="1" ref="L22:L41">IF(F22="","",(K22-J22)*24)</f>
        <v>18.183333333407063</v>
      </c>
      <c r="M22" s="14">
        <f aca="true" t="shared" si="2" ref="M22:M41">IF(F22="","",ROUND((K22-J22)*24*60,0))</f>
        <v>1091</v>
      </c>
      <c r="N22" s="521" t="s">
        <v>155</v>
      </c>
      <c r="O22" s="703" t="str">
        <f aca="true" t="shared" si="3" ref="O22:O41">IF(F22="","","--")</f>
        <v>--</v>
      </c>
      <c r="P22" s="704" t="str">
        <f aca="true" t="shared" si="4" ref="P22:P41">IF(N22="P",ROUND(M22/60,2)*I22*$L$16*0.01,"--")</f>
        <v>--</v>
      </c>
      <c r="Q22" s="705" t="str">
        <f aca="true" t="shared" si="5" ref="Q22:Q41">IF(N22="RP",ROUND(M22/60,2)*I22*$L$16*0.01*O22/100,"--")</f>
        <v>--</v>
      </c>
      <c r="R22" s="706">
        <f aca="true" t="shared" si="6" ref="R22:R41">IF(N22="F",I22*$L$16,"--")</f>
        <v>2676.8296800000003</v>
      </c>
      <c r="S22" s="707">
        <f aca="true" t="shared" si="7" ref="S22:S41">IF(AND(M22&gt;10,N22="F"),I22*$L$16*IF(M22&gt;180,3,ROUND(M22/60,2)),"--")</f>
        <v>8030.48904</v>
      </c>
      <c r="T22" s="708">
        <f aca="true" t="shared" si="8" ref="T22:T41">IF(AND(M22&gt;180,N22="F"),(ROUND(M22/60,2)-3)*I22*$L$16*0.1,"--")</f>
        <v>4063.4274542400003</v>
      </c>
      <c r="U22" s="709" t="str">
        <f aca="true" t="shared" si="9" ref="U22:U41">IF(N22="R",I22*$L$16*O22/100,"--")</f>
        <v>--</v>
      </c>
      <c r="V22" s="710" t="str">
        <f aca="true" t="shared" si="10" ref="V22:V41">IF(AND(M22&gt;10,N22="R"),I22*$L$16*O22/100*IF(M22&gt;180,3,ROUND(M22/60,2)),"--")</f>
        <v>--</v>
      </c>
      <c r="W22" s="711" t="str">
        <f aca="true" t="shared" si="11" ref="W22:W41">IF(AND(M22&gt;180,N22="R"),(ROUND(M22/60,2)-3)*O22/100*I22*$L$16*0.1,"--")</f>
        <v>--</v>
      </c>
      <c r="X22" s="712" t="str">
        <f aca="true" t="shared" si="12" ref="X22:X41">IF(N22="RF",ROUND(M22/60,2)*I22*$L$16*0.1,"--")</f>
        <v>--</v>
      </c>
      <c r="Y22" s="713" t="str">
        <f aca="true" t="shared" si="13" ref="Y22:Y41">IF(N22="RR",ROUND(M22/60,2)*O22/100*I22*$L$16*0.1,"--")</f>
        <v>--</v>
      </c>
      <c r="Z22" s="714" t="str">
        <f aca="true" t="shared" si="14" ref="Z22:Z41">IF(F22="","","SI")</f>
        <v>SI</v>
      </c>
      <c r="AA22" s="55">
        <f aca="true" t="shared" si="15" ref="AA22:AA41">IF(F22="","",SUM(P22:Y22)*IF(Z22="SI",1,2))</f>
        <v>14770.746174240001</v>
      </c>
      <c r="AB22" s="3"/>
    </row>
    <row r="23" spans="1:28" ht="16.5" customHeight="1">
      <c r="A23" s="1"/>
      <c r="B23" s="2"/>
      <c r="C23" s="512"/>
      <c r="D23" s="512"/>
      <c r="E23" s="512"/>
      <c r="F23" s="513"/>
      <c r="G23" s="514"/>
      <c r="H23" s="515"/>
      <c r="I23" s="272">
        <f t="shared" si="0"/>
        <v>17.43</v>
      </c>
      <c r="J23" s="520"/>
      <c r="K23" s="520"/>
      <c r="L23" s="13">
        <f t="shared" si="1"/>
      </c>
      <c r="M23" s="14">
        <f t="shared" si="2"/>
      </c>
      <c r="N23" s="521"/>
      <c r="O23" s="703">
        <f t="shared" si="3"/>
      </c>
      <c r="P23" s="704" t="str">
        <f t="shared" si="4"/>
        <v>--</v>
      </c>
      <c r="Q23" s="705" t="str">
        <f t="shared" si="5"/>
        <v>--</v>
      </c>
      <c r="R23" s="706" t="str">
        <f t="shared" si="6"/>
        <v>--</v>
      </c>
      <c r="S23" s="707" t="str">
        <f t="shared" si="7"/>
        <v>--</v>
      </c>
      <c r="T23" s="708" t="str">
        <f t="shared" si="8"/>
        <v>--</v>
      </c>
      <c r="U23" s="709" t="str">
        <f t="shared" si="9"/>
        <v>--</v>
      </c>
      <c r="V23" s="710" t="str">
        <f t="shared" si="10"/>
        <v>--</v>
      </c>
      <c r="W23" s="711" t="str">
        <f t="shared" si="11"/>
        <v>--</v>
      </c>
      <c r="X23" s="712" t="str">
        <f t="shared" si="12"/>
        <v>--</v>
      </c>
      <c r="Y23" s="713" t="str">
        <f t="shared" si="13"/>
        <v>--</v>
      </c>
      <c r="Z23" s="714">
        <f t="shared" si="14"/>
      </c>
      <c r="AA23" s="55">
        <f t="shared" si="15"/>
      </c>
      <c r="AB23" s="3"/>
    </row>
    <row r="24" spans="1:28" ht="16.5" customHeight="1">
      <c r="A24" s="1"/>
      <c r="B24" s="2"/>
      <c r="C24" s="512"/>
      <c r="D24" s="512"/>
      <c r="E24" s="512"/>
      <c r="F24" s="513"/>
      <c r="G24" s="514"/>
      <c r="H24" s="515"/>
      <c r="I24" s="272">
        <f t="shared" si="0"/>
        <v>17.43</v>
      </c>
      <c r="J24" s="520"/>
      <c r="K24" s="520"/>
      <c r="L24" s="13">
        <f t="shared" si="1"/>
      </c>
      <c r="M24" s="14">
        <f t="shared" si="2"/>
      </c>
      <c r="N24" s="521"/>
      <c r="O24" s="703">
        <f t="shared" si="3"/>
      </c>
      <c r="P24" s="704" t="str">
        <f t="shared" si="4"/>
        <v>--</v>
      </c>
      <c r="Q24" s="705" t="str">
        <f t="shared" si="5"/>
        <v>--</v>
      </c>
      <c r="R24" s="706" t="str">
        <f t="shared" si="6"/>
        <v>--</v>
      </c>
      <c r="S24" s="707" t="str">
        <f t="shared" si="7"/>
        <v>--</v>
      </c>
      <c r="T24" s="708" t="str">
        <f t="shared" si="8"/>
        <v>--</v>
      </c>
      <c r="U24" s="709" t="str">
        <f t="shared" si="9"/>
        <v>--</v>
      </c>
      <c r="V24" s="710" t="str">
        <f t="shared" si="10"/>
        <v>--</v>
      </c>
      <c r="W24" s="711" t="str">
        <f t="shared" si="11"/>
        <v>--</v>
      </c>
      <c r="X24" s="712" t="str">
        <f t="shared" si="12"/>
        <v>--</v>
      </c>
      <c r="Y24" s="713" t="str">
        <f t="shared" si="13"/>
        <v>--</v>
      </c>
      <c r="Z24" s="714">
        <f t="shared" si="14"/>
      </c>
      <c r="AA24" s="55">
        <f t="shared" si="15"/>
      </c>
      <c r="AB24" s="3"/>
    </row>
    <row r="25" spans="1:28" ht="16.5" customHeight="1">
      <c r="A25" s="1"/>
      <c r="B25" s="2"/>
      <c r="C25" s="512"/>
      <c r="D25" s="512"/>
      <c r="E25" s="512"/>
      <c r="F25" s="513"/>
      <c r="G25" s="514"/>
      <c r="H25" s="515"/>
      <c r="I25" s="272">
        <f t="shared" si="0"/>
        <v>17.43</v>
      </c>
      <c r="J25" s="520"/>
      <c r="K25" s="520"/>
      <c r="L25" s="13">
        <f t="shared" si="1"/>
      </c>
      <c r="M25" s="14">
        <f t="shared" si="2"/>
      </c>
      <c r="N25" s="521"/>
      <c r="O25" s="703">
        <f t="shared" si="3"/>
      </c>
      <c r="P25" s="704" t="str">
        <f t="shared" si="4"/>
        <v>--</v>
      </c>
      <c r="Q25" s="705" t="str">
        <f t="shared" si="5"/>
        <v>--</v>
      </c>
      <c r="R25" s="706" t="str">
        <f t="shared" si="6"/>
        <v>--</v>
      </c>
      <c r="S25" s="707" t="str">
        <f t="shared" si="7"/>
        <v>--</v>
      </c>
      <c r="T25" s="708" t="str">
        <f t="shared" si="8"/>
        <v>--</v>
      </c>
      <c r="U25" s="709" t="str">
        <f t="shared" si="9"/>
        <v>--</v>
      </c>
      <c r="V25" s="710" t="str">
        <f t="shared" si="10"/>
        <v>--</v>
      </c>
      <c r="W25" s="711" t="str">
        <f t="shared" si="11"/>
        <v>--</v>
      </c>
      <c r="X25" s="712" t="str">
        <f t="shared" si="12"/>
        <v>--</v>
      </c>
      <c r="Y25" s="713" t="str">
        <f t="shared" si="13"/>
        <v>--</v>
      </c>
      <c r="Z25" s="714">
        <f t="shared" si="14"/>
      </c>
      <c r="AA25" s="55">
        <f t="shared" si="15"/>
      </c>
      <c r="AB25" s="3"/>
    </row>
    <row r="26" spans="1:28" ht="16.5" customHeight="1">
      <c r="A26" s="1"/>
      <c r="B26" s="2"/>
      <c r="C26" s="512"/>
      <c r="D26" s="512"/>
      <c r="E26" s="512"/>
      <c r="F26" s="513"/>
      <c r="G26" s="514"/>
      <c r="H26" s="515"/>
      <c r="I26" s="272">
        <f t="shared" si="0"/>
        <v>17.43</v>
      </c>
      <c r="J26" s="520"/>
      <c r="K26" s="520"/>
      <c r="L26" s="13">
        <f t="shared" si="1"/>
      </c>
      <c r="M26" s="14">
        <f t="shared" si="2"/>
      </c>
      <c r="N26" s="521"/>
      <c r="O26" s="703">
        <f t="shared" si="3"/>
      </c>
      <c r="P26" s="704" t="str">
        <f t="shared" si="4"/>
        <v>--</v>
      </c>
      <c r="Q26" s="705" t="str">
        <f t="shared" si="5"/>
        <v>--</v>
      </c>
      <c r="R26" s="706" t="str">
        <f t="shared" si="6"/>
        <v>--</v>
      </c>
      <c r="S26" s="707" t="str">
        <f t="shared" si="7"/>
        <v>--</v>
      </c>
      <c r="T26" s="708" t="str">
        <f t="shared" si="8"/>
        <v>--</v>
      </c>
      <c r="U26" s="709" t="str">
        <f t="shared" si="9"/>
        <v>--</v>
      </c>
      <c r="V26" s="710" t="str">
        <f t="shared" si="10"/>
        <v>--</v>
      </c>
      <c r="W26" s="711" t="str">
        <f t="shared" si="11"/>
        <v>--</v>
      </c>
      <c r="X26" s="712" t="str">
        <f t="shared" si="12"/>
        <v>--</v>
      </c>
      <c r="Y26" s="713" t="str">
        <f t="shared" si="13"/>
        <v>--</v>
      </c>
      <c r="Z26" s="714">
        <f t="shared" si="14"/>
      </c>
      <c r="AA26" s="55">
        <f t="shared" si="15"/>
      </c>
      <c r="AB26" s="3"/>
    </row>
    <row r="27" spans="1:28" ht="16.5" customHeight="1">
      <c r="A27" s="1"/>
      <c r="B27" s="2"/>
      <c r="C27" s="512"/>
      <c r="D27" s="512"/>
      <c r="E27" s="512"/>
      <c r="F27" s="513"/>
      <c r="G27" s="514"/>
      <c r="H27" s="515"/>
      <c r="I27" s="272">
        <f t="shared" si="0"/>
        <v>17.43</v>
      </c>
      <c r="J27" s="520"/>
      <c r="K27" s="520"/>
      <c r="L27" s="13">
        <f t="shared" si="1"/>
      </c>
      <c r="M27" s="14">
        <f t="shared" si="2"/>
      </c>
      <c r="N27" s="521"/>
      <c r="O27" s="703">
        <f t="shared" si="3"/>
      </c>
      <c r="P27" s="704" t="str">
        <f t="shared" si="4"/>
        <v>--</v>
      </c>
      <c r="Q27" s="705" t="str">
        <f t="shared" si="5"/>
        <v>--</v>
      </c>
      <c r="R27" s="706" t="str">
        <f t="shared" si="6"/>
        <v>--</v>
      </c>
      <c r="S27" s="707" t="str">
        <f t="shared" si="7"/>
        <v>--</v>
      </c>
      <c r="T27" s="708" t="str">
        <f t="shared" si="8"/>
        <v>--</v>
      </c>
      <c r="U27" s="709" t="str">
        <f t="shared" si="9"/>
        <v>--</v>
      </c>
      <c r="V27" s="710" t="str">
        <f t="shared" si="10"/>
        <v>--</v>
      </c>
      <c r="W27" s="711" t="str">
        <f t="shared" si="11"/>
        <v>--</v>
      </c>
      <c r="X27" s="712" t="str">
        <f t="shared" si="12"/>
        <v>--</v>
      </c>
      <c r="Y27" s="713" t="str">
        <f t="shared" si="13"/>
        <v>--</v>
      </c>
      <c r="Z27" s="714">
        <f t="shared" si="14"/>
      </c>
      <c r="AA27" s="55">
        <f t="shared" si="15"/>
      </c>
      <c r="AB27" s="3"/>
    </row>
    <row r="28" spans="1:28" ht="16.5" customHeight="1">
      <c r="A28" s="1"/>
      <c r="B28" s="2"/>
      <c r="C28" s="512"/>
      <c r="D28" s="512"/>
      <c r="E28" s="512"/>
      <c r="F28" s="513"/>
      <c r="G28" s="514"/>
      <c r="H28" s="515"/>
      <c r="I28" s="272">
        <f t="shared" si="0"/>
        <v>17.43</v>
      </c>
      <c r="J28" s="520"/>
      <c r="K28" s="520"/>
      <c r="L28" s="13">
        <f t="shared" si="1"/>
      </c>
      <c r="M28" s="14">
        <f t="shared" si="2"/>
      </c>
      <c r="N28" s="521"/>
      <c r="O28" s="703">
        <f t="shared" si="3"/>
      </c>
      <c r="P28" s="704" t="str">
        <f t="shared" si="4"/>
        <v>--</v>
      </c>
      <c r="Q28" s="705" t="str">
        <f t="shared" si="5"/>
        <v>--</v>
      </c>
      <c r="R28" s="706" t="str">
        <f t="shared" si="6"/>
        <v>--</v>
      </c>
      <c r="S28" s="707" t="str">
        <f t="shared" si="7"/>
        <v>--</v>
      </c>
      <c r="T28" s="708" t="str">
        <f t="shared" si="8"/>
        <v>--</v>
      </c>
      <c r="U28" s="709" t="str">
        <f t="shared" si="9"/>
        <v>--</v>
      </c>
      <c r="V28" s="710" t="str">
        <f t="shared" si="10"/>
        <v>--</v>
      </c>
      <c r="W28" s="711" t="str">
        <f t="shared" si="11"/>
        <v>--</v>
      </c>
      <c r="X28" s="712" t="str">
        <f t="shared" si="12"/>
        <v>--</v>
      </c>
      <c r="Y28" s="713" t="str">
        <f t="shared" si="13"/>
        <v>--</v>
      </c>
      <c r="Z28" s="714">
        <f t="shared" si="14"/>
      </c>
      <c r="AA28" s="55">
        <f t="shared" si="15"/>
      </c>
      <c r="AB28" s="3"/>
    </row>
    <row r="29" spans="1:28" ht="16.5" customHeight="1">
      <c r="A29" s="1"/>
      <c r="B29" s="2"/>
      <c r="C29" s="512"/>
      <c r="D29" s="512"/>
      <c r="E29" s="512"/>
      <c r="F29" s="513"/>
      <c r="G29" s="514"/>
      <c r="H29" s="515"/>
      <c r="I29" s="272">
        <f t="shared" si="0"/>
        <v>17.43</v>
      </c>
      <c r="J29" s="520"/>
      <c r="K29" s="520"/>
      <c r="L29" s="13">
        <f t="shared" si="1"/>
      </c>
      <c r="M29" s="14">
        <f t="shared" si="2"/>
      </c>
      <c r="N29" s="521"/>
      <c r="O29" s="703">
        <f t="shared" si="3"/>
      </c>
      <c r="P29" s="704" t="str">
        <f t="shared" si="4"/>
        <v>--</v>
      </c>
      <c r="Q29" s="705" t="str">
        <f t="shared" si="5"/>
        <v>--</v>
      </c>
      <c r="R29" s="706" t="str">
        <f t="shared" si="6"/>
        <v>--</v>
      </c>
      <c r="S29" s="707" t="str">
        <f t="shared" si="7"/>
        <v>--</v>
      </c>
      <c r="T29" s="708" t="str">
        <f t="shared" si="8"/>
        <v>--</v>
      </c>
      <c r="U29" s="709" t="str">
        <f t="shared" si="9"/>
        <v>--</v>
      </c>
      <c r="V29" s="710" t="str">
        <f t="shared" si="10"/>
        <v>--</v>
      </c>
      <c r="W29" s="711" t="str">
        <f t="shared" si="11"/>
        <v>--</v>
      </c>
      <c r="X29" s="712" t="str">
        <f t="shared" si="12"/>
        <v>--</v>
      </c>
      <c r="Y29" s="713" t="str">
        <f t="shared" si="13"/>
        <v>--</v>
      </c>
      <c r="Z29" s="714">
        <f t="shared" si="14"/>
      </c>
      <c r="AA29" s="55">
        <f t="shared" si="15"/>
      </c>
      <c r="AB29" s="3"/>
    </row>
    <row r="30" spans="1:28" ht="16.5" customHeight="1">
      <c r="A30" s="1"/>
      <c r="B30" s="2"/>
      <c r="C30" s="512"/>
      <c r="D30" s="512"/>
      <c r="E30" s="512"/>
      <c r="F30" s="513"/>
      <c r="G30" s="514"/>
      <c r="H30" s="515"/>
      <c r="I30" s="272">
        <f t="shared" si="0"/>
        <v>17.43</v>
      </c>
      <c r="J30" s="520"/>
      <c r="K30" s="520"/>
      <c r="L30" s="13">
        <f t="shared" si="1"/>
      </c>
      <c r="M30" s="14">
        <f t="shared" si="2"/>
      </c>
      <c r="N30" s="521"/>
      <c r="O30" s="703">
        <f t="shared" si="3"/>
      </c>
      <c r="P30" s="704" t="str">
        <f t="shared" si="4"/>
        <v>--</v>
      </c>
      <c r="Q30" s="705" t="str">
        <f t="shared" si="5"/>
        <v>--</v>
      </c>
      <c r="R30" s="706" t="str">
        <f t="shared" si="6"/>
        <v>--</v>
      </c>
      <c r="S30" s="707" t="str">
        <f t="shared" si="7"/>
        <v>--</v>
      </c>
      <c r="T30" s="708" t="str">
        <f t="shared" si="8"/>
        <v>--</v>
      </c>
      <c r="U30" s="709" t="str">
        <f t="shared" si="9"/>
        <v>--</v>
      </c>
      <c r="V30" s="710" t="str">
        <f t="shared" si="10"/>
        <v>--</v>
      </c>
      <c r="W30" s="711" t="str">
        <f t="shared" si="11"/>
        <v>--</v>
      </c>
      <c r="X30" s="712" t="str">
        <f t="shared" si="12"/>
        <v>--</v>
      </c>
      <c r="Y30" s="713" t="str">
        <f t="shared" si="13"/>
        <v>--</v>
      </c>
      <c r="Z30" s="714">
        <f t="shared" si="14"/>
      </c>
      <c r="AA30" s="55">
        <f t="shared" si="15"/>
      </c>
      <c r="AB30" s="3"/>
    </row>
    <row r="31" spans="1:28" ht="16.5" customHeight="1">
      <c r="A31" s="1"/>
      <c r="B31" s="2"/>
      <c r="C31" s="512"/>
      <c r="D31" s="512"/>
      <c r="E31" s="512"/>
      <c r="F31" s="513"/>
      <c r="G31" s="514"/>
      <c r="H31" s="515"/>
      <c r="I31" s="272">
        <f t="shared" si="0"/>
        <v>17.43</v>
      </c>
      <c r="J31" s="520"/>
      <c r="K31" s="520"/>
      <c r="L31" s="13">
        <f t="shared" si="1"/>
      </c>
      <c r="M31" s="14">
        <f t="shared" si="2"/>
      </c>
      <c r="N31" s="521"/>
      <c r="O31" s="703">
        <f t="shared" si="3"/>
      </c>
      <c r="P31" s="704" t="str">
        <f t="shared" si="4"/>
        <v>--</v>
      </c>
      <c r="Q31" s="705" t="str">
        <f t="shared" si="5"/>
        <v>--</v>
      </c>
      <c r="R31" s="706" t="str">
        <f t="shared" si="6"/>
        <v>--</v>
      </c>
      <c r="S31" s="707" t="str">
        <f t="shared" si="7"/>
        <v>--</v>
      </c>
      <c r="T31" s="708" t="str">
        <f t="shared" si="8"/>
        <v>--</v>
      </c>
      <c r="U31" s="709" t="str">
        <f t="shared" si="9"/>
        <v>--</v>
      </c>
      <c r="V31" s="710" t="str">
        <f t="shared" si="10"/>
        <v>--</v>
      </c>
      <c r="W31" s="711" t="str">
        <f t="shared" si="11"/>
        <v>--</v>
      </c>
      <c r="X31" s="712" t="str">
        <f t="shared" si="12"/>
        <v>--</v>
      </c>
      <c r="Y31" s="713" t="str">
        <f t="shared" si="13"/>
        <v>--</v>
      </c>
      <c r="Z31" s="714">
        <f t="shared" si="14"/>
      </c>
      <c r="AA31" s="55">
        <f t="shared" si="15"/>
      </c>
      <c r="AB31" s="3"/>
    </row>
    <row r="32" spans="1:28" ht="16.5" customHeight="1">
      <c r="A32" s="1"/>
      <c r="B32" s="2"/>
      <c r="C32" s="512"/>
      <c r="D32" s="512"/>
      <c r="E32" s="512"/>
      <c r="F32" s="513"/>
      <c r="G32" s="514"/>
      <c r="H32" s="515"/>
      <c r="I32" s="272">
        <f t="shared" si="0"/>
        <v>17.43</v>
      </c>
      <c r="J32" s="520"/>
      <c r="K32" s="520"/>
      <c r="L32" s="13">
        <f t="shared" si="1"/>
      </c>
      <c r="M32" s="14">
        <f t="shared" si="2"/>
      </c>
      <c r="N32" s="521"/>
      <c r="O32" s="703">
        <f t="shared" si="3"/>
      </c>
      <c r="P32" s="704" t="str">
        <f t="shared" si="4"/>
        <v>--</v>
      </c>
      <c r="Q32" s="705" t="str">
        <f t="shared" si="5"/>
        <v>--</v>
      </c>
      <c r="R32" s="706" t="str">
        <f t="shared" si="6"/>
        <v>--</v>
      </c>
      <c r="S32" s="707" t="str">
        <f t="shared" si="7"/>
        <v>--</v>
      </c>
      <c r="T32" s="708" t="str">
        <f t="shared" si="8"/>
        <v>--</v>
      </c>
      <c r="U32" s="709" t="str">
        <f t="shared" si="9"/>
        <v>--</v>
      </c>
      <c r="V32" s="710" t="str">
        <f t="shared" si="10"/>
        <v>--</v>
      </c>
      <c r="W32" s="711" t="str">
        <f t="shared" si="11"/>
        <v>--</v>
      </c>
      <c r="X32" s="712" t="str">
        <f t="shared" si="12"/>
        <v>--</v>
      </c>
      <c r="Y32" s="713" t="str">
        <f t="shared" si="13"/>
        <v>--</v>
      </c>
      <c r="Z32" s="714">
        <f t="shared" si="14"/>
      </c>
      <c r="AA32" s="55">
        <f t="shared" si="15"/>
      </c>
      <c r="AB32" s="3"/>
    </row>
    <row r="33" spans="1:28" ht="16.5" customHeight="1">
      <c r="A33" s="1"/>
      <c r="B33" s="2"/>
      <c r="C33" s="512"/>
      <c r="D33" s="512"/>
      <c r="E33" s="512"/>
      <c r="F33" s="513"/>
      <c r="G33" s="514"/>
      <c r="H33" s="515"/>
      <c r="I33" s="272">
        <f t="shared" si="0"/>
        <v>17.43</v>
      </c>
      <c r="J33" s="520"/>
      <c r="K33" s="520"/>
      <c r="L33" s="13">
        <f t="shared" si="1"/>
      </c>
      <c r="M33" s="14">
        <f t="shared" si="2"/>
      </c>
      <c r="N33" s="521"/>
      <c r="O33" s="703">
        <f t="shared" si="3"/>
      </c>
      <c r="P33" s="704" t="str">
        <f t="shared" si="4"/>
        <v>--</v>
      </c>
      <c r="Q33" s="705" t="str">
        <f t="shared" si="5"/>
        <v>--</v>
      </c>
      <c r="R33" s="706" t="str">
        <f t="shared" si="6"/>
        <v>--</v>
      </c>
      <c r="S33" s="707" t="str">
        <f t="shared" si="7"/>
        <v>--</v>
      </c>
      <c r="T33" s="708" t="str">
        <f t="shared" si="8"/>
        <v>--</v>
      </c>
      <c r="U33" s="709" t="str">
        <f t="shared" si="9"/>
        <v>--</v>
      </c>
      <c r="V33" s="710" t="str">
        <f t="shared" si="10"/>
        <v>--</v>
      </c>
      <c r="W33" s="711" t="str">
        <f t="shared" si="11"/>
        <v>--</v>
      </c>
      <c r="X33" s="712" t="str">
        <f t="shared" si="12"/>
        <v>--</v>
      </c>
      <c r="Y33" s="713" t="str">
        <f t="shared" si="13"/>
        <v>--</v>
      </c>
      <c r="Z33" s="714">
        <f t="shared" si="14"/>
      </c>
      <c r="AA33" s="55">
        <f t="shared" si="15"/>
      </c>
      <c r="AB33" s="3"/>
    </row>
    <row r="34" spans="1:28" ht="16.5" customHeight="1">
      <c r="A34" s="1"/>
      <c r="B34" s="2"/>
      <c r="C34" s="512"/>
      <c r="D34" s="512"/>
      <c r="E34" s="512"/>
      <c r="F34" s="513"/>
      <c r="G34" s="514"/>
      <c r="H34" s="515"/>
      <c r="I34" s="272">
        <f t="shared" si="0"/>
        <v>17.43</v>
      </c>
      <c r="J34" s="520"/>
      <c r="K34" s="520"/>
      <c r="L34" s="13">
        <f t="shared" si="1"/>
      </c>
      <c r="M34" s="14">
        <f t="shared" si="2"/>
      </c>
      <c r="N34" s="521"/>
      <c r="O34" s="703">
        <f t="shared" si="3"/>
      </c>
      <c r="P34" s="704" t="str">
        <f t="shared" si="4"/>
        <v>--</v>
      </c>
      <c r="Q34" s="705" t="str">
        <f t="shared" si="5"/>
        <v>--</v>
      </c>
      <c r="R34" s="706" t="str">
        <f t="shared" si="6"/>
        <v>--</v>
      </c>
      <c r="S34" s="707" t="str">
        <f t="shared" si="7"/>
        <v>--</v>
      </c>
      <c r="T34" s="708" t="str">
        <f t="shared" si="8"/>
        <v>--</v>
      </c>
      <c r="U34" s="709" t="str">
        <f t="shared" si="9"/>
        <v>--</v>
      </c>
      <c r="V34" s="710" t="str">
        <f t="shared" si="10"/>
        <v>--</v>
      </c>
      <c r="W34" s="711" t="str">
        <f t="shared" si="11"/>
        <v>--</v>
      </c>
      <c r="X34" s="712" t="str">
        <f t="shared" si="12"/>
        <v>--</v>
      </c>
      <c r="Y34" s="713" t="str">
        <f t="shared" si="13"/>
        <v>--</v>
      </c>
      <c r="Z34" s="714">
        <f t="shared" si="14"/>
      </c>
      <c r="AA34" s="55">
        <f t="shared" si="15"/>
      </c>
      <c r="AB34" s="3"/>
    </row>
    <row r="35" spans="1:28" ht="16.5" customHeight="1">
      <c r="A35" s="1"/>
      <c r="B35" s="2"/>
      <c r="C35" s="512"/>
      <c r="D35" s="512"/>
      <c r="E35" s="512"/>
      <c r="F35" s="513"/>
      <c r="G35" s="514"/>
      <c r="H35" s="515"/>
      <c r="I35" s="272">
        <f t="shared" si="0"/>
        <v>17.43</v>
      </c>
      <c r="J35" s="520"/>
      <c r="K35" s="520"/>
      <c r="L35" s="13">
        <f t="shared" si="1"/>
      </c>
      <c r="M35" s="14">
        <f t="shared" si="2"/>
      </c>
      <c r="N35" s="521"/>
      <c r="O35" s="703">
        <f t="shared" si="3"/>
      </c>
      <c r="P35" s="704" t="str">
        <f t="shared" si="4"/>
        <v>--</v>
      </c>
      <c r="Q35" s="705" t="str">
        <f t="shared" si="5"/>
        <v>--</v>
      </c>
      <c r="R35" s="706" t="str">
        <f t="shared" si="6"/>
        <v>--</v>
      </c>
      <c r="S35" s="707" t="str">
        <f t="shared" si="7"/>
        <v>--</v>
      </c>
      <c r="T35" s="708" t="str">
        <f t="shared" si="8"/>
        <v>--</v>
      </c>
      <c r="U35" s="709" t="str">
        <f t="shared" si="9"/>
        <v>--</v>
      </c>
      <c r="V35" s="710" t="str">
        <f t="shared" si="10"/>
        <v>--</v>
      </c>
      <c r="W35" s="711" t="str">
        <f t="shared" si="11"/>
        <v>--</v>
      </c>
      <c r="X35" s="712" t="str">
        <f t="shared" si="12"/>
        <v>--</v>
      </c>
      <c r="Y35" s="713" t="str">
        <f t="shared" si="13"/>
        <v>--</v>
      </c>
      <c r="Z35" s="714">
        <f t="shared" si="14"/>
      </c>
      <c r="AA35" s="55">
        <f t="shared" si="15"/>
      </c>
      <c r="AB35" s="3"/>
    </row>
    <row r="36" spans="1:28" ht="16.5" customHeight="1">
      <c r="A36" s="1"/>
      <c r="B36" s="2"/>
      <c r="C36" s="512"/>
      <c r="D36" s="512"/>
      <c r="E36" s="512"/>
      <c r="F36" s="513"/>
      <c r="G36" s="514"/>
      <c r="H36" s="515"/>
      <c r="I36" s="272">
        <f t="shared" si="0"/>
        <v>17.43</v>
      </c>
      <c r="J36" s="520"/>
      <c r="K36" s="520"/>
      <c r="L36" s="13">
        <f t="shared" si="1"/>
      </c>
      <c r="M36" s="14">
        <f t="shared" si="2"/>
      </c>
      <c r="N36" s="521"/>
      <c r="O36" s="703">
        <f t="shared" si="3"/>
      </c>
      <c r="P36" s="704" t="str">
        <f t="shared" si="4"/>
        <v>--</v>
      </c>
      <c r="Q36" s="705" t="str">
        <f t="shared" si="5"/>
        <v>--</v>
      </c>
      <c r="R36" s="706" t="str">
        <f t="shared" si="6"/>
        <v>--</v>
      </c>
      <c r="S36" s="707" t="str">
        <f t="shared" si="7"/>
        <v>--</v>
      </c>
      <c r="T36" s="708" t="str">
        <f t="shared" si="8"/>
        <v>--</v>
      </c>
      <c r="U36" s="709" t="str">
        <f t="shared" si="9"/>
        <v>--</v>
      </c>
      <c r="V36" s="710" t="str">
        <f t="shared" si="10"/>
        <v>--</v>
      </c>
      <c r="W36" s="711" t="str">
        <f t="shared" si="11"/>
        <v>--</v>
      </c>
      <c r="X36" s="712" t="str">
        <f t="shared" si="12"/>
        <v>--</v>
      </c>
      <c r="Y36" s="713" t="str">
        <f t="shared" si="13"/>
        <v>--</v>
      </c>
      <c r="Z36" s="714">
        <f t="shared" si="14"/>
      </c>
      <c r="AA36" s="55">
        <f t="shared" si="15"/>
      </c>
      <c r="AB36" s="3"/>
    </row>
    <row r="37" spans="1:28" ht="16.5" customHeight="1">
      <c r="A37" s="1"/>
      <c r="B37" s="2"/>
      <c r="C37" s="512"/>
      <c r="D37" s="512"/>
      <c r="E37" s="512"/>
      <c r="F37" s="513"/>
      <c r="G37" s="514"/>
      <c r="H37" s="515"/>
      <c r="I37" s="272">
        <f t="shared" si="0"/>
        <v>17.43</v>
      </c>
      <c r="J37" s="520"/>
      <c r="K37" s="520"/>
      <c r="L37" s="13">
        <f t="shared" si="1"/>
      </c>
      <c r="M37" s="14">
        <f t="shared" si="2"/>
      </c>
      <c r="N37" s="521"/>
      <c r="O37" s="703">
        <f t="shared" si="3"/>
      </c>
      <c r="P37" s="704" t="str">
        <f t="shared" si="4"/>
        <v>--</v>
      </c>
      <c r="Q37" s="705" t="str">
        <f t="shared" si="5"/>
        <v>--</v>
      </c>
      <c r="R37" s="706" t="str">
        <f t="shared" si="6"/>
        <v>--</v>
      </c>
      <c r="S37" s="707" t="str">
        <f t="shared" si="7"/>
        <v>--</v>
      </c>
      <c r="T37" s="708" t="str">
        <f t="shared" si="8"/>
        <v>--</v>
      </c>
      <c r="U37" s="709" t="str">
        <f t="shared" si="9"/>
        <v>--</v>
      </c>
      <c r="V37" s="710" t="str">
        <f t="shared" si="10"/>
        <v>--</v>
      </c>
      <c r="W37" s="711" t="str">
        <f t="shared" si="11"/>
        <v>--</v>
      </c>
      <c r="X37" s="712" t="str">
        <f t="shared" si="12"/>
        <v>--</v>
      </c>
      <c r="Y37" s="713" t="str">
        <f t="shared" si="13"/>
        <v>--</v>
      </c>
      <c r="Z37" s="714">
        <f t="shared" si="14"/>
      </c>
      <c r="AA37" s="55">
        <f t="shared" si="15"/>
      </c>
      <c r="AB37" s="3"/>
    </row>
    <row r="38" spans="2:28" ht="16.5" customHeight="1">
      <c r="B38" s="56"/>
      <c r="C38" s="512"/>
      <c r="D38" s="512"/>
      <c r="E38" s="512"/>
      <c r="F38" s="513"/>
      <c r="G38" s="514"/>
      <c r="H38" s="515"/>
      <c r="I38" s="272">
        <f t="shared" si="0"/>
        <v>17.43</v>
      </c>
      <c r="J38" s="520"/>
      <c r="K38" s="520"/>
      <c r="L38" s="13">
        <f t="shared" si="1"/>
      </c>
      <c r="M38" s="14">
        <f t="shared" si="2"/>
      </c>
      <c r="N38" s="521"/>
      <c r="O38" s="703">
        <f t="shared" si="3"/>
      </c>
      <c r="P38" s="704" t="str">
        <f t="shared" si="4"/>
        <v>--</v>
      </c>
      <c r="Q38" s="705" t="str">
        <f t="shared" si="5"/>
        <v>--</v>
      </c>
      <c r="R38" s="706" t="str">
        <f t="shared" si="6"/>
        <v>--</v>
      </c>
      <c r="S38" s="707" t="str">
        <f t="shared" si="7"/>
        <v>--</v>
      </c>
      <c r="T38" s="708" t="str">
        <f t="shared" si="8"/>
        <v>--</v>
      </c>
      <c r="U38" s="709" t="str">
        <f t="shared" si="9"/>
        <v>--</v>
      </c>
      <c r="V38" s="710" t="str">
        <f t="shared" si="10"/>
        <v>--</v>
      </c>
      <c r="W38" s="711" t="str">
        <f t="shared" si="11"/>
        <v>--</v>
      </c>
      <c r="X38" s="712" t="str">
        <f t="shared" si="12"/>
        <v>--</v>
      </c>
      <c r="Y38" s="713" t="str">
        <f t="shared" si="13"/>
        <v>--</v>
      </c>
      <c r="Z38" s="714">
        <f t="shared" si="14"/>
      </c>
      <c r="AA38" s="55">
        <f t="shared" si="15"/>
      </c>
      <c r="AB38" s="3"/>
    </row>
    <row r="39" spans="2:28" ht="16.5" customHeight="1">
      <c r="B39" s="56"/>
      <c r="C39" s="512"/>
      <c r="D39" s="512"/>
      <c r="E39" s="512"/>
      <c r="F39" s="513"/>
      <c r="G39" s="514"/>
      <c r="H39" s="515"/>
      <c r="I39" s="272">
        <f t="shared" si="0"/>
        <v>17.43</v>
      </c>
      <c r="J39" s="520"/>
      <c r="K39" s="520"/>
      <c r="L39" s="13">
        <f t="shared" si="1"/>
      </c>
      <c r="M39" s="14">
        <f t="shared" si="2"/>
      </c>
      <c r="N39" s="521"/>
      <c r="O39" s="703">
        <f t="shared" si="3"/>
      </c>
      <c r="P39" s="704" t="str">
        <f t="shared" si="4"/>
        <v>--</v>
      </c>
      <c r="Q39" s="705" t="str">
        <f t="shared" si="5"/>
        <v>--</v>
      </c>
      <c r="R39" s="706" t="str">
        <f t="shared" si="6"/>
        <v>--</v>
      </c>
      <c r="S39" s="707" t="str">
        <f t="shared" si="7"/>
        <v>--</v>
      </c>
      <c r="T39" s="708" t="str">
        <f t="shared" si="8"/>
        <v>--</v>
      </c>
      <c r="U39" s="709" t="str">
        <f t="shared" si="9"/>
        <v>--</v>
      </c>
      <c r="V39" s="710" t="str">
        <f t="shared" si="10"/>
        <v>--</v>
      </c>
      <c r="W39" s="711" t="str">
        <f t="shared" si="11"/>
        <v>--</v>
      </c>
      <c r="X39" s="712" t="str">
        <f t="shared" si="12"/>
        <v>--</v>
      </c>
      <c r="Y39" s="713" t="str">
        <f t="shared" si="13"/>
        <v>--</v>
      </c>
      <c r="Z39" s="714">
        <f t="shared" si="14"/>
      </c>
      <c r="AA39" s="55">
        <f t="shared" si="15"/>
      </c>
      <c r="AB39" s="3"/>
    </row>
    <row r="40" spans="2:28" ht="16.5" customHeight="1">
      <c r="B40" s="56"/>
      <c r="C40" s="512"/>
      <c r="D40" s="512"/>
      <c r="E40" s="512"/>
      <c r="F40" s="513"/>
      <c r="G40" s="514"/>
      <c r="H40" s="515"/>
      <c r="I40" s="272">
        <f t="shared" si="0"/>
        <v>17.43</v>
      </c>
      <c r="J40" s="520"/>
      <c r="K40" s="520"/>
      <c r="L40" s="13">
        <f t="shared" si="1"/>
      </c>
      <c r="M40" s="14">
        <f t="shared" si="2"/>
      </c>
      <c r="N40" s="521"/>
      <c r="O40" s="703">
        <f t="shared" si="3"/>
      </c>
      <c r="P40" s="704" t="str">
        <f t="shared" si="4"/>
        <v>--</v>
      </c>
      <c r="Q40" s="705" t="str">
        <f t="shared" si="5"/>
        <v>--</v>
      </c>
      <c r="R40" s="706" t="str">
        <f t="shared" si="6"/>
        <v>--</v>
      </c>
      <c r="S40" s="707" t="str">
        <f t="shared" si="7"/>
        <v>--</v>
      </c>
      <c r="T40" s="708" t="str">
        <f t="shared" si="8"/>
        <v>--</v>
      </c>
      <c r="U40" s="709" t="str">
        <f t="shared" si="9"/>
        <v>--</v>
      </c>
      <c r="V40" s="710" t="str">
        <f t="shared" si="10"/>
        <v>--</v>
      </c>
      <c r="W40" s="711" t="str">
        <f t="shared" si="11"/>
        <v>--</v>
      </c>
      <c r="X40" s="712" t="str">
        <f t="shared" si="12"/>
        <v>--</v>
      </c>
      <c r="Y40" s="713" t="str">
        <f t="shared" si="13"/>
        <v>--</v>
      </c>
      <c r="Z40" s="714">
        <f t="shared" si="14"/>
      </c>
      <c r="AA40" s="55">
        <f t="shared" si="15"/>
      </c>
      <c r="AB40" s="3"/>
    </row>
    <row r="41" spans="2:28" ht="16.5" customHeight="1">
      <c r="B41" s="56"/>
      <c r="C41" s="512"/>
      <c r="D41" s="512"/>
      <c r="E41" s="512"/>
      <c r="F41" s="513"/>
      <c r="G41" s="514"/>
      <c r="H41" s="515"/>
      <c r="I41" s="272">
        <f t="shared" si="0"/>
        <v>17.43</v>
      </c>
      <c r="J41" s="520"/>
      <c r="K41" s="520"/>
      <c r="L41" s="13">
        <f t="shared" si="1"/>
      </c>
      <c r="M41" s="14">
        <f t="shared" si="2"/>
      </c>
      <c r="N41" s="521"/>
      <c r="O41" s="703">
        <f t="shared" si="3"/>
      </c>
      <c r="P41" s="704" t="str">
        <f t="shared" si="4"/>
        <v>--</v>
      </c>
      <c r="Q41" s="705" t="str">
        <f t="shared" si="5"/>
        <v>--</v>
      </c>
      <c r="R41" s="706" t="str">
        <f t="shared" si="6"/>
        <v>--</v>
      </c>
      <c r="S41" s="707" t="str">
        <f t="shared" si="7"/>
        <v>--</v>
      </c>
      <c r="T41" s="708" t="str">
        <f t="shared" si="8"/>
        <v>--</v>
      </c>
      <c r="U41" s="709" t="str">
        <f t="shared" si="9"/>
        <v>--</v>
      </c>
      <c r="V41" s="710" t="str">
        <f t="shared" si="10"/>
        <v>--</v>
      </c>
      <c r="W41" s="711" t="str">
        <f t="shared" si="11"/>
        <v>--</v>
      </c>
      <c r="X41" s="712" t="str">
        <f t="shared" si="12"/>
        <v>--</v>
      </c>
      <c r="Y41" s="713" t="str">
        <f t="shared" si="13"/>
        <v>--</v>
      </c>
      <c r="Z41" s="714">
        <f t="shared" si="14"/>
      </c>
      <c r="AA41" s="55">
        <f t="shared" si="15"/>
      </c>
      <c r="AB41" s="3"/>
    </row>
    <row r="42" spans="1:28" ht="16.5" customHeight="1" thickBot="1">
      <c r="A42" s="1"/>
      <c r="B42" s="2"/>
      <c r="C42" s="516"/>
      <c r="D42" s="516"/>
      <c r="E42" s="516"/>
      <c r="F42" s="517"/>
      <c r="G42" s="518"/>
      <c r="H42" s="519"/>
      <c r="I42" s="273"/>
      <c r="J42" s="519"/>
      <c r="K42" s="519"/>
      <c r="L42" s="15"/>
      <c r="M42" s="15"/>
      <c r="N42" s="519"/>
      <c r="O42" s="522"/>
      <c r="P42" s="523"/>
      <c r="Q42" s="524"/>
      <c r="R42" s="525"/>
      <c r="S42" s="526"/>
      <c r="T42" s="527"/>
      <c r="U42" s="528"/>
      <c r="V42" s="529"/>
      <c r="W42" s="530"/>
      <c r="X42" s="531"/>
      <c r="Y42" s="532"/>
      <c r="Z42" s="533"/>
      <c r="AA42" s="57"/>
      <c r="AB42" s="3"/>
    </row>
    <row r="43" spans="1:28" ht="16.5" customHeight="1" thickBot="1" thickTop="1">
      <c r="A43" s="1"/>
      <c r="B43" s="2"/>
      <c r="C43" s="244" t="s">
        <v>64</v>
      </c>
      <c r="D43" s="734" t="s">
        <v>174</v>
      </c>
      <c r="E43" s="698"/>
      <c r="F43" s="245"/>
      <c r="G43" s="16"/>
      <c r="H43" s="17"/>
      <c r="I43" s="58"/>
      <c r="J43" s="58"/>
      <c r="K43" s="58"/>
      <c r="L43" s="58"/>
      <c r="M43" s="58"/>
      <c r="N43" s="58"/>
      <c r="O43" s="59"/>
      <c r="P43" s="331">
        <f aca="true" t="shared" si="16" ref="P43:Y43">ROUND(SUM(P20:P42),2)</f>
        <v>0</v>
      </c>
      <c r="Q43" s="332">
        <f t="shared" si="16"/>
        <v>0</v>
      </c>
      <c r="R43" s="333">
        <f t="shared" si="16"/>
        <v>2676.83</v>
      </c>
      <c r="S43" s="333">
        <f t="shared" si="16"/>
        <v>8030.49</v>
      </c>
      <c r="T43" s="334">
        <f t="shared" si="16"/>
        <v>4063.43</v>
      </c>
      <c r="U43" s="335">
        <f t="shared" si="16"/>
        <v>0</v>
      </c>
      <c r="V43" s="335">
        <f t="shared" si="16"/>
        <v>0</v>
      </c>
      <c r="W43" s="336">
        <f t="shared" si="16"/>
        <v>0</v>
      </c>
      <c r="X43" s="337">
        <f t="shared" si="16"/>
        <v>0</v>
      </c>
      <c r="Y43" s="338">
        <f t="shared" si="16"/>
        <v>0</v>
      </c>
      <c r="Z43" s="60"/>
      <c r="AA43" s="702">
        <f>ROUND(SUM(AA20:AA42),2)</f>
        <v>14770.75</v>
      </c>
      <c r="AB43" s="61"/>
    </row>
    <row r="44" spans="1:28" s="259" customFormat="1" ht="9.75" thickTop="1">
      <c r="A44" s="248"/>
      <c r="B44" s="249"/>
      <c r="C44" s="246"/>
      <c r="D44" s="246"/>
      <c r="E44" s="246"/>
      <c r="F44" s="247"/>
      <c r="G44" s="250"/>
      <c r="H44" s="251"/>
      <c r="I44" s="252"/>
      <c r="J44" s="252"/>
      <c r="K44" s="252"/>
      <c r="L44" s="252"/>
      <c r="M44" s="252"/>
      <c r="N44" s="252"/>
      <c r="O44" s="253"/>
      <c r="P44" s="254"/>
      <c r="Q44" s="254"/>
      <c r="R44" s="255"/>
      <c r="S44" s="255"/>
      <c r="T44" s="256"/>
      <c r="U44" s="256"/>
      <c r="V44" s="256"/>
      <c r="W44" s="256"/>
      <c r="X44" s="256"/>
      <c r="Y44" s="256"/>
      <c r="Z44" s="256"/>
      <c r="AA44" s="257"/>
      <c r="AB44" s="258"/>
    </row>
    <row r="45" spans="1:28" s="10" customFormat="1" ht="16.5" customHeight="1" thickBot="1">
      <c r="A45" s="8"/>
      <c r="B45" s="4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50"/>
    </row>
    <row r="46" spans="1:28" ht="13.5" thickTop="1">
      <c r="A46" s="1"/>
      <c r="B46" s="1"/>
      <c r="AB46" s="1"/>
    </row>
    <row r="91" spans="1:2" ht="12.75">
      <c r="A91" s="1"/>
      <c r="B91" s="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7" r:id="rId3"/>
  <headerFooter alignWithMargins="0">
    <oddFooter>&amp;L&amp;"Times New Roman,Normal"&amp;8&amp;Z&amp;F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AD48"/>
  <sheetViews>
    <sheetView zoomScale="70" zoomScaleNormal="70" zoomScalePageLayoutView="0" workbookViewId="0" topLeftCell="A1">
      <selection activeCell="I19" sqref="I19"/>
    </sheetView>
  </sheetViews>
  <sheetFormatPr defaultColWidth="11.421875" defaultRowHeight="12.75"/>
  <cols>
    <col min="1" max="2" width="4.140625" style="645" customWidth="1"/>
    <col min="3" max="3" width="5.57421875" style="645" customWidth="1"/>
    <col min="4" max="5" width="13.7109375" style="645" customWidth="1"/>
    <col min="6" max="7" width="25.7109375" style="645" customWidth="1"/>
    <col min="8" max="8" width="7.7109375" style="645" customWidth="1"/>
    <col min="9" max="9" width="12.7109375" style="645" customWidth="1"/>
    <col min="10" max="10" width="5.421875" style="645" hidden="1" customWidth="1"/>
    <col min="11" max="12" width="15.7109375" style="645" customWidth="1"/>
    <col min="13" max="15" width="9.7109375" style="645" customWidth="1"/>
    <col min="16" max="16" width="5.8515625" style="645" customWidth="1"/>
    <col min="17" max="18" width="7.00390625" style="645" customWidth="1"/>
    <col min="19" max="19" width="10.57421875" style="645" hidden="1" customWidth="1"/>
    <col min="20" max="21" width="12.57421875" style="645" hidden="1" customWidth="1"/>
    <col min="22" max="25" width="8.140625" style="645" hidden="1" customWidth="1"/>
    <col min="26" max="27" width="12.00390625" style="645" hidden="1" customWidth="1"/>
    <col min="28" max="28" width="9.00390625" style="645" customWidth="1"/>
    <col min="29" max="29" width="15.7109375" style="645" customWidth="1"/>
    <col min="30" max="30" width="4.140625" style="645" customWidth="1"/>
    <col min="31" max="16384" width="11.421875" style="645" customWidth="1"/>
  </cols>
  <sheetData>
    <row r="1" spans="1:30" s="551" customFormat="1" ht="26.25">
      <c r="A1" s="109"/>
      <c r="B1" s="109"/>
      <c r="C1" s="109"/>
      <c r="D1" s="109"/>
      <c r="E1" s="109"/>
      <c r="F1" s="109"/>
      <c r="G1" s="10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49"/>
      <c r="W1" s="549"/>
      <c r="X1" s="549"/>
      <c r="Y1" s="549"/>
      <c r="Z1" s="549"/>
      <c r="AA1" s="549"/>
      <c r="AB1" s="549"/>
      <c r="AC1" s="549"/>
      <c r="AD1" s="550"/>
    </row>
    <row r="2" spans="1:30" s="551" customFormat="1" ht="26.25">
      <c r="A2" s="109"/>
      <c r="B2" s="110" t="str">
        <f>+'TOT-0814'!B2</f>
        <v>ANEXO II al Memorándum  D.T.E.E.  N°  301 /2016              .-</v>
      </c>
      <c r="C2" s="111"/>
      <c r="D2" s="111"/>
      <c r="E2" s="111"/>
      <c r="F2" s="111"/>
      <c r="G2" s="111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</row>
    <row r="3" spans="1:30" s="554" customFormat="1" ht="12.75">
      <c r="A3" s="10"/>
      <c r="B3" s="10"/>
      <c r="C3" s="10"/>
      <c r="D3" s="10"/>
      <c r="E3" s="10"/>
      <c r="F3" s="10"/>
      <c r="G3" s="10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3"/>
      <c r="U3" s="553"/>
      <c r="V3" s="553"/>
      <c r="W3" s="553"/>
      <c r="X3" s="553"/>
      <c r="Y3" s="553"/>
      <c r="Z3" s="553"/>
      <c r="AA3" s="553"/>
      <c r="AB3" s="553"/>
      <c r="AC3" s="553"/>
      <c r="AD3" s="553"/>
    </row>
    <row r="4" spans="1:30" s="556" customFormat="1" ht="11.25">
      <c r="A4" s="701" t="s">
        <v>16</v>
      </c>
      <c r="B4" s="112"/>
      <c r="C4" s="700"/>
      <c r="D4" s="700"/>
      <c r="E4" s="700"/>
      <c r="F4" s="112"/>
      <c r="G4" s="112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</row>
    <row r="5" spans="1:30" s="556" customFormat="1" ht="11.25">
      <c r="A5" s="701" t="s">
        <v>145</v>
      </c>
      <c r="B5" s="112"/>
      <c r="C5" s="700"/>
      <c r="D5" s="700"/>
      <c r="E5" s="700"/>
      <c r="F5" s="112"/>
      <c r="G5" s="112"/>
      <c r="H5" s="555"/>
      <c r="I5" s="555"/>
      <c r="J5" s="555"/>
      <c r="K5" s="555"/>
      <c r="L5" s="555"/>
      <c r="M5" s="555"/>
      <c r="N5" s="555"/>
      <c r="O5" s="555"/>
      <c r="P5" s="555"/>
      <c r="Q5" s="555"/>
      <c r="R5" s="555"/>
      <c r="S5" s="555"/>
      <c r="T5" s="555"/>
      <c r="U5" s="555"/>
      <c r="V5" s="555"/>
      <c r="W5" s="555"/>
      <c r="X5" s="555"/>
      <c r="Y5" s="555"/>
      <c r="Z5" s="555"/>
      <c r="AA5" s="555"/>
      <c r="AB5" s="555"/>
      <c r="AC5" s="555"/>
      <c r="AD5" s="555"/>
    </row>
    <row r="6" spans="1:30" s="554" customFormat="1" ht="13.5" thickBot="1">
      <c r="A6" s="553"/>
      <c r="B6" s="553"/>
      <c r="C6" s="553"/>
      <c r="D6" s="553"/>
      <c r="E6" s="553"/>
      <c r="F6" s="553"/>
      <c r="G6" s="553"/>
      <c r="H6" s="553"/>
      <c r="I6" s="553"/>
      <c r="J6" s="553"/>
      <c r="K6" s="553"/>
      <c r="L6" s="553"/>
      <c r="M6" s="553"/>
      <c r="N6" s="553"/>
      <c r="O6" s="553"/>
      <c r="P6" s="553"/>
      <c r="Q6" s="553"/>
      <c r="R6" s="553"/>
      <c r="S6" s="553"/>
      <c r="T6" s="553"/>
      <c r="U6" s="553"/>
      <c r="V6" s="553"/>
      <c r="W6" s="553"/>
      <c r="X6" s="553"/>
      <c r="Y6" s="553"/>
      <c r="Z6" s="553"/>
      <c r="AA6" s="553"/>
      <c r="AB6" s="553"/>
      <c r="AC6" s="553"/>
      <c r="AD6" s="553"/>
    </row>
    <row r="7" spans="1:30" s="554" customFormat="1" ht="13.5" thickTop="1">
      <c r="A7" s="553"/>
      <c r="B7" s="557"/>
      <c r="C7" s="558"/>
      <c r="D7" s="558"/>
      <c r="E7" s="558"/>
      <c r="F7" s="558"/>
      <c r="G7" s="558"/>
      <c r="H7" s="558"/>
      <c r="I7" s="558"/>
      <c r="J7" s="558"/>
      <c r="K7" s="558"/>
      <c r="L7" s="558"/>
      <c r="M7" s="558"/>
      <c r="N7" s="558"/>
      <c r="O7" s="558"/>
      <c r="P7" s="558"/>
      <c r="Q7" s="558"/>
      <c r="R7" s="558"/>
      <c r="S7" s="558"/>
      <c r="T7" s="558"/>
      <c r="U7" s="558"/>
      <c r="V7" s="558"/>
      <c r="W7" s="558"/>
      <c r="X7" s="558"/>
      <c r="Y7" s="558"/>
      <c r="Z7" s="558"/>
      <c r="AA7" s="558"/>
      <c r="AB7" s="558"/>
      <c r="AC7" s="558"/>
      <c r="AD7" s="559"/>
    </row>
    <row r="8" spans="1:30" s="563" customFormat="1" ht="20.25">
      <c r="A8" s="560"/>
      <c r="B8" s="561"/>
      <c r="C8" s="192"/>
      <c r="D8" s="192"/>
      <c r="E8" s="192"/>
      <c r="F8" s="562" t="s">
        <v>40</v>
      </c>
      <c r="H8" s="192"/>
      <c r="I8" s="560"/>
      <c r="J8" s="560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564"/>
    </row>
    <row r="9" spans="1:30" s="554" customFormat="1" ht="12.75">
      <c r="A9" s="553"/>
      <c r="B9" s="565"/>
      <c r="C9" s="178"/>
      <c r="D9" s="178"/>
      <c r="E9" s="178"/>
      <c r="F9" s="178"/>
      <c r="G9" s="178"/>
      <c r="H9" s="178"/>
      <c r="I9" s="553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566"/>
    </row>
    <row r="10" spans="1:30" s="563" customFormat="1" ht="20.25">
      <c r="A10" s="560"/>
      <c r="B10" s="561"/>
      <c r="C10" s="192"/>
      <c r="D10" s="192"/>
      <c r="E10" s="192"/>
      <c r="F10" s="562" t="s">
        <v>65</v>
      </c>
      <c r="G10" s="192"/>
      <c r="H10" s="192"/>
      <c r="I10" s="560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564"/>
    </row>
    <row r="11" spans="1:30" s="554" customFormat="1" ht="12.75">
      <c r="A11" s="553"/>
      <c r="B11" s="565"/>
      <c r="C11" s="178"/>
      <c r="D11" s="178"/>
      <c r="E11" s="178"/>
      <c r="F11" s="567"/>
      <c r="G11" s="178"/>
      <c r="H11" s="178"/>
      <c r="I11" s="553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566"/>
    </row>
    <row r="12" spans="1:30" s="563" customFormat="1" ht="20.25">
      <c r="A12" s="560"/>
      <c r="B12" s="561"/>
      <c r="C12" s="192"/>
      <c r="D12" s="192"/>
      <c r="E12" s="192"/>
      <c r="F12" s="562" t="s">
        <v>66</v>
      </c>
      <c r="G12" s="568"/>
      <c r="H12" s="560"/>
      <c r="I12" s="560"/>
      <c r="J12" s="192"/>
      <c r="K12" s="192"/>
      <c r="L12" s="560"/>
      <c r="M12" s="560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564"/>
    </row>
    <row r="13" spans="1:30" s="554" customFormat="1" ht="12.75">
      <c r="A13" s="553"/>
      <c r="B13" s="565"/>
      <c r="C13" s="178"/>
      <c r="D13" s="178"/>
      <c r="E13" s="178"/>
      <c r="F13" s="569"/>
      <c r="G13" s="570"/>
      <c r="H13" s="553"/>
      <c r="I13" s="553"/>
      <c r="J13" s="178"/>
      <c r="K13" s="178"/>
      <c r="L13" s="553"/>
      <c r="M13" s="553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566"/>
    </row>
    <row r="14" spans="1:30" s="563" customFormat="1" ht="20.25">
      <c r="A14" s="560"/>
      <c r="B14" s="561"/>
      <c r="C14" s="192"/>
      <c r="D14" s="192"/>
      <c r="E14" s="192"/>
      <c r="F14" s="562" t="s">
        <v>67</v>
      </c>
      <c r="G14" s="193"/>
      <c r="H14" s="193"/>
      <c r="I14" s="194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564"/>
    </row>
    <row r="15" spans="1:30" s="554" customFormat="1" ht="12.75">
      <c r="A15" s="553"/>
      <c r="B15" s="565"/>
      <c r="C15" s="178"/>
      <c r="D15" s="178"/>
      <c r="E15" s="178"/>
      <c r="F15" s="571"/>
      <c r="G15" s="179"/>
      <c r="H15" s="179"/>
      <c r="I15" s="180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566"/>
    </row>
    <row r="16" spans="1:30" s="577" customFormat="1" ht="19.5">
      <c r="A16" s="572"/>
      <c r="B16" s="87" t="str">
        <f>+'TOT-0814'!B14</f>
        <v>Desde el 01 al 31 de agosto de 2014</v>
      </c>
      <c r="C16" s="573"/>
      <c r="D16" s="573"/>
      <c r="E16" s="573"/>
      <c r="F16" s="573"/>
      <c r="G16" s="573"/>
      <c r="H16" s="573"/>
      <c r="I16" s="574"/>
      <c r="J16" s="573"/>
      <c r="K16" s="575"/>
      <c r="L16" s="575"/>
      <c r="M16" s="573"/>
      <c r="N16" s="573"/>
      <c r="O16" s="573"/>
      <c r="P16" s="573"/>
      <c r="Q16" s="573"/>
      <c r="R16" s="573"/>
      <c r="S16" s="573"/>
      <c r="T16" s="573"/>
      <c r="U16" s="573"/>
      <c r="V16" s="573"/>
      <c r="W16" s="573"/>
      <c r="X16" s="573"/>
      <c r="Y16" s="573"/>
      <c r="Z16" s="573"/>
      <c r="AA16" s="573"/>
      <c r="AB16" s="573"/>
      <c r="AC16" s="573"/>
      <c r="AD16" s="576"/>
    </row>
    <row r="17" spans="1:30" s="554" customFormat="1" ht="14.25" thickBot="1">
      <c r="A17" s="553"/>
      <c r="B17" s="565"/>
      <c r="C17" s="178"/>
      <c r="D17" s="178"/>
      <c r="E17" s="178"/>
      <c r="F17" s="178"/>
      <c r="G17" s="178"/>
      <c r="H17" s="178"/>
      <c r="I17" s="37"/>
      <c r="J17" s="178"/>
      <c r="K17" s="578"/>
      <c r="L17" s="579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566"/>
    </row>
    <row r="18" spans="1:30" s="554" customFormat="1" ht="16.5" customHeight="1" thickBot="1" thickTop="1">
      <c r="A18" s="553"/>
      <c r="B18" s="565"/>
      <c r="C18" s="178"/>
      <c r="D18" s="178"/>
      <c r="E18" s="178"/>
      <c r="F18" s="199" t="s">
        <v>68</v>
      </c>
      <c r="G18" s="200"/>
      <c r="H18" s="580"/>
      <c r="I18" s="581">
        <v>0.774</v>
      </c>
      <c r="J18" s="553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566"/>
    </row>
    <row r="19" spans="1:30" s="554" customFormat="1" ht="16.5" customHeight="1" thickBot="1" thickTop="1">
      <c r="A19" s="553"/>
      <c r="B19" s="565"/>
      <c r="C19" s="178"/>
      <c r="D19" s="178"/>
      <c r="E19" s="178"/>
      <c r="F19" s="203" t="s">
        <v>69</v>
      </c>
      <c r="G19" s="204"/>
      <c r="H19" s="204"/>
      <c r="I19" s="205">
        <v>30</v>
      </c>
      <c r="J19" s="178"/>
      <c r="K19" s="239" t="str">
        <f>IF(I19=30," ",IF(I19=60,"Coeficiente duplicado por tasa de falla &gt;4 Sal. x año/100 km.","REVISAR COEFICIENTE"))</f>
        <v> </v>
      </c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582"/>
      <c r="X19" s="582"/>
      <c r="Y19" s="582"/>
      <c r="Z19" s="582"/>
      <c r="AA19" s="582"/>
      <c r="AB19" s="582"/>
      <c r="AC19" s="582"/>
      <c r="AD19" s="566"/>
    </row>
    <row r="20" spans="1:30" s="729" customFormat="1" ht="16.5" customHeight="1" thickBot="1" thickTop="1">
      <c r="A20" s="725"/>
      <c r="B20" s="726"/>
      <c r="C20" s="727">
        <v>3</v>
      </c>
      <c r="D20" s="727">
        <v>4</v>
      </c>
      <c r="E20" s="727">
        <v>5</v>
      </c>
      <c r="F20" s="727">
        <v>6</v>
      </c>
      <c r="G20" s="727">
        <v>7</v>
      </c>
      <c r="H20" s="727">
        <v>8</v>
      </c>
      <c r="I20" s="727">
        <v>9</v>
      </c>
      <c r="J20" s="727">
        <v>10</v>
      </c>
      <c r="K20" s="727">
        <v>11</v>
      </c>
      <c r="L20" s="727">
        <v>12</v>
      </c>
      <c r="M20" s="727">
        <v>13</v>
      </c>
      <c r="N20" s="727">
        <v>14</v>
      </c>
      <c r="O20" s="727">
        <v>15</v>
      </c>
      <c r="P20" s="727">
        <v>16</v>
      </c>
      <c r="Q20" s="727">
        <v>17</v>
      </c>
      <c r="R20" s="727">
        <v>18</v>
      </c>
      <c r="S20" s="727">
        <v>19</v>
      </c>
      <c r="T20" s="727">
        <v>20</v>
      </c>
      <c r="U20" s="727">
        <v>21</v>
      </c>
      <c r="V20" s="727">
        <v>22</v>
      </c>
      <c r="W20" s="727">
        <v>23</v>
      </c>
      <c r="X20" s="727">
        <v>24</v>
      </c>
      <c r="Y20" s="727">
        <v>25</v>
      </c>
      <c r="Z20" s="727">
        <v>26</v>
      </c>
      <c r="AA20" s="727">
        <v>27</v>
      </c>
      <c r="AB20" s="727">
        <v>28</v>
      </c>
      <c r="AC20" s="727">
        <v>29</v>
      </c>
      <c r="AD20" s="728"/>
    </row>
    <row r="21" spans="1:30" s="592" customFormat="1" ht="33.75" customHeight="1" thickBot="1" thickTop="1">
      <c r="A21" s="583"/>
      <c r="B21" s="584"/>
      <c r="C21" s="215" t="s">
        <v>46</v>
      </c>
      <c r="D21" s="101" t="s">
        <v>144</v>
      </c>
      <c r="E21" s="101" t="s">
        <v>143</v>
      </c>
      <c r="F21" s="214" t="s">
        <v>70</v>
      </c>
      <c r="G21" s="210" t="s">
        <v>14</v>
      </c>
      <c r="H21" s="211" t="s">
        <v>71</v>
      </c>
      <c r="I21" s="214" t="s">
        <v>47</v>
      </c>
      <c r="J21" s="269" t="s">
        <v>49</v>
      </c>
      <c r="K21" s="213" t="s">
        <v>72</v>
      </c>
      <c r="L21" s="213" t="s">
        <v>73</v>
      </c>
      <c r="M21" s="214" t="s">
        <v>74</v>
      </c>
      <c r="N21" s="214" t="s">
        <v>75</v>
      </c>
      <c r="O21" s="105" t="s">
        <v>54</v>
      </c>
      <c r="P21" s="215" t="s">
        <v>76</v>
      </c>
      <c r="Q21" s="214" t="s">
        <v>77</v>
      </c>
      <c r="R21" s="210" t="s">
        <v>78</v>
      </c>
      <c r="S21" s="339" t="s">
        <v>79</v>
      </c>
      <c r="T21" s="585" t="s">
        <v>56</v>
      </c>
      <c r="U21" s="586" t="s">
        <v>57</v>
      </c>
      <c r="V21" s="355" t="s">
        <v>80</v>
      </c>
      <c r="W21" s="587"/>
      <c r="X21" s="364" t="s">
        <v>80</v>
      </c>
      <c r="Y21" s="588"/>
      <c r="Z21" s="589" t="s">
        <v>60</v>
      </c>
      <c r="AA21" s="590" t="s">
        <v>61</v>
      </c>
      <c r="AB21" s="214" t="s">
        <v>62</v>
      </c>
      <c r="AC21" s="214" t="s">
        <v>63</v>
      </c>
      <c r="AD21" s="591"/>
    </row>
    <row r="22" spans="1:30" s="554" customFormat="1" ht="16.5" customHeight="1" thickTop="1">
      <c r="A22" s="553"/>
      <c r="B22" s="565"/>
      <c r="C22" s="593"/>
      <c r="D22" s="593"/>
      <c r="E22" s="593"/>
      <c r="F22" s="594"/>
      <c r="G22" s="595"/>
      <c r="H22" s="595"/>
      <c r="I22" s="595"/>
      <c r="J22" s="596"/>
      <c r="K22" s="594"/>
      <c r="L22" s="595"/>
      <c r="M22" s="594"/>
      <c r="N22" s="594"/>
      <c r="O22" s="595"/>
      <c r="P22" s="595"/>
      <c r="Q22" s="595"/>
      <c r="R22" s="595"/>
      <c r="S22" s="597"/>
      <c r="T22" s="598"/>
      <c r="U22" s="599"/>
      <c r="V22" s="600"/>
      <c r="W22" s="601"/>
      <c r="X22" s="602"/>
      <c r="Y22" s="603"/>
      <c r="Z22" s="604"/>
      <c r="AA22" s="605"/>
      <c r="AB22" s="595"/>
      <c r="AC22" s="606"/>
      <c r="AD22" s="566"/>
    </row>
    <row r="23" spans="1:30" s="554" customFormat="1" ht="16.5" customHeight="1">
      <c r="A23" s="553"/>
      <c r="B23" s="565"/>
      <c r="C23" s="593"/>
      <c r="D23" s="593"/>
      <c r="E23" s="593"/>
      <c r="F23" s="607"/>
      <c r="G23" s="607"/>
      <c r="H23" s="607"/>
      <c r="I23" s="607"/>
      <c r="J23" s="608"/>
      <c r="K23" s="609"/>
      <c r="L23" s="607"/>
      <c r="M23" s="609"/>
      <c r="N23" s="609"/>
      <c r="O23" s="607"/>
      <c r="P23" s="607"/>
      <c r="Q23" s="607"/>
      <c r="R23" s="607"/>
      <c r="S23" s="610"/>
      <c r="T23" s="611"/>
      <c r="U23" s="612"/>
      <c r="V23" s="613"/>
      <c r="W23" s="614"/>
      <c r="X23" s="615"/>
      <c r="Y23" s="616"/>
      <c r="Z23" s="617"/>
      <c r="AA23" s="618"/>
      <c r="AB23" s="607"/>
      <c r="AC23" s="619"/>
      <c r="AD23" s="566"/>
    </row>
    <row r="24" spans="1:30" s="554" customFormat="1" ht="16.5" customHeight="1">
      <c r="A24" s="553"/>
      <c r="B24" s="565"/>
      <c r="C24" s="648">
        <v>8</v>
      </c>
      <c r="D24" s="648">
        <v>278025</v>
      </c>
      <c r="E24" s="648">
        <v>1809</v>
      </c>
      <c r="F24" s="513" t="s">
        <v>160</v>
      </c>
      <c r="G24" s="512" t="s">
        <v>161</v>
      </c>
      <c r="H24" s="649">
        <v>30</v>
      </c>
      <c r="I24" s="695" t="s">
        <v>158</v>
      </c>
      <c r="J24" s="272">
        <f aca="true" t="shared" si="0" ref="J24:J32">H24*$I$18</f>
        <v>23.22</v>
      </c>
      <c r="K24" s="652">
        <v>41863.38125</v>
      </c>
      <c r="L24" s="652">
        <v>41863.486805555556</v>
      </c>
      <c r="M24" s="26">
        <f aca="true" t="shared" si="1" ref="M24:M32">IF(F24="","",(L24-K24)*24)</f>
        <v>2.53333333338378</v>
      </c>
      <c r="N24" s="27">
        <f aca="true" t="shared" si="2" ref="N24:N32">IF(F24="","",ROUND((L24-K24)*24*60,0))</f>
        <v>152</v>
      </c>
      <c r="O24" s="653" t="s">
        <v>150</v>
      </c>
      <c r="P24" s="25" t="str">
        <f aca="true" t="shared" si="3" ref="P24:P32">IF(F24="","",IF(OR(O24="P",O24="RP"),"--","NO"))</f>
        <v>--</v>
      </c>
      <c r="Q24" s="715" t="str">
        <f aca="true" t="shared" si="4" ref="Q24:Q32">IF(F24="","","--")</f>
        <v>--</v>
      </c>
      <c r="R24" s="25" t="str">
        <f aca="true" t="shared" si="5" ref="R24:R32">IF(F24="","","NO")</f>
        <v>NO</v>
      </c>
      <c r="S24" s="342">
        <f aca="true" t="shared" si="6" ref="S24:S32">$I$19*IF(OR(O24="P",O24="RP"),0.1,1)*IF(R24="SI",1,0.1)</f>
        <v>0.30000000000000004</v>
      </c>
      <c r="T24" s="716">
        <f aca="true" t="shared" si="7" ref="T24:T32">IF(O24="P",J24*S24*ROUND(N24/60,2),"--")</f>
        <v>17.623980000000003</v>
      </c>
      <c r="U24" s="717" t="str">
        <f aca="true" t="shared" si="8" ref="U24:U32">IF(O24="RP",J24*S24*ROUND(N24/60,2)*Q24/100,"--")</f>
        <v>--</v>
      </c>
      <c r="V24" s="361" t="str">
        <f aca="true" t="shared" si="9" ref="V24:V32">IF(AND(O24="F",P24="NO"),J24*S24,"--")</f>
        <v>--</v>
      </c>
      <c r="W24" s="362" t="str">
        <f aca="true" t="shared" si="10" ref="W24:W32">IF(O24="F",J24*S24*ROUND(N24/60,2),"--")</f>
        <v>--</v>
      </c>
      <c r="X24" s="370" t="str">
        <f aca="true" t="shared" si="11" ref="X24:X32">IF(AND(O24="R",P24="NO"),J24*S24*Q24/100,"--")</f>
        <v>--</v>
      </c>
      <c r="Y24" s="371" t="str">
        <f aca="true" t="shared" si="12" ref="Y24:Y32">IF(O24="R",J24*S24*ROUND(N24/60,2)*Q24/100,"--")</f>
        <v>--</v>
      </c>
      <c r="Z24" s="376" t="str">
        <f aca="true" t="shared" si="13" ref="Z24:Z32">IF(O24="RF",J24*S24*ROUND(N24/60,2),"--")</f>
        <v>--</v>
      </c>
      <c r="AA24" s="382" t="str">
        <f aca="true" t="shared" si="14" ref="AA24:AA32">IF(O24="RR",J24*S24*ROUND(N24/60,2)*Q24/100,"--")</f>
        <v>--</v>
      </c>
      <c r="AB24" s="25" t="s">
        <v>151</v>
      </c>
      <c r="AC24" s="620">
        <f aca="true" t="shared" si="15" ref="AC24:AC32">IF(F24="","",SUM(T24:AA24)*IF(AB24="SI",1,2))</f>
        <v>17.623980000000003</v>
      </c>
      <c r="AD24" s="621"/>
    </row>
    <row r="25" spans="1:30" s="554" customFormat="1" ht="16.5" customHeight="1">
      <c r="A25" s="553"/>
      <c r="B25" s="565"/>
      <c r="C25" s="648">
        <v>9</v>
      </c>
      <c r="D25" s="648">
        <v>278026</v>
      </c>
      <c r="E25" s="648">
        <v>1810</v>
      </c>
      <c r="F25" s="513" t="s">
        <v>160</v>
      </c>
      <c r="G25" s="512" t="s">
        <v>159</v>
      </c>
      <c r="H25" s="649">
        <v>30</v>
      </c>
      <c r="I25" s="695" t="s">
        <v>158</v>
      </c>
      <c r="J25" s="272">
        <f t="shared" si="0"/>
        <v>23.22</v>
      </c>
      <c r="K25" s="652">
        <v>41864.3875</v>
      </c>
      <c r="L25" s="652">
        <v>41864.51180555556</v>
      </c>
      <c r="M25" s="26">
        <f t="shared" si="1"/>
        <v>2.983333333453629</v>
      </c>
      <c r="N25" s="27">
        <f t="shared" si="2"/>
        <v>179</v>
      </c>
      <c r="O25" s="653" t="s">
        <v>150</v>
      </c>
      <c r="P25" s="25" t="str">
        <f t="shared" si="3"/>
        <v>--</v>
      </c>
      <c r="Q25" s="715" t="str">
        <f t="shared" si="4"/>
        <v>--</v>
      </c>
      <c r="R25" s="25" t="str">
        <f t="shared" si="5"/>
        <v>NO</v>
      </c>
      <c r="S25" s="342">
        <f t="shared" si="6"/>
        <v>0.30000000000000004</v>
      </c>
      <c r="T25" s="716">
        <f t="shared" si="7"/>
        <v>20.758680000000002</v>
      </c>
      <c r="U25" s="717" t="str">
        <f t="shared" si="8"/>
        <v>--</v>
      </c>
      <c r="V25" s="361" t="str">
        <f t="shared" si="9"/>
        <v>--</v>
      </c>
      <c r="W25" s="362" t="str">
        <f t="shared" si="10"/>
        <v>--</v>
      </c>
      <c r="X25" s="370" t="str">
        <f t="shared" si="11"/>
        <v>--</v>
      </c>
      <c r="Y25" s="371" t="str">
        <f t="shared" si="12"/>
        <v>--</v>
      </c>
      <c r="Z25" s="376" t="str">
        <f t="shared" si="13"/>
        <v>--</v>
      </c>
      <c r="AA25" s="382" t="str">
        <f t="shared" si="14"/>
        <v>--</v>
      </c>
      <c r="AB25" s="25" t="s">
        <v>151</v>
      </c>
      <c r="AC25" s="620">
        <f t="shared" si="15"/>
        <v>20.758680000000002</v>
      </c>
      <c r="AD25" s="621"/>
    </row>
    <row r="26" spans="1:30" s="554" customFormat="1" ht="16.5" customHeight="1">
      <c r="A26" s="553"/>
      <c r="B26" s="565"/>
      <c r="C26" s="648">
        <v>10</v>
      </c>
      <c r="D26" s="648">
        <v>278209</v>
      </c>
      <c r="E26" s="648">
        <v>1811</v>
      </c>
      <c r="F26" s="513" t="s">
        <v>160</v>
      </c>
      <c r="G26" s="512" t="s">
        <v>162</v>
      </c>
      <c r="H26" s="649">
        <v>15</v>
      </c>
      <c r="I26" s="695" t="s">
        <v>158</v>
      </c>
      <c r="J26" s="272">
        <f t="shared" si="0"/>
        <v>11.61</v>
      </c>
      <c r="K26" s="652">
        <v>41873.38611111111</v>
      </c>
      <c r="L26" s="652">
        <v>41873.53472222222</v>
      </c>
      <c r="M26" s="26">
        <f t="shared" si="1"/>
        <v>3.566666666592937</v>
      </c>
      <c r="N26" s="27">
        <f t="shared" si="2"/>
        <v>214</v>
      </c>
      <c r="O26" s="653" t="s">
        <v>150</v>
      </c>
      <c r="P26" s="25" t="str">
        <f t="shared" si="3"/>
        <v>--</v>
      </c>
      <c r="Q26" s="715" t="str">
        <f t="shared" si="4"/>
        <v>--</v>
      </c>
      <c r="R26" s="25" t="str">
        <f t="shared" si="5"/>
        <v>NO</v>
      </c>
      <c r="S26" s="342">
        <f t="shared" si="6"/>
        <v>0.30000000000000004</v>
      </c>
      <c r="T26" s="716">
        <f t="shared" si="7"/>
        <v>12.434310000000002</v>
      </c>
      <c r="U26" s="717" t="str">
        <f t="shared" si="8"/>
        <v>--</v>
      </c>
      <c r="V26" s="361" t="str">
        <f t="shared" si="9"/>
        <v>--</v>
      </c>
      <c r="W26" s="362" t="str">
        <f t="shared" si="10"/>
        <v>--</v>
      </c>
      <c r="X26" s="370" t="str">
        <f t="shared" si="11"/>
        <v>--</v>
      </c>
      <c r="Y26" s="371" t="str">
        <f t="shared" si="12"/>
        <v>--</v>
      </c>
      <c r="Z26" s="376" t="str">
        <f t="shared" si="13"/>
        <v>--</v>
      </c>
      <c r="AA26" s="382" t="str">
        <f t="shared" si="14"/>
        <v>--</v>
      </c>
      <c r="AB26" s="25" t="s">
        <v>151</v>
      </c>
      <c r="AC26" s="620">
        <f t="shared" si="15"/>
        <v>12.434310000000002</v>
      </c>
      <c r="AD26" s="621"/>
    </row>
    <row r="27" spans="1:30" s="554" customFormat="1" ht="16.5" customHeight="1">
      <c r="A27" s="553"/>
      <c r="B27" s="565"/>
      <c r="C27" s="648"/>
      <c r="D27" s="648"/>
      <c r="E27" s="648"/>
      <c r="F27" s="513"/>
      <c r="G27" s="512"/>
      <c r="H27" s="649"/>
      <c r="I27" s="695"/>
      <c r="J27" s="272">
        <f t="shared" si="0"/>
        <v>0</v>
      </c>
      <c r="K27" s="652"/>
      <c r="L27" s="652"/>
      <c r="M27" s="26">
        <f t="shared" si="1"/>
      </c>
      <c r="N27" s="27">
        <f t="shared" si="2"/>
      </c>
      <c r="O27" s="653"/>
      <c r="P27" s="25">
        <f t="shared" si="3"/>
      </c>
      <c r="Q27" s="715">
        <f t="shared" si="4"/>
      </c>
      <c r="R27" s="25">
        <f t="shared" si="5"/>
      </c>
      <c r="S27" s="342">
        <f t="shared" si="6"/>
        <v>3</v>
      </c>
      <c r="T27" s="716" t="str">
        <f t="shared" si="7"/>
        <v>--</v>
      </c>
      <c r="U27" s="717" t="str">
        <f t="shared" si="8"/>
        <v>--</v>
      </c>
      <c r="V27" s="361" t="str">
        <f t="shared" si="9"/>
        <v>--</v>
      </c>
      <c r="W27" s="362" t="str">
        <f t="shared" si="10"/>
        <v>--</v>
      </c>
      <c r="X27" s="370" t="str">
        <f t="shared" si="11"/>
        <v>--</v>
      </c>
      <c r="Y27" s="371" t="str">
        <f t="shared" si="12"/>
        <v>--</v>
      </c>
      <c r="Z27" s="376" t="str">
        <f t="shared" si="13"/>
        <v>--</v>
      </c>
      <c r="AA27" s="382" t="str">
        <f t="shared" si="14"/>
        <v>--</v>
      </c>
      <c r="AB27" s="25">
        <f aca="true" t="shared" si="16" ref="AB27:AB32">IF(F27="","","SI")</f>
      </c>
      <c r="AC27" s="620">
        <f t="shared" si="15"/>
      </c>
      <c r="AD27" s="621"/>
    </row>
    <row r="28" spans="1:30" s="554" customFormat="1" ht="16.5" customHeight="1">
      <c r="A28" s="553"/>
      <c r="B28" s="565"/>
      <c r="C28" s="648"/>
      <c r="D28" s="648"/>
      <c r="E28" s="648"/>
      <c r="F28" s="513"/>
      <c r="G28" s="512"/>
      <c r="H28" s="649"/>
      <c r="I28" s="695"/>
      <c r="J28" s="272">
        <f t="shared" si="0"/>
        <v>0</v>
      </c>
      <c r="K28" s="652"/>
      <c r="L28" s="652"/>
      <c r="M28" s="26">
        <f t="shared" si="1"/>
      </c>
      <c r="N28" s="27">
        <f t="shared" si="2"/>
      </c>
      <c r="O28" s="653"/>
      <c r="P28" s="25">
        <f t="shared" si="3"/>
      </c>
      <c r="Q28" s="715">
        <f t="shared" si="4"/>
      </c>
      <c r="R28" s="25">
        <f t="shared" si="5"/>
      </c>
      <c r="S28" s="342">
        <f t="shared" si="6"/>
        <v>3</v>
      </c>
      <c r="T28" s="716" t="str">
        <f t="shared" si="7"/>
        <v>--</v>
      </c>
      <c r="U28" s="717" t="str">
        <f t="shared" si="8"/>
        <v>--</v>
      </c>
      <c r="V28" s="361" t="str">
        <f t="shared" si="9"/>
        <v>--</v>
      </c>
      <c r="W28" s="362" t="str">
        <f t="shared" si="10"/>
        <v>--</v>
      </c>
      <c r="X28" s="370" t="str">
        <f t="shared" si="11"/>
        <v>--</v>
      </c>
      <c r="Y28" s="371" t="str">
        <f t="shared" si="12"/>
        <v>--</v>
      </c>
      <c r="Z28" s="376" t="str">
        <f t="shared" si="13"/>
        <v>--</v>
      </c>
      <c r="AA28" s="382" t="str">
        <f t="shared" si="14"/>
        <v>--</v>
      </c>
      <c r="AB28" s="25">
        <f t="shared" si="16"/>
      </c>
      <c r="AC28" s="620">
        <f t="shared" si="15"/>
      </c>
      <c r="AD28" s="621"/>
    </row>
    <row r="29" spans="1:30" s="554" customFormat="1" ht="16.5" customHeight="1">
      <c r="A29" s="553"/>
      <c r="B29" s="565"/>
      <c r="C29" s="648"/>
      <c r="D29" s="648"/>
      <c r="E29" s="648"/>
      <c r="F29" s="513"/>
      <c r="G29" s="512"/>
      <c r="H29" s="649"/>
      <c r="I29" s="650"/>
      <c r="J29" s="272">
        <f t="shared" si="0"/>
        <v>0</v>
      </c>
      <c r="K29" s="652"/>
      <c r="L29" s="652"/>
      <c r="M29" s="26">
        <f t="shared" si="1"/>
      </c>
      <c r="N29" s="27">
        <f t="shared" si="2"/>
      </c>
      <c r="O29" s="653"/>
      <c r="P29" s="25">
        <f t="shared" si="3"/>
      </c>
      <c r="Q29" s="715">
        <f t="shared" si="4"/>
      </c>
      <c r="R29" s="25">
        <f t="shared" si="5"/>
      </c>
      <c r="S29" s="342">
        <f t="shared" si="6"/>
        <v>3</v>
      </c>
      <c r="T29" s="716" t="str">
        <f t="shared" si="7"/>
        <v>--</v>
      </c>
      <c r="U29" s="717" t="str">
        <f t="shared" si="8"/>
        <v>--</v>
      </c>
      <c r="V29" s="361" t="str">
        <f t="shared" si="9"/>
        <v>--</v>
      </c>
      <c r="W29" s="362" t="str">
        <f t="shared" si="10"/>
        <v>--</v>
      </c>
      <c r="X29" s="370" t="str">
        <f t="shared" si="11"/>
        <v>--</v>
      </c>
      <c r="Y29" s="371" t="str">
        <f t="shared" si="12"/>
        <v>--</v>
      </c>
      <c r="Z29" s="376" t="str">
        <f t="shared" si="13"/>
        <v>--</v>
      </c>
      <c r="AA29" s="382" t="str">
        <f t="shared" si="14"/>
        <v>--</v>
      </c>
      <c r="AB29" s="25">
        <f t="shared" si="16"/>
      </c>
      <c r="AC29" s="620">
        <f t="shared" si="15"/>
      </c>
      <c r="AD29" s="621"/>
    </row>
    <row r="30" spans="1:30" s="554" customFormat="1" ht="16.5" customHeight="1">
      <c r="A30" s="553"/>
      <c r="B30" s="565"/>
      <c r="C30" s="648"/>
      <c r="D30" s="648"/>
      <c r="E30" s="648"/>
      <c r="F30" s="513"/>
      <c r="G30" s="512"/>
      <c r="H30" s="649"/>
      <c r="I30" s="695"/>
      <c r="J30" s="272">
        <f t="shared" si="0"/>
        <v>0</v>
      </c>
      <c r="K30" s="652"/>
      <c r="L30" s="652"/>
      <c r="M30" s="26">
        <f t="shared" si="1"/>
      </c>
      <c r="N30" s="27">
        <f t="shared" si="2"/>
      </c>
      <c r="O30" s="653"/>
      <c r="P30" s="25">
        <f t="shared" si="3"/>
      </c>
      <c r="Q30" s="715">
        <f t="shared" si="4"/>
      </c>
      <c r="R30" s="25">
        <f t="shared" si="5"/>
      </c>
      <c r="S30" s="342">
        <f t="shared" si="6"/>
        <v>3</v>
      </c>
      <c r="T30" s="716" t="str">
        <f t="shared" si="7"/>
        <v>--</v>
      </c>
      <c r="U30" s="717" t="str">
        <f t="shared" si="8"/>
        <v>--</v>
      </c>
      <c r="V30" s="361" t="str">
        <f t="shared" si="9"/>
        <v>--</v>
      </c>
      <c r="W30" s="362" t="str">
        <f t="shared" si="10"/>
        <v>--</v>
      </c>
      <c r="X30" s="370" t="str">
        <f t="shared" si="11"/>
        <v>--</v>
      </c>
      <c r="Y30" s="371" t="str">
        <f t="shared" si="12"/>
        <v>--</v>
      </c>
      <c r="Z30" s="376" t="str">
        <f t="shared" si="13"/>
        <v>--</v>
      </c>
      <c r="AA30" s="382" t="str">
        <f t="shared" si="14"/>
        <v>--</v>
      </c>
      <c r="AB30" s="25">
        <f t="shared" si="16"/>
      </c>
      <c r="AC30" s="620">
        <f t="shared" si="15"/>
      </c>
      <c r="AD30" s="621"/>
    </row>
    <row r="31" spans="1:30" s="554" customFormat="1" ht="16.5" customHeight="1">
      <c r="A31" s="553"/>
      <c r="B31" s="565"/>
      <c r="C31" s="648"/>
      <c r="D31" s="648"/>
      <c r="E31" s="648"/>
      <c r="F31" s="513"/>
      <c r="G31" s="512"/>
      <c r="H31" s="649"/>
      <c r="I31" s="695"/>
      <c r="J31" s="272">
        <f t="shared" si="0"/>
        <v>0</v>
      </c>
      <c r="K31" s="652"/>
      <c r="L31" s="652"/>
      <c r="M31" s="26">
        <f t="shared" si="1"/>
      </c>
      <c r="N31" s="27">
        <f t="shared" si="2"/>
      </c>
      <c r="O31" s="653"/>
      <c r="P31" s="25">
        <f t="shared" si="3"/>
      </c>
      <c r="Q31" s="715">
        <f t="shared" si="4"/>
      </c>
      <c r="R31" s="25">
        <f t="shared" si="5"/>
      </c>
      <c r="S31" s="342">
        <f t="shared" si="6"/>
        <v>3</v>
      </c>
      <c r="T31" s="716" t="str">
        <f t="shared" si="7"/>
        <v>--</v>
      </c>
      <c r="U31" s="717" t="str">
        <f t="shared" si="8"/>
        <v>--</v>
      </c>
      <c r="V31" s="361" t="str">
        <f t="shared" si="9"/>
        <v>--</v>
      </c>
      <c r="W31" s="362" t="str">
        <f t="shared" si="10"/>
        <v>--</v>
      </c>
      <c r="X31" s="370" t="str">
        <f t="shared" si="11"/>
        <v>--</v>
      </c>
      <c r="Y31" s="371" t="str">
        <f t="shared" si="12"/>
        <v>--</v>
      </c>
      <c r="Z31" s="376" t="str">
        <f t="shared" si="13"/>
        <v>--</v>
      </c>
      <c r="AA31" s="382" t="str">
        <f t="shared" si="14"/>
        <v>--</v>
      </c>
      <c r="AB31" s="25">
        <f t="shared" si="16"/>
      </c>
      <c r="AC31" s="620">
        <f t="shared" si="15"/>
      </c>
      <c r="AD31" s="621"/>
    </row>
    <row r="32" spans="1:30" s="554" customFormat="1" ht="16.5" customHeight="1">
      <c r="A32" s="553"/>
      <c r="B32" s="565"/>
      <c r="C32" s="648"/>
      <c r="D32" s="648"/>
      <c r="E32" s="648"/>
      <c r="F32" s="513"/>
      <c r="G32" s="512"/>
      <c r="H32" s="649"/>
      <c r="I32" s="695"/>
      <c r="J32" s="272">
        <f t="shared" si="0"/>
        <v>0</v>
      </c>
      <c r="K32" s="652"/>
      <c r="L32" s="652"/>
      <c r="M32" s="26">
        <f t="shared" si="1"/>
      </c>
      <c r="N32" s="27">
        <f t="shared" si="2"/>
      </c>
      <c r="O32" s="653"/>
      <c r="P32" s="25">
        <f t="shared" si="3"/>
      </c>
      <c r="Q32" s="715">
        <f t="shared" si="4"/>
      </c>
      <c r="R32" s="25">
        <f t="shared" si="5"/>
      </c>
      <c r="S32" s="342">
        <f t="shared" si="6"/>
        <v>3</v>
      </c>
      <c r="T32" s="716" t="str">
        <f t="shared" si="7"/>
        <v>--</v>
      </c>
      <c r="U32" s="717" t="str">
        <f t="shared" si="8"/>
        <v>--</v>
      </c>
      <c r="V32" s="361" t="str">
        <f t="shared" si="9"/>
        <v>--</v>
      </c>
      <c r="W32" s="362" t="str">
        <f t="shared" si="10"/>
        <v>--</v>
      </c>
      <c r="X32" s="370" t="str">
        <f t="shared" si="11"/>
        <v>--</v>
      </c>
      <c r="Y32" s="371" t="str">
        <f t="shared" si="12"/>
        <v>--</v>
      </c>
      <c r="Z32" s="376" t="str">
        <f t="shared" si="13"/>
        <v>--</v>
      </c>
      <c r="AA32" s="382" t="str">
        <f t="shared" si="14"/>
        <v>--</v>
      </c>
      <c r="AB32" s="25">
        <f t="shared" si="16"/>
      </c>
      <c r="AC32" s="620">
        <f t="shared" si="15"/>
      </c>
      <c r="AD32" s="566"/>
    </row>
    <row r="33" spans="1:30" s="554" customFormat="1" ht="16.5" customHeight="1">
      <c r="A33" s="553"/>
      <c r="B33" s="565"/>
      <c r="C33" s="648"/>
      <c r="D33" s="648"/>
      <c r="E33" s="648"/>
      <c r="F33" s="513"/>
      <c r="G33" s="512"/>
      <c r="H33" s="649"/>
      <c r="I33" s="650"/>
      <c r="J33" s="272">
        <f aca="true" t="shared" si="17" ref="J33:J39">H33*$I$18</f>
        <v>0</v>
      </c>
      <c r="K33" s="652"/>
      <c r="L33" s="652"/>
      <c r="M33" s="26">
        <f aca="true" t="shared" si="18" ref="M33:M39">IF(F33="","",(L33-K33)*24)</f>
      </c>
      <c r="N33" s="27">
        <f aca="true" t="shared" si="19" ref="N33:N39">IF(F33="","",ROUND((L33-K33)*24*60,0))</f>
      </c>
      <c r="O33" s="653"/>
      <c r="P33" s="25">
        <f aca="true" t="shared" si="20" ref="P33:P43">IF(F33="","",IF(OR(O33="P",O33="RP"),"--","NO"))</f>
      </c>
      <c r="Q33" s="715">
        <f aca="true" t="shared" si="21" ref="Q33:Q43">IF(F33="","","--")</f>
      </c>
      <c r="R33" s="25">
        <f aca="true" t="shared" si="22" ref="R33:R43">IF(F33="","","NO")</f>
      </c>
      <c r="S33" s="342">
        <f aca="true" t="shared" si="23" ref="S33:S39">$I$19*IF(OR(O33="P",O33="RP"),0.1,1)*IF(R33="SI",1,0.1)</f>
        <v>3</v>
      </c>
      <c r="T33" s="716" t="str">
        <f aca="true" t="shared" si="24" ref="T33:T39">IF(O33="P",J33*S33*ROUND(N33/60,2),"--")</f>
        <v>--</v>
      </c>
      <c r="U33" s="717" t="str">
        <f aca="true" t="shared" si="25" ref="U33:U39">IF(O33="RP",J33*S33*ROUND(N33/60,2)*Q33/100,"--")</f>
        <v>--</v>
      </c>
      <c r="V33" s="361" t="str">
        <f aca="true" t="shared" si="26" ref="V33:V39">IF(AND(O33="F",P33="NO"),J33*S33,"--")</f>
        <v>--</v>
      </c>
      <c r="W33" s="362" t="str">
        <f aca="true" t="shared" si="27" ref="W33:W39">IF(O33="F",J33*S33*ROUND(N33/60,2),"--")</f>
        <v>--</v>
      </c>
      <c r="X33" s="370" t="str">
        <f aca="true" t="shared" si="28" ref="X33:X39">IF(AND(O33="R",P33="NO"),J33*S33*Q33/100,"--")</f>
        <v>--</v>
      </c>
      <c r="Y33" s="371" t="str">
        <f aca="true" t="shared" si="29" ref="Y33:Y39">IF(O33="R",J33*S33*ROUND(N33/60,2)*Q33/100,"--")</f>
        <v>--</v>
      </c>
      <c r="Z33" s="376" t="str">
        <f aca="true" t="shared" si="30" ref="Z33:Z39">IF(O33="RF",J33*S33*ROUND(N33/60,2),"--")</f>
        <v>--</v>
      </c>
      <c r="AA33" s="382" t="str">
        <f aca="true" t="shared" si="31" ref="AA33:AA39">IF(O33="RR",J33*S33*ROUND(N33/60,2)*Q33/100,"--")</f>
        <v>--</v>
      </c>
      <c r="AB33" s="25">
        <f aca="true" t="shared" si="32" ref="AB33:AB39">IF(F33="","","SI")</f>
      </c>
      <c r="AC33" s="620">
        <f aca="true" t="shared" si="33" ref="AC33:AC39">IF(F33="","",SUM(T33:AA33)*IF(AB33="SI",1,2))</f>
      </c>
      <c r="AD33" s="566"/>
    </row>
    <row r="34" spans="1:30" s="554" customFormat="1" ht="16.5" customHeight="1">
      <c r="A34" s="553"/>
      <c r="B34" s="565"/>
      <c r="C34" s="648"/>
      <c r="D34" s="648"/>
      <c r="E34" s="648"/>
      <c r="F34" s="513"/>
      <c r="G34" s="512"/>
      <c r="H34" s="649"/>
      <c r="I34" s="650"/>
      <c r="J34" s="272">
        <f t="shared" si="17"/>
        <v>0</v>
      </c>
      <c r="K34" s="652"/>
      <c r="L34" s="652"/>
      <c r="M34" s="26">
        <f t="shared" si="18"/>
      </c>
      <c r="N34" s="27">
        <f t="shared" si="19"/>
      </c>
      <c r="O34" s="653"/>
      <c r="P34" s="25">
        <f t="shared" si="20"/>
      </c>
      <c r="Q34" s="715">
        <f t="shared" si="21"/>
      </c>
      <c r="R34" s="25">
        <f t="shared" si="22"/>
      </c>
      <c r="S34" s="342">
        <f t="shared" si="23"/>
        <v>3</v>
      </c>
      <c r="T34" s="716" t="str">
        <f t="shared" si="24"/>
        <v>--</v>
      </c>
      <c r="U34" s="717" t="str">
        <f t="shared" si="25"/>
        <v>--</v>
      </c>
      <c r="V34" s="361" t="str">
        <f t="shared" si="26"/>
        <v>--</v>
      </c>
      <c r="W34" s="362" t="str">
        <f t="shared" si="27"/>
        <v>--</v>
      </c>
      <c r="X34" s="370" t="str">
        <f t="shared" si="28"/>
        <v>--</v>
      </c>
      <c r="Y34" s="371" t="str">
        <f t="shared" si="29"/>
        <v>--</v>
      </c>
      <c r="Z34" s="376" t="str">
        <f t="shared" si="30"/>
        <v>--</v>
      </c>
      <c r="AA34" s="382" t="str">
        <f t="shared" si="31"/>
        <v>--</v>
      </c>
      <c r="AB34" s="25">
        <f t="shared" si="32"/>
      </c>
      <c r="AC34" s="620">
        <f t="shared" si="33"/>
      </c>
      <c r="AD34" s="566"/>
    </row>
    <row r="35" spans="1:30" s="554" customFormat="1" ht="16.5" customHeight="1">
      <c r="A35" s="553"/>
      <c r="B35" s="565"/>
      <c r="C35" s="648"/>
      <c r="D35" s="648"/>
      <c r="E35" s="648"/>
      <c r="F35" s="513"/>
      <c r="G35" s="512"/>
      <c r="H35" s="649"/>
      <c r="I35" s="650"/>
      <c r="J35" s="272">
        <f t="shared" si="17"/>
        <v>0</v>
      </c>
      <c r="K35" s="652"/>
      <c r="L35" s="652"/>
      <c r="M35" s="26">
        <f t="shared" si="18"/>
      </c>
      <c r="N35" s="27">
        <f t="shared" si="19"/>
      </c>
      <c r="O35" s="653"/>
      <c r="P35" s="25">
        <f t="shared" si="20"/>
      </c>
      <c r="Q35" s="715">
        <f t="shared" si="21"/>
      </c>
      <c r="R35" s="25">
        <f t="shared" si="22"/>
      </c>
      <c r="S35" s="342">
        <f t="shared" si="23"/>
        <v>3</v>
      </c>
      <c r="T35" s="716" t="str">
        <f t="shared" si="24"/>
        <v>--</v>
      </c>
      <c r="U35" s="717" t="str">
        <f t="shared" si="25"/>
        <v>--</v>
      </c>
      <c r="V35" s="361" t="str">
        <f t="shared" si="26"/>
        <v>--</v>
      </c>
      <c r="W35" s="362" t="str">
        <f t="shared" si="27"/>
        <v>--</v>
      </c>
      <c r="X35" s="370" t="str">
        <f t="shared" si="28"/>
        <v>--</v>
      </c>
      <c r="Y35" s="371" t="str">
        <f t="shared" si="29"/>
        <v>--</v>
      </c>
      <c r="Z35" s="376" t="str">
        <f t="shared" si="30"/>
        <v>--</v>
      </c>
      <c r="AA35" s="382" t="str">
        <f t="shared" si="31"/>
        <v>--</v>
      </c>
      <c r="AB35" s="25">
        <f t="shared" si="32"/>
      </c>
      <c r="AC35" s="620">
        <f t="shared" si="33"/>
      </c>
      <c r="AD35" s="566"/>
    </row>
    <row r="36" spans="1:30" s="554" customFormat="1" ht="16.5" customHeight="1">
      <c r="A36" s="553"/>
      <c r="B36" s="565"/>
      <c r="C36" s="648"/>
      <c r="D36" s="648"/>
      <c r="E36" s="648"/>
      <c r="F36" s="513"/>
      <c r="G36" s="512"/>
      <c r="H36" s="649"/>
      <c r="I36" s="650"/>
      <c r="J36" s="272">
        <f t="shared" si="17"/>
        <v>0</v>
      </c>
      <c r="K36" s="652"/>
      <c r="L36" s="652"/>
      <c r="M36" s="26">
        <f t="shared" si="18"/>
      </c>
      <c r="N36" s="27">
        <f t="shared" si="19"/>
      </c>
      <c r="O36" s="653"/>
      <c r="P36" s="25">
        <f t="shared" si="20"/>
      </c>
      <c r="Q36" s="715">
        <f t="shared" si="21"/>
      </c>
      <c r="R36" s="25">
        <f t="shared" si="22"/>
      </c>
      <c r="S36" s="342">
        <f t="shared" si="23"/>
        <v>3</v>
      </c>
      <c r="T36" s="716" t="str">
        <f t="shared" si="24"/>
        <v>--</v>
      </c>
      <c r="U36" s="717" t="str">
        <f t="shared" si="25"/>
        <v>--</v>
      </c>
      <c r="V36" s="361" t="str">
        <f t="shared" si="26"/>
        <v>--</v>
      </c>
      <c r="W36" s="362" t="str">
        <f t="shared" si="27"/>
        <v>--</v>
      </c>
      <c r="X36" s="370" t="str">
        <f t="shared" si="28"/>
        <v>--</v>
      </c>
      <c r="Y36" s="371" t="str">
        <f t="shared" si="29"/>
        <v>--</v>
      </c>
      <c r="Z36" s="376" t="str">
        <f t="shared" si="30"/>
        <v>--</v>
      </c>
      <c r="AA36" s="382" t="str">
        <f t="shared" si="31"/>
        <v>--</v>
      </c>
      <c r="AB36" s="25">
        <f t="shared" si="32"/>
      </c>
      <c r="AC36" s="620">
        <f t="shared" si="33"/>
      </c>
      <c r="AD36" s="566"/>
    </row>
    <row r="37" spans="1:30" s="554" customFormat="1" ht="16.5" customHeight="1">
      <c r="A37" s="553"/>
      <c r="B37" s="565"/>
      <c r="C37" s="648"/>
      <c r="D37" s="648"/>
      <c r="E37" s="648"/>
      <c r="F37" s="513"/>
      <c r="G37" s="512"/>
      <c r="H37" s="649"/>
      <c r="I37" s="650"/>
      <c r="J37" s="272">
        <f t="shared" si="17"/>
        <v>0</v>
      </c>
      <c r="K37" s="652"/>
      <c r="L37" s="652"/>
      <c r="M37" s="26">
        <f t="shared" si="18"/>
      </c>
      <c r="N37" s="27">
        <f t="shared" si="19"/>
      </c>
      <c r="O37" s="653"/>
      <c r="P37" s="25">
        <f t="shared" si="20"/>
      </c>
      <c r="Q37" s="715">
        <f t="shared" si="21"/>
      </c>
      <c r="R37" s="25">
        <f t="shared" si="22"/>
      </c>
      <c r="S37" s="342">
        <f t="shared" si="23"/>
        <v>3</v>
      </c>
      <c r="T37" s="716" t="str">
        <f t="shared" si="24"/>
        <v>--</v>
      </c>
      <c r="U37" s="717" t="str">
        <f t="shared" si="25"/>
        <v>--</v>
      </c>
      <c r="V37" s="361" t="str">
        <f t="shared" si="26"/>
        <v>--</v>
      </c>
      <c r="W37" s="362" t="str">
        <f t="shared" si="27"/>
        <v>--</v>
      </c>
      <c r="X37" s="370" t="str">
        <f t="shared" si="28"/>
        <v>--</v>
      </c>
      <c r="Y37" s="371" t="str">
        <f t="shared" si="29"/>
        <v>--</v>
      </c>
      <c r="Z37" s="376" t="str">
        <f t="shared" si="30"/>
        <v>--</v>
      </c>
      <c r="AA37" s="382" t="str">
        <f t="shared" si="31"/>
        <v>--</v>
      </c>
      <c r="AB37" s="25">
        <f t="shared" si="32"/>
      </c>
      <c r="AC37" s="620">
        <f t="shared" si="33"/>
      </c>
      <c r="AD37" s="566"/>
    </row>
    <row r="38" spans="1:30" s="554" customFormat="1" ht="16.5" customHeight="1">
      <c r="A38" s="553"/>
      <c r="B38" s="565"/>
      <c r="C38" s="648"/>
      <c r="D38" s="648"/>
      <c r="E38" s="648"/>
      <c r="F38" s="513"/>
      <c r="G38" s="512"/>
      <c r="H38" s="649"/>
      <c r="I38" s="650"/>
      <c r="J38" s="272">
        <f t="shared" si="17"/>
        <v>0</v>
      </c>
      <c r="K38" s="652"/>
      <c r="L38" s="652"/>
      <c r="M38" s="26">
        <f t="shared" si="18"/>
      </c>
      <c r="N38" s="27">
        <f t="shared" si="19"/>
      </c>
      <c r="O38" s="653"/>
      <c r="P38" s="25">
        <f t="shared" si="20"/>
      </c>
      <c r="Q38" s="715">
        <f t="shared" si="21"/>
      </c>
      <c r="R38" s="25">
        <f t="shared" si="22"/>
      </c>
      <c r="S38" s="342">
        <f t="shared" si="23"/>
        <v>3</v>
      </c>
      <c r="T38" s="716" t="str">
        <f t="shared" si="24"/>
        <v>--</v>
      </c>
      <c r="U38" s="717" t="str">
        <f t="shared" si="25"/>
        <v>--</v>
      </c>
      <c r="V38" s="361" t="str">
        <f t="shared" si="26"/>
        <v>--</v>
      </c>
      <c r="W38" s="362" t="str">
        <f t="shared" si="27"/>
        <v>--</v>
      </c>
      <c r="X38" s="370" t="str">
        <f t="shared" si="28"/>
        <v>--</v>
      </c>
      <c r="Y38" s="371" t="str">
        <f t="shared" si="29"/>
        <v>--</v>
      </c>
      <c r="Z38" s="376" t="str">
        <f t="shared" si="30"/>
        <v>--</v>
      </c>
      <c r="AA38" s="382" t="str">
        <f t="shared" si="31"/>
        <v>--</v>
      </c>
      <c r="AB38" s="25">
        <f t="shared" si="32"/>
      </c>
      <c r="AC38" s="620">
        <f t="shared" si="33"/>
      </c>
      <c r="AD38" s="566"/>
    </row>
    <row r="39" spans="1:30" s="554" customFormat="1" ht="16.5" customHeight="1">
      <c r="A39" s="553"/>
      <c r="B39" s="565"/>
      <c r="C39" s="648"/>
      <c r="D39" s="648"/>
      <c r="E39" s="648"/>
      <c r="F39" s="513"/>
      <c r="G39" s="512"/>
      <c r="H39" s="649"/>
      <c r="I39" s="650"/>
      <c r="J39" s="272">
        <f t="shared" si="17"/>
        <v>0</v>
      </c>
      <c r="K39" s="652"/>
      <c r="L39" s="652"/>
      <c r="M39" s="26">
        <f t="shared" si="18"/>
      </c>
      <c r="N39" s="27">
        <f t="shared" si="19"/>
      </c>
      <c r="O39" s="653"/>
      <c r="P39" s="25">
        <f t="shared" si="20"/>
      </c>
      <c r="Q39" s="715">
        <f t="shared" si="21"/>
      </c>
      <c r="R39" s="25">
        <f t="shared" si="22"/>
      </c>
      <c r="S39" s="342">
        <f t="shared" si="23"/>
        <v>3</v>
      </c>
      <c r="T39" s="716" t="str">
        <f t="shared" si="24"/>
        <v>--</v>
      </c>
      <c r="U39" s="717" t="str">
        <f t="shared" si="25"/>
        <v>--</v>
      </c>
      <c r="V39" s="361" t="str">
        <f t="shared" si="26"/>
        <v>--</v>
      </c>
      <c r="W39" s="362" t="str">
        <f t="shared" si="27"/>
        <v>--</v>
      </c>
      <c r="X39" s="370" t="str">
        <f t="shared" si="28"/>
        <v>--</v>
      </c>
      <c r="Y39" s="371" t="str">
        <f t="shared" si="29"/>
        <v>--</v>
      </c>
      <c r="Z39" s="376" t="str">
        <f t="shared" si="30"/>
        <v>--</v>
      </c>
      <c r="AA39" s="382" t="str">
        <f t="shared" si="31"/>
        <v>--</v>
      </c>
      <c r="AB39" s="25">
        <f t="shared" si="32"/>
      </c>
      <c r="AC39" s="620">
        <f t="shared" si="33"/>
      </c>
      <c r="AD39" s="566"/>
    </row>
    <row r="40" spans="1:30" s="554" customFormat="1" ht="16.5" customHeight="1">
      <c r="A40" s="553"/>
      <c r="B40" s="565"/>
      <c r="C40" s="648"/>
      <c r="D40" s="648"/>
      <c r="E40" s="648"/>
      <c r="F40" s="513"/>
      <c r="G40" s="512"/>
      <c r="H40" s="649"/>
      <c r="I40" s="650"/>
      <c r="J40" s="272">
        <f>H40*$I$18</f>
        <v>0</v>
      </c>
      <c r="K40" s="652"/>
      <c r="L40" s="652"/>
      <c r="M40" s="26">
        <f>IF(F40="","",(L40-K40)*24)</f>
      </c>
      <c r="N40" s="27">
        <f>IF(F40="","",ROUND((L40-K40)*24*60,0))</f>
      </c>
      <c r="O40" s="653"/>
      <c r="P40" s="25">
        <f t="shared" si="20"/>
      </c>
      <c r="Q40" s="715">
        <f t="shared" si="21"/>
      </c>
      <c r="R40" s="25">
        <f t="shared" si="22"/>
      </c>
      <c r="S40" s="342">
        <f>$I$19*IF(OR(O40="P",O40="RP"),0.1,1)*IF(R40="SI",1,0.1)</f>
        <v>3</v>
      </c>
      <c r="T40" s="716" t="str">
        <f>IF(O40="P",J40*S40*ROUND(N40/60,2),"--")</f>
        <v>--</v>
      </c>
      <c r="U40" s="717" t="str">
        <f>IF(O40="RP",J40*S40*ROUND(N40/60,2)*Q40/100,"--")</f>
        <v>--</v>
      </c>
      <c r="V40" s="361" t="str">
        <f>IF(AND(O40="F",P40="NO"),J40*S40,"--")</f>
        <v>--</v>
      </c>
      <c r="W40" s="362" t="str">
        <f>IF(O40="F",J40*S40*ROUND(N40/60,2),"--")</f>
        <v>--</v>
      </c>
      <c r="X40" s="370" t="str">
        <f>IF(AND(O40="R",P40="NO"),J40*S40*Q40/100,"--")</f>
        <v>--</v>
      </c>
      <c r="Y40" s="371" t="str">
        <f>IF(O40="R",J40*S40*ROUND(N40/60,2)*Q40/100,"--")</f>
        <v>--</v>
      </c>
      <c r="Z40" s="376" t="str">
        <f>IF(O40="RF",J40*S40*ROUND(N40/60,2),"--")</f>
        <v>--</v>
      </c>
      <c r="AA40" s="382" t="str">
        <f>IF(O40="RR",J40*S40*ROUND(N40/60,2)*Q40/100,"--")</f>
        <v>--</v>
      </c>
      <c r="AB40" s="25">
        <f>IF(F40="","","SI")</f>
      </c>
      <c r="AC40" s="620">
        <f>IF(F40="","",SUM(T40:AA40)*IF(AB40="SI",1,2))</f>
      </c>
      <c r="AD40" s="566"/>
    </row>
    <row r="41" spans="1:30" s="554" customFormat="1" ht="16.5" customHeight="1">
      <c r="A41" s="553"/>
      <c r="B41" s="565"/>
      <c r="C41" s="648"/>
      <c r="D41" s="648"/>
      <c r="E41" s="648"/>
      <c r="F41" s="513"/>
      <c r="G41" s="512"/>
      <c r="H41" s="649"/>
      <c r="I41" s="650"/>
      <c r="J41" s="272">
        <f>H41*$I$18</f>
        <v>0</v>
      </c>
      <c r="K41" s="652"/>
      <c r="L41" s="652"/>
      <c r="M41" s="26">
        <f>IF(F41="","",(L41-K41)*24)</f>
      </c>
      <c r="N41" s="27">
        <f>IF(F41="","",ROUND((L41-K41)*24*60,0))</f>
      </c>
      <c r="O41" s="653"/>
      <c r="P41" s="25">
        <f t="shared" si="20"/>
      </c>
      <c r="Q41" s="715">
        <f t="shared" si="21"/>
      </c>
      <c r="R41" s="25">
        <f t="shared" si="22"/>
      </c>
      <c r="S41" s="342">
        <f>$I$19*IF(OR(O41="P",O41="RP"),0.1,1)*IF(R41="SI",1,0.1)</f>
        <v>3</v>
      </c>
      <c r="T41" s="716" t="str">
        <f>IF(O41="P",J41*S41*ROUND(N41/60,2),"--")</f>
        <v>--</v>
      </c>
      <c r="U41" s="717" t="str">
        <f>IF(O41="RP",J41*S41*ROUND(N41/60,2)*Q41/100,"--")</f>
        <v>--</v>
      </c>
      <c r="V41" s="361" t="str">
        <f>IF(AND(O41="F",P41="NO"),J41*S41,"--")</f>
        <v>--</v>
      </c>
      <c r="W41" s="362" t="str">
        <f>IF(O41="F",J41*S41*ROUND(N41/60,2),"--")</f>
        <v>--</v>
      </c>
      <c r="X41" s="370" t="str">
        <f>IF(AND(O41="R",P41="NO"),J41*S41*Q41/100,"--")</f>
        <v>--</v>
      </c>
      <c r="Y41" s="371" t="str">
        <f>IF(O41="R",J41*S41*ROUND(N41/60,2)*Q41/100,"--")</f>
        <v>--</v>
      </c>
      <c r="Z41" s="376" t="str">
        <f>IF(O41="RF",J41*S41*ROUND(N41/60,2),"--")</f>
        <v>--</v>
      </c>
      <c r="AA41" s="382" t="str">
        <f>IF(O41="RR",J41*S41*ROUND(N41/60,2)*Q41/100,"--")</f>
        <v>--</v>
      </c>
      <c r="AB41" s="25">
        <f>IF(F41="","","SI")</f>
      </c>
      <c r="AC41" s="620">
        <f>IF(F41="","",SUM(T41:AA41)*IF(AB41="SI",1,2))</f>
      </c>
      <c r="AD41" s="566"/>
    </row>
    <row r="42" spans="1:30" s="554" customFormat="1" ht="16.5" customHeight="1">
      <c r="A42" s="553"/>
      <c r="B42" s="565"/>
      <c r="C42" s="648"/>
      <c r="D42" s="648"/>
      <c r="E42" s="648"/>
      <c r="F42" s="513"/>
      <c r="G42" s="512"/>
      <c r="H42" s="649"/>
      <c r="I42" s="650"/>
      <c r="J42" s="272">
        <f>H42*$I$18</f>
        <v>0</v>
      </c>
      <c r="K42" s="652"/>
      <c r="L42" s="652"/>
      <c r="M42" s="26">
        <f>IF(F42="","",(L42-K42)*24)</f>
      </c>
      <c r="N42" s="27">
        <f>IF(F42="","",ROUND((L42-K42)*24*60,0))</f>
      </c>
      <c r="O42" s="653"/>
      <c r="P42" s="25">
        <f t="shared" si="20"/>
      </c>
      <c r="Q42" s="715">
        <f t="shared" si="21"/>
      </c>
      <c r="R42" s="25">
        <f t="shared" si="22"/>
      </c>
      <c r="S42" s="342">
        <f>$I$19*IF(OR(O42="P",O42="RP"),0.1,1)*IF(R42="SI",1,0.1)</f>
        <v>3</v>
      </c>
      <c r="T42" s="716" t="str">
        <f>IF(O42="P",J42*S42*ROUND(N42/60,2),"--")</f>
        <v>--</v>
      </c>
      <c r="U42" s="717" t="str">
        <f>IF(O42="RP",J42*S42*ROUND(N42/60,2)*Q42/100,"--")</f>
        <v>--</v>
      </c>
      <c r="V42" s="361" t="str">
        <f>IF(AND(O42="F",P42="NO"),J42*S42,"--")</f>
        <v>--</v>
      </c>
      <c r="W42" s="362" t="str">
        <f>IF(O42="F",J42*S42*ROUND(N42/60,2),"--")</f>
        <v>--</v>
      </c>
      <c r="X42" s="370" t="str">
        <f>IF(AND(O42="R",P42="NO"),J42*S42*Q42/100,"--")</f>
        <v>--</v>
      </c>
      <c r="Y42" s="371" t="str">
        <f>IF(O42="R",J42*S42*ROUND(N42/60,2)*Q42/100,"--")</f>
        <v>--</v>
      </c>
      <c r="Z42" s="376" t="str">
        <f>IF(O42="RF",J42*S42*ROUND(N42/60,2),"--")</f>
        <v>--</v>
      </c>
      <c r="AA42" s="382" t="str">
        <f>IF(O42="RR",J42*S42*ROUND(N42/60,2)*Q42/100,"--")</f>
        <v>--</v>
      </c>
      <c r="AB42" s="25">
        <f>IF(F42="","","SI")</f>
      </c>
      <c r="AC42" s="620">
        <f>IF(F42="","",SUM(T42:AA42)*IF(AB42="SI",1,2))</f>
      </c>
      <c r="AD42" s="566"/>
    </row>
    <row r="43" spans="1:30" s="554" customFormat="1" ht="16.5" customHeight="1">
      <c r="A43" s="553"/>
      <c r="B43" s="565"/>
      <c r="C43" s="648"/>
      <c r="D43" s="648"/>
      <c r="E43" s="648"/>
      <c r="F43" s="513"/>
      <c r="G43" s="512"/>
      <c r="H43" s="649"/>
      <c r="I43" s="650"/>
      <c r="J43" s="272">
        <f>H43*$I$18</f>
        <v>0</v>
      </c>
      <c r="K43" s="652"/>
      <c r="L43" s="652"/>
      <c r="M43" s="26">
        <f>IF(F43="","",(L43-K43)*24)</f>
      </c>
      <c r="N43" s="27">
        <f>IF(F43="","",ROUND((L43-K43)*24*60,0))</f>
      </c>
      <c r="O43" s="653"/>
      <c r="P43" s="25">
        <f t="shared" si="20"/>
      </c>
      <c r="Q43" s="715">
        <f t="shared" si="21"/>
      </c>
      <c r="R43" s="25">
        <f t="shared" si="22"/>
      </c>
      <c r="S43" s="342">
        <f>$I$19*IF(OR(O43="P",O43="RP"),0.1,1)*IF(R43="SI",1,0.1)</f>
        <v>3</v>
      </c>
      <c r="T43" s="716" t="str">
        <f>IF(O43="P",J43*S43*ROUND(N43/60,2),"--")</f>
        <v>--</v>
      </c>
      <c r="U43" s="717" t="str">
        <f>IF(O43="RP",J43*S43*ROUND(N43/60,2)*Q43/100,"--")</f>
        <v>--</v>
      </c>
      <c r="V43" s="361" t="str">
        <f>IF(AND(O43="F",P43="NO"),J43*S43,"--")</f>
        <v>--</v>
      </c>
      <c r="W43" s="362" t="str">
        <f>IF(O43="F",J43*S43*ROUND(N43/60,2),"--")</f>
        <v>--</v>
      </c>
      <c r="X43" s="370" t="str">
        <f>IF(AND(O43="R",P43="NO"),J43*S43*Q43/100,"--")</f>
        <v>--</v>
      </c>
      <c r="Y43" s="371" t="str">
        <f>IF(O43="R",J43*S43*ROUND(N43/60,2)*Q43/100,"--")</f>
        <v>--</v>
      </c>
      <c r="Z43" s="376" t="str">
        <f>IF(O43="RF",J43*S43*ROUND(N43/60,2),"--")</f>
        <v>--</v>
      </c>
      <c r="AA43" s="382" t="str">
        <f>IF(O43="RR",J43*S43*ROUND(N43/60,2)*Q43/100,"--")</f>
        <v>--</v>
      </c>
      <c r="AB43" s="25">
        <f>IF(F43="","","SI")</f>
      </c>
      <c r="AC43" s="620">
        <f>IF(F43="","",SUM(T43:AA43)*IF(AB43="SI",1,2))</f>
      </c>
      <c r="AD43" s="566"/>
    </row>
    <row r="44" spans="1:30" s="554" customFormat="1" ht="16.5" customHeight="1" thickBot="1">
      <c r="A44" s="553"/>
      <c r="B44" s="565"/>
      <c r="C44" s="651"/>
      <c r="D44" s="651"/>
      <c r="E44" s="651"/>
      <c r="F44" s="651"/>
      <c r="G44" s="651"/>
      <c r="H44" s="651"/>
      <c r="I44" s="651"/>
      <c r="J44" s="623"/>
      <c r="K44" s="651"/>
      <c r="L44" s="651"/>
      <c r="M44" s="622"/>
      <c r="N44" s="622"/>
      <c r="O44" s="651"/>
      <c r="P44" s="651"/>
      <c r="Q44" s="651"/>
      <c r="R44" s="651"/>
      <c r="S44" s="654"/>
      <c r="T44" s="655"/>
      <c r="U44" s="656"/>
      <c r="V44" s="657"/>
      <c r="W44" s="658"/>
      <c r="X44" s="659"/>
      <c r="Y44" s="660"/>
      <c r="Z44" s="661"/>
      <c r="AA44" s="662"/>
      <c r="AB44" s="651"/>
      <c r="AC44" s="624"/>
      <c r="AD44" s="566"/>
    </row>
    <row r="45" spans="1:30" s="554" customFormat="1" ht="16.5" customHeight="1" thickBot="1" thickTop="1">
      <c r="A45" s="553"/>
      <c r="B45" s="565"/>
      <c r="C45" s="625" t="s">
        <v>64</v>
      </c>
      <c r="D45" s="734" t="s">
        <v>173</v>
      </c>
      <c r="E45" s="250"/>
      <c r="F45" s="245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626">
        <f aca="true" t="shared" si="34" ref="T45:AA45">SUM(T22:T44)</f>
        <v>50.816970000000005</v>
      </c>
      <c r="U45" s="627">
        <f t="shared" si="34"/>
        <v>0</v>
      </c>
      <c r="V45" s="628">
        <f t="shared" si="34"/>
        <v>0</v>
      </c>
      <c r="W45" s="628">
        <f t="shared" si="34"/>
        <v>0</v>
      </c>
      <c r="X45" s="629">
        <f t="shared" si="34"/>
        <v>0</v>
      </c>
      <c r="Y45" s="629">
        <f t="shared" si="34"/>
        <v>0</v>
      </c>
      <c r="Z45" s="630">
        <f t="shared" si="34"/>
        <v>0</v>
      </c>
      <c r="AA45" s="631">
        <f t="shared" si="34"/>
        <v>0</v>
      </c>
      <c r="AB45" s="632"/>
      <c r="AC45" s="633">
        <f>ROUND(SUM(AC22:AC44),2)</f>
        <v>50.82</v>
      </c>
      <c r="AD45" s="566"/>
    </row>
    <row r="46" spans="1:30" s="641" customFormat="1" ht="9.75" thickTop="1">
      <c r="A46" s="634"/>
      <c r="B46" s="635"/>
      <c r="C46" s="636"/>
      <c r="D46" s="636"/>
      <c r="E46" s="636"/>
      <c r="F46" s="247"/>
      <c r="G46" s="637"/>
      <c r="H46" s="637"/>
      <c r="I46" s="637"/>
      <c r="J46" s="637"/>
      <c r="K46" s="637"/>
      <c r="L46" s="637"/>
      <c r="M46" s="637"/>
      <c r="N46" s="637"/>
      <c r="O46" s="637"/>
      <c r="P46" s="637"/>
      <c r="Q46" s="637"/>
      <c r="R46" s="637"/>
      <c r="S46" s="637"/>
      <c r="T46" s="638"/>
      <c r="U46" s="638"/>
      <c r="V46" s="638"/>
      <c r="W46" s="638"/>
      <c r="X46" s="638"/>
      <c r="Y46" s="638"/>
      <c r="Z46" s="638"/>
      <c r="AA46" s="638"/>
      <c r="AB46" s="637"/>
      <c r="AC46" s="639"/>
      <c r="AD46" s="640"/>
    </row>
    <row r="47" spans="1:30" s="554" customFormat="1" ht="16.5" customHeight="1" thickBot="1">
      <c r="A47" s="553"/>
      <c r="B47" s="642"/>
      <c r="C47" s="643"/>
      <c r="D47" s="643"/>
      <c r="E47" s="643"/>
      <c r="F47" s="643"/>
      <c r="G47" s="643"/>
      <c r="H47" s="643"/>
      <c r="I47" s="643"/>
      <c r="J47" s="643"/>
      <c r="K47" s="643"/>
      <c r="L47" s="643"/>
      <c r="M47" s="643"/>
      <c r="N47" s="643"/>
      <c r="O47" s="643"/>
      <c r="P47" s="643"/>
      <c r="Q47" s="643"/>
      <c r="R47" s="643"/>
      <c r="S47" s="643"/>
      <c r="T47" s="643"/>
      <c r="U47" s="643"/>
      <c r="V47" s="643"/>
      <c r="W47" s="643"/>
      <c r="X47" s="643"/>
      <c r="Y47" s="643"/>
      <c r="Z47" s="643"/>
      <c r="AA47" s="643"/>
      <c r="AB47" s="643"/>
      <c r="AC47" s="643"/>
      <c r="AD47" s="644"/>
    </row>
    <row r="48" spans="2:30" ht="16.5" customHeight="1" thickTop="1">
      <c r="B48" s="646"/>
      <c r="C48" s="646"/>
      <c r="D48" s="646"/>
      <c r="E48" s="646"/>
      <c r="F48" s="646"/>
      <c r="G48" s="646"/>
      <c r="H48" s="646"/>
      <c r="I48" s="646"/>
      <c r="J48" s="646"/>
      <c r="K48" s="646"/>
      <c r="L48" s="646"/>
      <c r="M48" s="646"/>
      <c r="N48" s="646"/>
      <c r="O48" s="646"/>
      <c r="P48" s="646"/>
      <c r="Q48" s="646"/>
      <c r="R48" s="646"/>
      <c r="S48" s="646"/>
      <c r="T48" s="646"/>
      <c r="U48" s="646"/>
      <c r="V48" s="646"/>
      <c r="W48" s="646"/>
      <c r="X48" s="646"/>
      <c r="Y48" s="646"/>
      <c r="Z48" s="646"/>
      <c r="AA48" s="646"/>
      <c r="AB48" s="646"/>
      <c r="AC48" s="646"/>
      <c r="AD48" s="647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3" r:id="rId3"/>
  <headerFooter alignWithMargins="0">
    <oddFooter>&amp;L&amp;"Times New Roman,Normal"&amp;8&amp;Z&amp;F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AD48"/>
  <sheetViews>
    <sheetView zoomScale="70" zoomScaleNormal="70" zoomScalePageLayoutView="0" workbookViewId="0" topLeftCell="A1">
      <selection activeCell="I17" sqref="I17"/>
    </sheetView>
  </sheetViews>
  <sheetFormatPr defaultColWidth="11.421875" defaultRowHeight="12.75"/>
  <cols>
    <col min="1" max="2" width="4.00390625" style="0" customWidth="1"/>
    <col min="3" max="3" width="4.140625" style="0" customWidth="1"/>
    <col min="4" max="5" width="13.8515625" style="0" customWidth="1"/>
    <col min="6" max="7" width="25.7109375" style="0" customWidth="1"/>
    <col min="8" max="8" width="7.7109375" style="0" customWidth="1"/>
    <col min="9" max="9" width="12.7109375" style="0" customWidth="1"/>
    <col min="10" max="10" width="11.8515625" style="0" hidden="1" customWidth="1"/>
    <col min="11" max="12" width="15.7109375" style="0" customWidth="1"/>
    <col min="13" max="15" width="9.7109375" style="0" customWidth="1"/>
    <col min="16" max="16" width="5.8515625" style="0" customWidth="1"/>
    <col min="17" max="18" width="7.00390625" style="0" customWidth="1"/>
    <col min="19" max="19" width="11.7109375" style="0" hidden="1" customWidth="1"/>
    <col min="20" max="21" width="14.00390625" style="0" hidden="1" customWidth="1"/>
    <col min="22" max="22" width="14.28125" style="0" hidden="1" customWidth="1"/>
    <col min="23" max="27" width="14.140625" style="0" hidden="1" customWidth="1"/>
    <col min="28" max="28" width="9.00390625" style="0" customWidth="1"/>
    <col min="29" max="29" width="15.7109375" style="0" customWidth="1"/>
    <col min="30" max="30" width="4.00390625" style="0" customWidth="1"/>
  </cols>
  <sheetData>
    <row r="1" spans="5:30" s="109" customFormat="1" ht="26.25"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507"/>
    </row>
    <row r="2" spans="2:30" s="109" customFormat="1" ht="26.25">
      <c r="B2" s="110" t="str">
        <f>+'TOT-0814'!B2</f>
        <v>ANEXO II al Memorándum  D.T.E.E.  N°  301 /2016              .-</v>
      </c>
      <c r="C2" s="111"/>
      <c r="D2" s="111"/>
      <c r="E2" s="171"/>
      <c r="F2" s="171"/>
      <c r="G2" s="110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</row>
    <row r="3" spans="5:30" s="10" customFormat="1" ht="12.75"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</row>
    <row r="4" spans="1:30" s="112" customFormat="1" ht="11.25">
      <c r="A4" s="701" t="s">
        <v>16</v>
      </c>
      <c r="C4" s="700"/>
      <c r="D4" s="700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</row>
    <row r="5" spans="1:30" s="112" customFormat="1" ht="11.25">
      <c r="A5" s="701" t="s">
        <v>145</v>
      </c>
      <c r="C5" s="700"/>
      <c r="D5" s="700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</row>
    <row r="6" spans="1:30" s="10" customFormat="1" ht="13.5" thickBot="1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</row>
    <row r="7" spans="1:30" s="10" customFormat="1" ht="13.5" thickTop="1">
      <c r="A7" s="169"/>
      <c r="B7" s="172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4"/>
    </row>
    <row r="8" spans="1:30" s="114" customFormat="1" ht="20.25">
      <c r="A8" s="189"/>
      <c r="B8" s="190"/>
      <c r="C8" s="177"/>
      <c r="D8" s="177"/>
      <c r="E8" s="177"/>
      <c r="F8" s="21" t="s">
        <v>40</v>
      </c>
      <c r="H8" s="177"/>
      <c r="I8" s="189"/>
      <c r="J8" s="189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91"/>
    </row>
    <row r="9" spans="1:30" s="114" customFormat="1" ht="7.5" customHeight="1">
      <c r="A9" s="189"/>
      <c r="B9" s="190"/>
      <c r="C9" s="177"/>
      <c r="D9" s="177"/>
      <c r="E9" s="177"/>
      <c r="F9" s="21"/>
      <c r="H9" s="177"/>
      <c r="I9" s="189"/>
      <c r="J9" s="189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91"/>
    </row>
    <row r="10" spans="1:30" s="10" customFormat="1" ht="7.5" customHeight="1">
      <c r="A10" s="169"/>
      <c r="B10" s="175"/>
      <c r="C10" s="30"/>
      <c r="D10" s="30"/>
      <c r="E10" s="30"/>
      <c r="F10" s="30"/>
      <c r="G10" s="30"/>
      <c r="H10" s="30"/>
      <c r="I10" s="169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8"/>
    </row>
    <row r="11" spans="1:30" s="114" customFormat="1" ht="20.25">
      <c r="A11" s="189"/>
      <c r="B11" s="190"/>
      <c r="C11" s="177"/>
      <c r="D11" s="177"/>
      <c r="E11" s="177"/>
      <c r="F11" s="219" t="s">
        <v>81</v>
      </c>
      <c r="G11" s="177"/>
      <c r="H11" s="177"/>
      <c r="I11" s="189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91"/>
    </row>
    <row r="12" spans="1:30" s="114" customFormat="1" ht="8.25" customHeight="1">
      <c r="A12" s="189"/>
      <c r="B12" s="190"/>
      <c r="C12" s="177"/>
      <c r="D12" s="177"/>
      <c r="E12" s="177"/>
      <c r="F12" s="219"/>
      <c r="G12" s="177"/>
      <c r="H12" s="177"/>
      <c r="I12" s="189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91"/>
    </row>
    <row r="13" spans="1:30" s="10" customFormat="1" ht="8.25" customHeight="1">
      <c r="A13" s="169"/>
      <c r="B13" s="175"/>
      <c r="C13" s="30"/>
      <c r="D13" s="30"/>
      <c r="E13" s="30"/>
      <c r="F13" s="123"/>
      <c r="G13" s="179"/>
      <c r="H13" s="179"/>
      <c r="I13" s="180"/>
      <c r="J13" s="178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8"/>
    </row>
    <row r="14" spans="1:30" s="121" customFormat="1" ht="19.5">
      <c r="A14" s="195"/>
      <c r="B14" s="87" t="str">
        <f>+'TOT-0814'!B14</f>
        <v>Desde el 01 al 31 de agosto de 2014</v>
      </c>
      <c r="C14" s="196"/>
      <c r="D14" s="196"/>
      <c r="E14" s="196"/>
      <c r="F14" s="196"/>
      <c r="G14" s="196"/>
      <c r="H14" s="196"/>
      <c r="I14" s="197"/>
      <c r="J14" s="196"/>
      <c r="K14" s="118"/>
      <c r="L14" s="118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8"/>
    </row>
    <row r="15" spans="1:30" s="95" customFormat="1" ht="8.25" customHeight="1">
      <c r="A15" s="91"/>
      <c r="B15" s="92"/>
      <c r="C15" s="91"/>
      <c r="D15" s="91"/>
      <c r="E15" s="91"/>
      <c r="F15" s="690"/>
      <c r="G15" s="691"/>
      <c r="H15" s="692"/>
      <c r="I15" s="91"/>
      <c r="K15" s="97"/>
      <c r="L15" s="98"/>
      <c r="M15" s="239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4"/>
    </row>
    <row r="16" spans="1:30" s="10" customFormat="1" ht="8.25" customHeight="1" thickBot="1">
      <c r="A16" s="169"/>
      <c r="B16" s="175"/>
      <c r="C16" s="30"/>
      <c r="D16" s="30"/>
      <c r="E16" s="30"/>
      <c r="F16" s="30"/>
      <c r="G16" s="30"/>
      <c r="H16" s="30"/>
      <c r="I16" s="74"/>
      <c r="J16" s="30"/>
      <c r="K16" s="186"/>
      <c r="L16" s="187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8"/>
    </row>
    <row r="17" spans="1:30" s="10" customFormat="1" ht="16.5" customHeight="1" thickBot="1" thickTop="1">
      <c r="A17" s="169"/>
      <c r="B17" s="175"/>
      <c r="C17" s="30"/>
      <c r="D17" s="30"/>
      <c r="E17" s="30"/>
      <c r="F17" s="199" t="s">
        <v>68</v>
      </c>
      <c r="G17" s="200"/>
      <c r="H17" s="201"/>
      <c r="I17" s="202">
        <v>0.243</v>
      </c>
      <c r="J17" s="169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8"/>
    </row>
    <row r="18" spans="1:30" s="10" customFormat="1" ht="16.5" customHeight="1" thickBot="1" thickTop="1">
      <c r="A18" s="169"/>
      <c r="B18" s="175"/>
      <c r="C18" s="30"/>
      <c r="D18" s="30"/>
      <c r="E18" s="30"/>
      <c r="F18" s="203" t="s">
        <v>69</v>
      </c>
      <c r="G18" s="204"/>
      <c r="H18" s="204"/>
      <c r="I18" s="205">
        <f>30*'TOT-0814'!B13</f>
        <v>30</v>
      </c>
      <c r="J18" s="30"/>
      <c r="K18" s="239" t="str">
        <f>IF(I18=30," ",IF(I18=60,"Coeficiente duplicado por tasa de falla &gt;4 Sal. x año/100 km.","REVISAR COEFICIENTE"))</f>
        <v> </v>
      </c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181"/>
      <c r="X18" s="181"/>
      <c r="Y18" s="181"/>
      <c r="Z18" s="181"/>
      <c r="AA18" s="181"/>
      <c r="AB18" s="181"/>
      <c r="AC18" s="181"/>
      <c r="AD18" s="38"/>
    </row>
    <row r="19" spans="1:30" s="95" customFormat="1" ht="8.25" customHeight="1" thickTop="1">
      <c r="A19" s="91"/>
      <c r="B19" s="92"/>
      <c r="C19" s="91"/>
      <c r="D19" s="91"/>
      <c r="E19" s="91"/>
      <c r="F19" s="690"/>
      <c r="G19" s="691"/>
      <c r="H19" s="692"/>
      <c r="I19" s="91"/>
      <c r="K19" s="97"/>
      <c r="L19" s="98"/>
      <c r="M19" s="239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4"/>
    </row>
    <row r="20" spans="1:30" s="724" customFormat="1" ht="15" customHeight="1" thickBot="1">
      <c r="A20" s="730"/>
      <c r="B20" s="731"/>
      <c r="C20" s="732">
        <v>3</v>
      </c>
      <c r="D20" s="732">
        <v>4</v>
      </c>
      <c r="E20" s="732">
        <v>5</v>
      </c>
      <c r="F20" s="732">
        <v>6</v>
      </c>
      <c r="G20" s="732">
        <v>7</v>
      </c>
      <c r="H20" s="732">
        <v>8</v>
      </c>
      <c r="I20" s="732">
        <v>9</v>
      </c>
      <c r="J20" s="732">
        <v>10</v>
      </c>
      <c r="K20" s="732">
        <v>11</v>
      </c>
      <c r="L20" s="732">
        <v>12</v>
      </c>
      <c r="M20" s="732">
        <v>13</v>
      </c>
      <c r="N20" s="732">
        <v>14</v>
      </c>
      <c r="O20" s="732">
        <v>15</v>
      </c>
      <c r="P20" s="732">
        <v>16</v>
      </c>
      <c r="Q20" s="732">
        <v>17</v>
      </c>
      <c r="R20" s="732">
        <v>18</v>
      </c>
      <c r="S20" s="732">
        <v>19</v>
      </c>
      <c r="T20" s="732">
        <v>20</v>
      </c>
      <c r="U20" s="732">
        <v>21</v>
      </c>
      <c r="V20" s="732">
        <v>22</v>
      </c>
      <c r="W20" s="732">
        <v>23</v>
      </c>
      <c r="X20" s="732">
        <v>24</v>
      </c>
      <c r="Y20" s="732">
        <v>25</v>
      </c>
      <c r="Z20" s="732">
        <v>26</v>
      </c>
      <c r="AA20" s="732">
        <v>27</v>
      </c>
      <c r="AB20" s="732">
        <v>28</v>
      </c>
      <c r="AC20" s="732">
        <v>29</v>
      </c>
      <c r="AD20" s="733"/>
    </row>
    <row r="21" spans="1:30" s="108" customFormat="1" ht="33.75" customHeight="1" thickBot="1" thickTop="1">
      <c r="A21" s="206"/>
      <c r="B21" s="207"/>
      <c r="C21" s="209" t="s">
        <v>46</v>
      </c>
      <c r="D21" s="101" t="s">
        <v>144</v>
      </c>
      <c r="E21" s="101" t="s">
        <v>143</v>
      </c>
      <c r="F21" s="214" t="s">
        <v>70</v>
      </c>
      <c r="G21" s="210" t="s">
        <v>14</v>
      </c>
      <c r="H21" s="211" t="s">
        <v>71</v>
      </c>
      <c r="I21" s="212" t="s">
        <v>47</v>
      </c>
      <c r="J21" s="269" t="s">
        <v>49</v>
      </c>
      <c r="K21" s="213" t="s">
        <v>72</v>
      </c>
      <c r="L21" s="213" t="s">
        <v>73</v>
      </c>
      <c r="M21" s="214" t="s">
        <v>74</v>
      </c>
      <c r="N21" s="214" t="s">
        <v>75</v>
      </c>
      <c r="O21" s="105" t="s">
        <v>54</v>
      </c>
      <c r="P21" s="215" t="s">
        <v>76</v>
      </c>
      <c r="Q21" s="214" t="s">
        <v>77</v>
      </c>
      <c r="R21" s="210" t="s">
        <v>78</v>
      </c>
      <c r="S21" s="339" t="s">
        <v>79</v>
      </c>
      <c r="T21" s="325" t="s">
        <v>56</v>
      </c>
      <c r="U21" s="349" t="s">
        <v>57</v>
      </c>
      <c r="V21" s="355" t="s">
        <v>80</v>
      </c>
      <c r="W21" s="356"/>
      <c r="X21" s="364" t="s">
        <v>80</v>
      </c>
      <c r="Y21" s="365"/>
      <c r="Z21" s="373" t="s">
        <v>60</v>
      </c>
      <c r="AA21" s="379" t="s">
        <v>61</v>
      </c>
      <c r="AB21" s="212" t="s">
        <v>62</v>
      </c>
      <c r="AC21" s="212" t="s">
        <v>63</v>
      </c>
      <c r="AD21" s="208"/>
    </row>
    <row r="22" spans="1:30" s="10" customFormat="1" ht="16.5" customHeight="1" thickTop="1">
      <c r="A22" s="169"/>
      <c r="B22" s="175"/>
      <c r="C22" s="18"/>
      <c r="D22" s="18"/>
      <c r="E22" s="18"/>
      <c r="F22" s="23"/>
      <c r="G22" s="23"/>
      <c r="H22" s="23"/>
      <c r="I22" s="23"/>
      <c r="J22" s="274"/>
      <c r="K22" s="24"/>
      <c r="L22" s="23"/>
      <c r="M22" s="24"/>
      <c r="N22" s="24"/>
      <c r="O22" s="23"/>
      <c r="P22" s="23"/>
      <c r="Q22" s="23"/>
      <c r="R22" s="23"/>
      <c r="S22" s="340"/>
      <c r="T22" s="344"/>
      <c r="U22" s="350"/>
      <c r="V22" s="357"/>
      <c r="W22" s="358"/>
      <c r="X22" s="366"/>
      <c r="Y22" s="367"/>
      <c r="Z22" s="374"/>
      <c r="AA22" s="380"/>
      <c r="AB22" s="23"/>
      <c r="AC22" s="62"/>
      <c r="AD22" s="38"/>
    </row>
    <row r="23" spans="1:30" s="10" customFormat="1" ht="16.5" customHeight="1">
      <c r="A23" s="169"/>
      <c r="B23" s="175"/>
      <c r="C23" s="18"/>
      <c r="D23" s="18"/>
      <c r="E23" s="18"/>
      <c r="F23" s="19"/>
      <c r="G23" s="19"/>
      <c r="H23" s="19"/>
      <c r="I23" s="19"/>
      <c r="J23" s="275"/>
      <c r="K23" s="20"/>
      <c r="L23" s="19"/>
      <c r="M23" s="20"/>
      <c r="N23" s="20"/>
      <c r="O23" s="19"/>
      <c r="P23" s="19"/>
      <c r="Q23" s="19"/>
      <c r="R23" s="19"/>
      <c r="S23" s="341"/>
      <c r="T23" s="345"/>
      <c r="U23" s="351"/>
      <c r="V23" s="359"/>
      <c r="W23" s="360"/>
      <c r="X23" s="368"/>
      <c r="Y23" s="369"/>
      <c r="Z23" s="375"/>
      <c r="AA23" s="381"/>
      <c r="AB23" s="19"/>
      <c r="AC23" s="217"/>
      <c r="AD23" s="38"/>
    </row>
    <row r="24" spans="1:30" s="10" customFormat="1" ht="16.5" customHeight="1">
      <c r="A24" s="169"/>
      <c r="B24" s="175"/>
      <c r="C24" s="648">
        <v>11</v>
      </c>
      <c r="D24" s="648">
        <v>278216</v>
      </c>
      <c r="E24" s="648">
        <v>1812</v>
      </c>
      <c r="F24" s="513" t="s">
        <v>13</v>
      </c>
      <c r="G24" s="512" t="s">
        <v>161</v>
      </c>
      <c r="H24" s="649">
        <v>15</v>
      </c>
      <c r="I24" s="695" t="s">
        <v>158</v>
      </c>
      <c r="J24" s="272">
        <f aca="true" t="shared" si="0" ref="J24:J43">H24*$I$17</f>
        <v>3.645</v>
      </c>
      <c r="K24" s="652">
        <v>41869.74097222222</v>
      </c>
      <c r="L24" s="652">
        <v>41869.83263888889</v>
      </c>
      <c r="M24" s="26">
        <f aca="true" t="shared" si="1" ref="M24:M43">IF(F24="","",(L24-K24)*24)</f>
        <v>2.2000000000116415</v>
      </c>
      <c r="N24" s="27">
        <f aca="true" t="shared" si="2" ref="N24:N43">IF(F24="","",ROUND((L24-K24)*24*60,0))</f>
        <v>132</v>
      </c>
      <c r="O24" s="653" t="s">
        <v>155</v>
      </c>
      <c r="P24" s="25" t="str">
        <f>IF(F24="","",IF(OR(O24="P",O24="RP"),"--","NO"))</f>
        <v>NO</v>
      </c>
      <c r="Q24" s="715" t="str">
        <f aca="true" t="shared" si="3" ref="Q24:Q43">IF(F24="","","--")</f>
        <v>--</v>
      </c>
      <c r="R24" s="25" t="s">
        <v>151</v>
      </c>
      <c r="S24" s="342">
        <f aca="true" t="shared" si="4" ref="S24:S43">$I$18*IF(OR(O24="P",O24="RP"),0.1,1)*IF(R24="SI",1,0.1)</f>
        <v>30</v>
      </c>
      <c r="T24" s="346" t="str">
        <f aca="true" t="shared" si="5" ref="T24:T43">IF(O24="P",J24*S24*ROUND(N24/60,2),"--")</f>
        <v>--</v>
      </c>
      <c r="U24" s="352" t="str">
        <f aca="true" t="shared" si="6" ref="U24:U43">IF(O24="RP",J24*S24*ROUND(N24/60,2)*Q24/100,"--")</f>
        <v>--</v>
      </c>
      <c r="V24" s="361">
        <f aca="true" t="shared" si="7" ref="V24:V43">IF(AND(O24="F",P24="NO"),J24*S24,"--")</f>
        <v>109.35</v>
      </c>
      <c r="W24" s="362">
        <f aca="true" t="shared" si="8" ref="W24:W43">IF(O24="F",J24*S24*ROUND(N24/60,2),"--")</f>
        <v>240.57</v>
      </c>
      <c r="X24" s="370" t="str">
        <f aca="true" t="shared" si="9" ref="X24:X43">IF(AND(O24="R",P24="NO"),J24*S24*Q24/100,"--")</f>
        <v>--</v>
      </c>
      <c r="Y24" s="371" t="str">
        <f aca="true" t="shared" si="10" ref="Y24:Y43">IF(O24="R",J24*S24*ROUND(N24/60,2)*Q24/100,"--")</f>
        <v>--</v>
      </c>
      <c r="Z24" s="376" t="str">
        <f aca="true" t="shared" si="11" ref="Z24:Z43">IF(O24="RF",J24*S24*ROUND(N24/60,2),"--")</f>
        <v>--</v>
      </c>
      <c r="AA24" s="382" t="str">
        <f aca="true" t="shared" si="12" ref="AA24:AA43">IF(O24="RR",J24*S24*ROUND(N24/60,2)*Q24/100,"--")</f>
        <v>--</v>
      </c>
      <c r="AB24" s="25" t="str">
        <f aca="true" t="shared" si="13" ref="AB24:AB43">IF(F24="","","SI")</f>
        <v>SI</v>
      </c>
      <c r="AC24" s="63">
        <f aca="true" t="shared" si="14" ref="AC24:AC43">IF(F24="","",SUM(T24:AA24)*IF(AB24="SI",1,2))</f>
        <v>349.91999999999996</v>
      </c>
      <c r="AD24" s="409"/>
    </row>
    <row r="25" spans="1:30" s="10" customFormat="1" ht="16.5" customHeight="1">
      <c r="A25" s="169"/>
      <c r="B25" s="175"/>
      <c r="C25" s="648">
        <v>12</v>
      </c>
      <c r="D25" s="648">
        <v>278217</v>
      </c>
      <c r="E25" s="648">
        <v>1813</v>
      </c>
      <c r="F25" s="513" t="s">
        <v>13</v>
      </c>
      <c r="G25" s="512" t="s">
        <v>166</v>
      </c>
      <c r="H25" s="649">
        <v>15</v>
      </c>
      <c r="I25" s="695" t="s">
        <v>158</v>
      </c>
      <c r="J25" s="272">
        <f t="shared" si="0"/>
        <v>3.645</v>
      </c>
      <c r="K25" s="652">
        <v>41869.74097222222</v>
      </c>
      <c r="L25" s="652">
        <v>41869.77638888889</v>
      </c>
      <c r="M25" s="26">
        <f t="shared" si="1"/>
        <v>0.8499999999767169</v>
      </c>
      <c r="N25" s="27">
        <f t="shared" si="2"/>
        <v>51</v>
      </c>
      <c r="O25" s="653" t="s">
        <v>155</v>
      </c>
      <c r="P25" s="25" t="str">
        <f aca="true" t="shared" si="15" ref="P25:P43">IF(F25="","",IF(OR(O25="P",O25="RP"),"--","NO"))</f>
        <v>NO</v>
      </c>
      <c r="Q25" s="715" t="str">
        <f t="shared" si="3"/>
        <v>--</v>
      </c>
      <c r="R25" s="25" t="s">
        <v>151</v>
      </c>
      <c r="S25" s="342">
        <f t="shared" si="4"/>
        <v>30</v>
      </c>
      <c r="T25" s="346" t="str">
        <f t="shared" si="5"/>
        <v>--</v>
      </c>
      <c r="U25" s="352" t="str">
        <f t="shared" si="6"/>
        <v>--</v>
      </c>
      <c r="V25" s="361">
        <f t="shared" si="7"/>
        <v>109.35</v>
      </c>
      <c r="W25" s="362">
        <f t="shared" si="8"/>
        <v>92.94749999999999</v>
      </c>
      <c r="X25" s="370" t="str">
        <f t="shared" si="9"/>
        <v>--</v>
      </c>
      <c r="Y25" s="371" t="str">
        <f t="shared" si="10"/>
        <v>--</v>
      </c>
      <c r="Z25" s="376" t="str">
        <f t="shared" si="11"/>
        <v>--</v>
      </c>
      <c r="AA25" s="382" t="str">
        <f t="shared" si="12"/>
        <v>--</v>
      </c>
      <c r="AB25" s="25" t="str">
        <f t="shared" si="13"/>
        <v>SI</v>
      </c>
      <c r="AC25" s="63">
        <f t="shared" si="14"/>
        <v>202.29749999999999</v>
      </c>
      <c r="AD25" s="409"/>
    </row>
    <row r="26" spans="1:30" s="10" customFormat="1" ht="16.5" customHeight="1">
      <c r="A26" s="169"/>
      <c r="B26" s="175"/>
      <c r="C26" s="648">
        <v>13</v>
      </c>
      <c r="D26" s="648">
        <v>278218</v>
      </c>
      <c r="E26" s="648">
        <v>1813</v>
      </c>
      <c r="F26" s="513" t="s">
        <v>13</v>
      </c>
      <c r="G26" s="512" t="s">
        <v>166</v>
      </c>
      <c r="H26" s="649">
        <v>15</v>
      </c>
      <c r="I26" s="695" t="s">
        <v>158</v>
      </c>
      <c r="J26" s="272">
        <f t="shared" si="0"/>
        <v>3.645</v>
      </c>
      <c r="K26" s="652">
        <v>41869.77777777778</v>
      </c>
      <c r="L26" s="652">
        <v>41869.77916666667</v>
      </c>
      <c r="M26" s="26">
        <f t="shared" si="1"/>
        <v>0.03333333326736465</v>
      </c>
      <c r="N26" s="27">
        <f t="shared" si="2"/>
        <v>2</v>
      </c>
      <c r="O26" s="653" t="s">
        <v>155</v>
      </c>
      <c r="P26" s="25" t="str">
        <f t="shared" si="15"/>
        <v>NO</v>
      </c>
      <c r="Q26" s="715" t="str">
        <f t="shared" si="3"/>
        <v>--</v>
      </c>
      <c r="R26" s="25" t="s">
        <v>151</v>
      </c>
      <c r="S26" s="342">
        <f t="shared" si="4"/>
        <v>30</v>
      </c>
      <c r="T26" s="346" t="str">
        <f t="shared" si="5"/>
        <v>--</v>
      </c>
      <c r="U26" s="352" t="str">
        <f t="shared" si="6"/>
        <v>--</v>
      </c>
      <c r="V26" s="361">
        <f t="shared" si="7"/>
        <v>109.35</v>
      </c>
      <c r="W26" s="362">
        <f t="shared" si="8"/>
        <v>3.2804999999999995</v>
      </c>
      <c r="X26" s="370" t="str">
        <f t="shared" si="9"/>
        <v>--</v>
      </c>
      <c r="Y26" s="371" t="str">
        <f t="shared" si="10"/>
        <v>--</v>
      </c>
      <c r="Z26" s="376" t="str">
        <f t="shared" si="11"/>
        <v>--</v>
      </c>
      <c r="AA26" s="382" t="str">
        <f t="shared" si="12"/>
        <v>--</v>
      </c>
      <c r="AB26" s="25" t="str">
        <f t="shared" si="13"/>
        <v>SI</v>
      </c>
      <c r="AC26" s="63">
        <f t="shared" si="14"/>
        <v>112.6305</v>
      </c>
      <c r="AD26" s="409"/>
    </row>
    <row r="27" spans="1:30" s="10" customFormat="1" ht="16.5" customHeight="1">
      <c r="A27" s="169"/>
      <c r="B27" s="175"/>
      <c r="C27" s="648">
        <v>14</v>
      </c>
      <c r="D27" s="648">
        <v>278219</v>
      </c>
      <c r="E27" s="648">
        <v>1813</v>
      </c>
      <c r="F27" s="513" t="s">
        <v>13</v>
      </c>
      <c r="G27" s="512" t="s">
        <v>166</v>
      </c>
      <c r="H27" s="649">
        <v>15</v>
      </c>
      <c r="I27" s="695" t="s">
        <v>158</v>
      </c>
      <c r="J27" s="272">
        <f t="shared" si="0"/>
        <v>3.645</v>
      </c>
      <c r="K27" s="652">
        <v>41869.805555555555</v>
      </c>
      <c r="L27" s="652">
        <v>41869.80694444444</v>
      </c>
      <c r="M27" s="26">
        <f t="shared" si="1"/>
        <v>0.03333333326736465</v>
      </c>
      <c r="N27" s="27">
        <f t="shared" si="2"/>
        <v>2</v>
      </c>
      <c r="O27" s="653" t="s">
        <v>155</v>
      </c>
      <c r="P27" s="25" t="str">
        <f t="shared" si="15"/>
        <v>NO</v>
      </c>
      <c r="Q27" s="715" t="str">
        <f t="shared" si="3"/>
        <v>--</v>
      </c>
      <c r="R27" s="25" t="s">
        <v>151</v>
      </c>
      <c r="S27" s="342">
        <f t="shared" si="4"/>
        <v>30</v>
      </c>
      <c r="T27" s="346" t="str">
        <f t="shared" si="5"/>
        <v>--</v>
      </c>
      <c r="U27" s="352" t="str">
        <f t="shared" si="6"/>
        <v>--</v>
      </c>
      <c r="V27" s="361">
        <f t="shared" si="7"/>
        <v>109.35</v>
      </c>
      <c r="W27" s="362">
        <f t="shared" si="8"/>
        <v>3.2804999999999995</v>
      </c>
      <c r="X27" s="370" t="str">
        <f t="shared" si="9"/>
        <v>--</v>
      </c>
      <c r="Y27" s="371" t="str">
        <f t="shared" si="10"/>
        <v>--</v>
      </c>
      <c r="Z27" s="376" t="str">
        <f t="shared" si="11"/>
        <v>--</v>
      </c>
      <c r="AA27" s="382" t="str">
        <f t="shared" si="12"/>
        <v>--</v>
      </c>
      <c r="AB27" s="25" t="str">
        <f t="shared" si="13"/>
        <v>SI</v>
      </c>
      <c r="AC27" s="63">
        <f t="shared" si="14"/>
        <v>112.6305</v>
      </c>
      <c r="AD27" s="409"/>
    </row>
    <row r="28" spans="1:30" s="10" customFormat="1" ht="16.5" customHeight="1">
      <c r="A28" s="169"/>
      <c r="B28" s="175"/>
      <c r="C28" s="648">
        <v>15</v>
      </c>
      <c r="D28" s="648">
        <v>278220</v>
      </c>
      <c r="E28" s="648">
        <v>1813</v>
      </c>
      <c r="F28" s="513" t="s">
        <v>13</v>
      </c>
      <c r="G28" s="512" t="s">
        <v>166</v>
      </c>
      <c r="H28" s="649">
        <v>15</v>
      </c>
      <c r="I28" s="695" t="s">
        <v>158</v>
      </c>
      <c r="J28" s="272">
        <f t="shared" si="0"/>
        <v>3.645</v>
      </c>
      <c r="K28" s="652">
        <v>41869.81875</v>
      </c>
      <c r="L28" s="652">
        <v>41869.82083333333</v>
      </c>
      <c r="M28" s="26">
        <f t="shared" si="1"/>
        <v>0.04999999998835847</v>
      </c>
      <c r="N28" s="27">
        <f t="shared" si="2"/>
        <v>3</v>
      </c>
      <c r="O28" s="653" t="s">
        <v>155</v>
      </c>
      <c r="P28" s="25" t="str">
        <f t="shared" si="15"/>
        <v>NO</v>
      </c>
      <c r="Q28" s="715" t="str">
        <f t="shared" si="3"/>
        <v>--</v>
      </c>
      <c r="R28" s="25" t="s">
        <v>151</v>
      </c>
      <c r="S28" s="342">
        <f t="shared" si="4"/>
        <v>30</v>
      </c>
      <c r="T28" s="346" t="str">
        <f t="shared" si="5"/>
        <v>--</v>
      </c>
      <c r="U28" s="352" t="str">
        <f t="shared" si="6"/>
        <v>--</v>
      </c>
      <c r="V28" s="361">
        <f t="shared" si="7"/>
        <v>109.35</v>
      </c>
      <c r="W28" s="362">
        <f t="shared" si="8"/>
        <v>5.4675</v>
      </c>
      <c r="X28" s="370" t="str">
        <f t="shared" si="9"/>
        <v>--</v>
      </c>
      <c r="Y28" s="371" t="str">
        <f t="shared" si="10"/>
        <v>--</v>
      </c>
      <c r="Z28" s="376" t="str">
        <f t="shared" si="11"/>
        <v>--</v>
      </c>
      <c r="AA28" s="382" t="str">
        <f t="shared" si="12"/>
        <v>--</v>
      </c>
      <c r="AB28" s="25" t="str">
        <f t="shared" si="13"/>
        <v>SI</v>
      </c>
      <c r="AC28" s="63">
        <f t="shared" si="14"/>
        <v>114.8175</v>
      </c>
      <c r="AD28" s="409"/>
    </row>
    <row r="29" spans="1:30" s="10" customFormat="1" ht="16.5" customHeight="1">
      <c r="A29" s="169"/>
      <c r="B29" s="175"/>
      <c r="C29" s="648">
        <v>16</v>
      </c>
      <c r="D29" s="648">
        <v>278221</v>
      </c>
      <c r="E29" s="648">
        <v>1813</v>
      </c>
      <c r="F29" s="513" t="s">
        <v>13</v>
      </c>
      <c r="G29" s="512" t="s">
        <v>166</v>
      </c>
      <c r="H29" s="649">
        <v>15</v>
      </c>
      <c r="I29" s="695" t="s">
        <v>158</v>
      </c>
      <c r="J29" s="272">
        <f t="shared" si="0"/>
        <v>3.645</v>
      </c>
      <c r="K29" s="652">
        <v>41869.833333333336</v>
      </c>
      <c r="L29" s="652">
        <v>41869.86944444444</v>
      </c>
      <c r="M29" s="26">
        <f t="shared" si="1"/>
        <v>0.8666666665230878</v>
      </c>
      <c r="N29" s="27">
        <f t="shared" si="2"/>
        <v>52</v>
      </c>
      <c r="O29" s="653" t="s">
        <v>155</v>
      </c>
      <c r="P29" s="25" t="str">
        <f t="shared" si="15"/>
        <v>NO</v>
      </c>
      <c r="Q29" s="715" t="str">
        <f t="shared" si="3"/>
        <v>--</v>
      </c>
      <c r="R29" s="25" t="s">
        <v>151</v>
      </c>
      <c r="S29" s="342">
        <f t="shared" si="4"/>
        <v>30</v>
      </c>
      <c r="T29" s="346" t="str">
        <f t="shared" si="5"/>
        <v>--</v>
      </c>
      <c r="U29" s="352" t="str">
        <f t="shared" si="6"/>
        <v>--</v>
      </c>
      <c r="V29" s="361">
        <f t="shared" si="7"/>
        <v>109.35</v>
      </c>
      <c r="W29" s="362">
        <f t="shared" si="8"/>
        <v>95.13449999999999</v>
      </c>
      <c r="X29" s="370" t="str">
        <f t="shared" si="9"/>
        <v>--</v>
      </c>
      <c r="Y29" s="371" t="str">
        <f t="shared" si="10"/>
        <v>--</v>
      </c>
      <c r="Z29" s="376" t="str">
        <f t="shared" si="11"/>
        <v>--</v>
      </c>
      <c r="AA29" s="382" t="str">
        <f t="shared" si="12"/>
        <v>--</v>
      </c>
      <c r="AB29" s="25" t="str">
        <f t="shared" si="13"/>
        <v>SI</v>
      </c>
      <c r="AC29" s="63">
        <f t="shared" si="14"/>
        <v>204.48449999999997</v>
      </c>
      <c r="AD29" s="409"/>
    </row>
    <row r="30" spans="1:30" s="10" customFormat="1" ht="16.5" customHeight="1">
      <c r="A30" s="169"/>
      <c r="B30" s="175"/>
      <c r="C30" s="648">
        <v>17</v>
      </c>
      <c r="D30" s="648">
        <v>278222</v>
      </c>
      <c r="E30" s="648">
        <v>1813</v>
      </c>
      <c r="F30" s="513" t="s">
        <v>13</v>
      </c>
      <c r="G30" s="512" t="s">
        <v>166</v>
      </c>
      <c r="H30" s="649">
        <v>15</v>
      </c>
      <c r="I30" s="695" t="s">
        <v>158</v>
      </c>
      <c r="J30" s="272">
        <f t="shared" si="0"/>
        <v>3.645</v>
      </c>
      <c r="K30" s="652">
        <v>41869.99444444444</v>
      </c>
      <c r="L30" s="652">
        <v>41870.07708333333</v>
      </c>
      <c r="M30" s="26">
        <f t="shared" si="1"/>
        <v>1.9833333333372138</v>
      </c>
      <c r="N30" s="27">
        <f t="shared" si="2"/>
        <v>119</v>
      </c>
      <c r="O30" s="653" t="s">
        <v>155</v>
      </c>
      <c r="P30" s="25" t="str">
        <f t="shared" si="15"/>
        <v>NO</v>
      </c>
      <c r="Q30" s="715" t="str">
        <f t="shared" si="3"/>
        <v>--</v>
      </c>
      <c r="R30" s="25" t="str">
        <f aca="true" t="shared" si="16" ref="R30:R43">IF(F30="","","NO")</f>
        <v>NO</v>
      </c>
      <c r="S30" s="342">
        <f t="shared" si="4"/>
        <v>3</v>
      </c>
      <c r="T30" s="346" t="str">
        <f t="shared" si="5"/>
        <v>--</v>
      </c>
      <c r="U30" s="352" t="str">
        <f t="shared" si="6"/>
        <v>--</v>
      </c>
      <c r="V30" s="361">
        <f t="shared" si="7"/>
        <v>10.935</v>
      </c>
      <c r="W30" s="362">
        <f t="shared" si="8"/>
        <v>21.6513</v>
      </c>
      <c r="X30" s="370" t="str">
        <f t="shared" si="9"/>
        <v>--</v>
      </c>
      <c r="Y30" s="371" t="str">
        <f t="shared" si="10"/>
        <v>--</v>
      </c>
      <c r="Z30" s="376" t="str">
        <f t="shared" si="11"/>
        <v>--</v>
      </c>
      <c r="AA30" s="382" t="str">
        <f t="shared" si="12"/>
        <v>--</v>
      </c>
      <c r="AB30" s="25" t="str">
        <f t="shared" si="13"/>
        <v>SI</v>
      </c>
      <c r="AC30" s="63">
        <f t="shared" si="14"/>
        <v>32.5863</v>
      </c>
      <c r="AD30" s="38"/>
    </row>
    <row r="31" spans="1:30" s="10" customFormat="1" ht="16.5" customHeight="1">
      <c r="A31" s="169"/>
      <c r="B31" s="175"/>
      <c r="C31" s="648"/>
      <c r="D31" s="648"/>
      <c r="E31" s="648"/>
      <c r="F31" s="513"/>
      <c r="G31" s="512"/>
      <c r="H31" s="649"/>
      <c r="I31" s="650"/>
      <c r="J31" s="272">
        <f t="shared" si="0"/>
        <v>0</v>
      </c>
      <c r="K31" s="652"/>
      <c r="L31" s="652"/>
      <c r="M31" s="26">
        <f t="shared" si="1"/>
      </c>
      <c r="N31" s="27">
        <f t="shared" si="2"/>
      </c>
      <c r="O31" s="653"/>
      <c r="P31" s="25">
        <f t="shared" si="15"/>
      </c>
      <c r="Q31" s="715">
        <f t="shared" si="3"/>
      </c>
      <c r="R31" s="25">
        <f t="shared" si="16"/>
      </c>
      <c r="S31" s="342">
        <f t="shared" si="4"/>
        <v>3</v>
      </c>
      <c r="T31" s="346" t="str">
        <f t="shared" si="5"/>
        <v>--</v>
      </c>
      <c r="U31" s="352" t="str">
        <f t="shared" si="6"/>
        <v>--</v>
      </c>
      <c r="V31" s="361" t="str">
        <f t="shared" si="7"/>
        <v>--</v>
      </c>
      <c r="W31" s="362" t="str">
        <f t="shared" si="8"/>
        <v>--</v>
      </c>
      <c r="X31" s="370" t="str">
        <f t="shared" si="9"/>
        <v>--</v>
      </c>
      <c r="Y31" s="371" t="str">
        <f t="shared" si="10"/>
        <v>--</v>
      </c>
      <c r="Z31" s="376" t="str">
        <f t="shared" si="11"/>
        <v>--</v>
      </c>
      <c r="AA31" s="382" t="str">
        <f t="shared" si="12"/>
        <v>--</v>
      </c>
      <c r="AB31" s="25">
        <f t="shared" si="13"/>
      </c>
      <c r="AC31" s="63">
        <f t="shared" si="14"/>
      </c>
      <c r="AD31" s="38"/>
    </row>
    <row r="32" spans="1:30" s="10" customFormat="1" ht="16.5" customHeight="1">
      <c r="A32" s="169"/>
      <c r="B32" s="175"/>
      <c r="C32" s="648"/>
      <c r="D32" s="648"/>
      <c r="E32" s="648"/>
      <c r="F32" s="513"/>
      <c r="G32" s="512"/>
      <c r="H32" s="649"/>
      <c r="I32" s="650"/>
      <c r="J32" s="272">
        <f t="shared" si="0"/>
        <v>0</v>
      </c>
      <c r="K32" s="652"/>
      <c r="L32" s="652"/>
      <c r="M32" s="26">
        <f t="shared" si="1"/>
      </c>
      <c r="N32" s="27">
        <f t="shared" si="2"/>
      </c>
      <c r="O32" s="653"/>
      <c r="P32" s="25">
        <f t="shared" si="15"/>
      </c>
      <c r="Q32" s="715">
        <f t="shared" si="3"/>
      </c>
      <c r="R32" s="25">
        <f t="shared" si="16"/>
      </c>
      <c r="S32" s="342">
        <f t="shared" si="4"/>
        <v>3</v>
      </c>
      <c r="T32" s="346" t="str">
        <f t="shared" si="5"/>
        <v>--</v>
      </c>
      <c r="U32" s="352" t="str">
        <f t="shared" si="6"/>
        <v>--</v>
      </c>
      <c r="V32" s="361" t="str">
        <f t="shared" si="7"/>
        <v>--</v>
      </c>
      <c r="W32" s="362" t="str">
        <f t="shared" si="8"/>
        <v>--</v>
      </c>
      <c r="X32" s="370" t="str">
        <f t="shared" si="9"/>
        <v>--</v>
      </c>
      <c r="Y32" s="371" t="str">
        <f t="shared" si="10"/>
        <v>--</v>
      </c>
      <c r="Z32" s="376" t="str">
        <f t="shared" si="11"/>
        <v>--</v>
      </c>
      <c r="AA32" s="382" t="str">
        <f t="shared" si="12"/>
        <v>--</v>
      </c>
      <c r="AB32" s="25">
        <f t="shared" si="13"/>
      </c>
      <c r="AC32" s="63">
        <f t="shared" si="14"/>
      </c>
      <c r="AD32" s="38"/>
    </row>
    <row r="33" spans="1:30" s="10" customFormat="1" ht="16.5" customHeight="1">
      <c r="A33" s="169"/>
      <c r="B33" s="175"/>
      <c r="C33" s="648"/>
      <c r="D33" s="648"/>
      <c r="E33" s="648"/>
      <c r="F33" s="513"/>
      <c r="G33" s="512"/>
      <c r="H33" s="649"/>
      <c r="I33" s="650"/>
      <c r="J33" s="272">
        <f t="shared" si="0"/>
        <v>0</v>
      </c>
      <c r="K33" s="652"/>
      <c r="L33" s="652"/>
      <c r="M33" s="26">
        <f t="shared" si="1"/>
      </c>
      <c r="N33" s="27">
        <f t="shared" si="2"/>
      </c>
      <c r="O33" s="653"/>
      <c r="P33" s="25">
        <f t="shared" si="15"/>
      </c>
      <c r="Q33" s="715">
        <f t="shared" si="3"/>
      </c>
      <c r="R33" s="25">
        <f t="shared" si="16"/>
      </c>
      <c r="S33" s="342">
        <f t="shared" si="4"/>
        <v>3</v>
      </c>
      <c r="T33" s="346" t="str">
        <f t="shared" si="5"/>
        <v>--</v>
      </c>
      <c r="U33" s="352" t="str">
        <f t="shared" si="6"/>
        <v>--</v>
      </c>
      <c r="V33" s="361" t="str">
        <f t="shared" si="7"/>
        <v>--</v>
      </c>
      <c r="W33" s="362" t="str">
        <f t="shared" si="8"/>
        <v>--</v>
      </c>
      <c r="X33" s="370" t="str">
        <f t="shared" si="9"/>
        <v>--</v>
      </c>
      <c r="Y33" s="371" t="str">
        <f t="shared" si="10"/>
        <v>--</v>
      </c>
      <c r="Z33" s="376" t="str">
        <f t="shared" si="11"/>
        <v>--</v>
      </c>
      <c r="AA33" s="382" t="str">
        <f t="shared" si="12"/>
        <v>--</v>
      </c>
      <c r="AB33" s="25">
        <f t="shared" si="13"/>
      </c>
      <c r="AC33" s="63">
        <f t="shared" si="14"/>
      </c>
      <c r="AD33" s="38"/>
    </row>
    <row r="34" spans="1:30" s="10" customFormat="1" ht="16.5" customHeight="1">
      <c r="A34" s="169"/>
      <c r="B34" s="175"/>
      <c r="C34" s="648"/>
      <c r="D34" s="648"/>
      <c r="E34" s="648"/>
      <c r="F34" s="513"/>
      <c r="G34" s="512"/>
      <c r="H34" s="649"/>
      <c r="I34" s="650"/>
      <c r="J34" s="272">
        <f t="shared" si="0"/>
        <v>0</v>
      </c>
      <c r="K34" s="652"/>
      <c r="L34" s="652"/>
      <c r="M34" s="26">
        <f t="shared" si="1"/>
      </c>
      <c r="N34" s="27">
        <f t="shared" si="2"/>
      </c>
      <c r="O34" s="653"/>
      <c r="P34" s="25">
        <f t="shared" si="15"/>
      </c>
      <c r="Q34" s="715">
        <f t="shared" si="3"/>
      </c>
      <c r="R34" s="25">
        <f t="shared" si="16"/>
      </c>
      <c r="S34" s="342">
        <f t="shared" si="4"/>
        <v>3</v>
      </c>
      <c r="T34" s="346" t="str">
        <f t="shared" si="5"/>
        <v>--</v>
      </c>
      <c r="U34" s="352" t="str">
        <f t="shared" si="6"/>
        <v>--</v>
      </c>
      <c r="V34" s="361" t="str">
        <f t="shared" si="7"/>
        <v>--</v>
      </c>
      <c r="W34" s="362" t="str">
        <f t="shared" si="8"/>
        <v>--</v>
      </c>
      <c r="X34" s="370" t="str">
        <f t="shared" si="9"/>
        <v>--</v>
      </c>
      <c r="Y34" s="371" t="str">
        <f t="shared" si="10"/>
        <v>--</v>
      </c>
      <c r="Z34" s="376" t="str">
        <f t="shared" si="11"/>
        <v>--</v>
      </c>
      <c r="AA34" s="382" t="str">
        <f t="shared" si="12"/>
        <v>--</v>
      </c>
      <c r="AB34" s="25">
        <f t="shared" si="13"/>
      </c>
      <c r="AC34" s="63">
        <f t="shared" si="14"/>
      </c>
      <c r="AD34" s="38"/>
    </row>
    <row r="35" spans="1:30" s="10" customFormat="1" ht="16.5" customHeight="1">
      <c r="A35" s="169"/>
      <c r="B35" s="175"/>
      <c r="C35" s="648"/>
      <c r="D35" s="648"/>
      <c r="E35" s="648"/>
      <c r="F35" s="513"/>
      <c r="G35" s="512"/>
      <c r="H35" s="649"/>
      <c r="I35" s="650"/>
      <c r="J35" s="272">
        <f t="shared" si="0"/>
        <v>0</v>
      </c>
      <c r="K35" s="652"/>
      <c r="L35" s="652"/>
      <c r="M35" s="26">
        <f t="shared" si="1"/>
      </c>
      <c r="N35" s="27">
        <f t="shared" si="2"/>
      </c>
      <c r="O35" s="653"/>
      <c r="P35" s="25">
        <f t="shared" si="15"/>
      </c>
      <c r="Q35" s="715">
        <f t="shared" si="3"/>
      </c>
      <c r="R35" s="25">
        <f t="shared" si="16"/>
      </c>
      <c r="S35" s="342">
        <f t="shared" si="4"/>
        <v>3</v>
      </c>
      <c r="T35" s="346" t="str">
        <f t="shared" si="5"/>
        <v>--</v>
      </c>
      <c r="U35" s="352" t="str">
        <f t="shared" si="6"/>
        <v>--</v>
      </c>
      <c r="V35" s="361" t="str">
        <f t="shared" si="7"/>
        <v>--</v>
      </c>
      <c r="W35" s="362" t="str">
        <f t="shared" si="8"/>
        <v>--</v>
      </c>
      <c r="X35" s="370" t="str">
        <f t="shared" si="9"/>
        <v>--</v>
      </c>
      <c r="Y35" s="371" t="str">
        <f t="shared" si="10"/>
        <v>--</v>
      </c>
      <c r="Z35" s="376" t="str">
        <f t="shared" si="11"/>
        <v>--</v>
      </c>
      <c r="AA35" s="382" t="str">
        <f t="shared" si="12"/>
        <v>--</v>
      </c>
      <c r="AB35" s="25">
        <f t="shared" si="13"/>
      </c>
      <c r="AC35" s="63">
        <f t="shared" si="14"/>
      </c>
      <c r="AD35" s="38"/>
    </row>
    <row r="36" spans="1:30" s="10" customFormat="1" ht="16.5" customHeight="1">
      <c r="A36" s="169"/>
      <c r="B36" s="175"/>
      <c r="C36" s="648"/>
      <c r="D36" s="648"/>
      <c r="E36" s="648"/>
      <c r="F36" s="513"/>
      <c r="G36" s="512"/>
      <c r="H36" s="649"/>
      <c r="I36" s="650"/>
      <c r="J36" s="272">
        <f t="shared" si="0"/>
        <v>0</v>
      </c>
      <c r="K36" s="652"/>
      <c r="L36" s="652"/>
      <c r="M36" s="26">
        <f t="shared" si="1"/>
      </c>
      <c r="N36" s="27">
        <f t="shared" si="2"/>
      </c>
      <c r="O36" s="653"/>
      <c r="P36" s="25">
        <f t="shared" si="15"/>
      </c>
      <c r="Q36" s="715">
        <f t="shared" si="3"/>
      </c>
      <c r="R36" s="25">
        <f t="shared" si="16"/>
      </c>
      <c r="S36" s="342">
        <f t="shared" si="4"/>
        <v>3</v>
      </c>
      <c r="T36" s="346" t="str">
        <f t="shared" si="5"/>
        <v>--</v>
      </c>
      <c r="U36" s="352" t="str">
        <f t="shared" si="6"/>
        <v>--</v>
      </c>
      <c r="V36" s="361" t="str">
        <f t="shared" si="7"/>
        <v>--</v>
      </c>
      <c r="W36" s="362" t="str">
        <f t="shared" si="8"/>
        <v>--</v>
      </c>
      <c r="X36" s="370" t="str">
        <f t="shared" si="9"/>
        <v>--</v>
      </c>
      <c r="Y36" s="371" t="str">
        <f t="shared" si="10"/>
        <v>--</v>
      </c>
      <c r="Z36" s="376" t="str">
        <f t="shared" si="11"/>
        <v>--</v>
      </c>
      <c r="AA36" s="382" t="str">
        <f t="shared" si="12"/>
        <v>--</v>
      </c>
      <c r="AB36" s="25">
        <f t="shared" si="13"/>
      </c>
      <c r="AC36" s="63">
        <f t="shared" si="14"/>
      </c>
      <c r="AD36" s="38"/>
    </row>
    <row r="37" spans="1:30" s="10" customFormat="1" ht="16.5" customHeight="1">
      <c r="A37" s="169"/>
      <c r="B37" s="175"/>
      <c r="C37" s="648"/>
      <c r="D37" s="648"/>
      <c r="E37" s="648"/>
      <c r="F37" s="513"/>
      <c r="G37" s="512"/>
      <c r="H37" s="649"/>
      <c r="I37" s="650"/>
      <c r="J37" s="272">
        <f t="shared" si="0"/>
        <v>0</v>
      </c>
      <c r="K37" s="652"/>
      <c r="L37" s="652"/>
      <c r="M37" s="26">
        <f t="shared" si="1"/>
      </c>
      <c r="N37" s="27">
        <f t="shared" si="2"/>
      </c>
      <c r="O37" s="653"/>
      <c r="P37" s="25">
        <f t="shared" si="15"/>
      </c>
      <c r="Q37" s="715">
        <f t="shared" si="3"/>
      </c>
      <c r="R37" s="25">
        <f t="shared" si="16"/>
      </c>
      <c r="S37" s="342">
        <f t="shared" si="4"/>
        <v>3</v>
      </c>
      <c r="T37" s="346" t="str">
        <f t="shared" si="5"/>
        <v>--</v>
      </c>
      <c r="U37" s="352" t="str">
        <f t="shared" si="6"/>
        <v>--</v>
      </c>
      <c r="V37" s="361" t="str">
        <f t="shared" si="7"/>
        <v>--</v>
      </c>
      <c r="W37" s="362" t="str">
        <f t="shared" si="8"/>
        <v>--</v>
      </c>
      <c r="X37" s="370" t="str">
        <f t="shared" si="9"/>
        <v>--</v>
      </c>
      <c r="Y37" s="371" t="str">
        <f t="shared" si="10"/>
        <v>--</v>
      </c>
      <c r="Z37" s="376" t="str">
        <f t="shared" si="11"/>
        <v>--</v>
      </c>
      <c r="AA37" s="382" t="str">
        <f t="shared" si="12"/>
        <v>--</v>
      </c>
      <c r="AB37" s="25">
        <f t="shared" si="13"/>
      </c>
      <c r="AC37" s="63">
        <f t="shared" si="14"/>
      </c>
      <c r="AD37" s="38"/>
    </row>
    <row r="38" spans="1:30" s="10" customFormat="1" ht="16.5" customHeight="1">
      <c r="A38" s="169"/>
      <c r="B38" s="175"/>
      <c r="C38" s="648"/>
      <c r="D38" s="648"/>
      <c r="E38" s="648"/>
      <c r="F38" s="513"/>
      <c r="G38" s="512"/>
      <c r="H38" s="649"/>
      <c r="I38" s="650"/>
      <c r="J38" s="272">
        <f t="shared" si="0"/>
        <v>0</v>
      </c>
      <c r="K38" s="652"/>
      <c r="L38" s="652"/>
      <c r="M38" s="26">
        <f t="shared" si="1"/>
      </c>
      <c r="N38" s="27">
        <f t="shared" si="2"/>
      </c>
      <c r="O38" s="653"/>
      <c r="P38" s="25">
        <f t="shared" si="15"/>
      </c>
      <c r="Q38" s="715">
        <f t="shared" si="3"/>
      </c>
      <c r="R38" s="25">
        <f t="shared" si="16"/>
      </c>
      <c r="S38" s="342">
        <f t="shared" si="4"/>
        <v>3</v>
      </c>
      <c r="T38" s="346" t="str">
        <f t="shared" si="5"/>
        <v>--</v>
      </c>
      <c r="U38" s="352" t="str">
        <f t="shared" si="6"/>
        <v>--</v>
      </c>
      <c r="V38" s="361" t="str">
        <f t="shared" si="7"/>
        <v>--</v>
      </c>
      <c r="W38" s="362" t="str">
        <f t="shared" si="8"/>
        <v>--</v>
      </c>
      <c r="X38" s="370" t="str">
        <f t="shared" si="9"/>
        <v>--</v>
      </c>
      <c r="Y38" s="371" t="str">
        <f t="shared" si="10"/>
        <v>--</v>
      </c>
      <c r="Z38" s="376" t="str">
        <f t="shared" si="11"/>
        <v>--</v>
      </c>
      <c r="AA38" s="382" t="str">
        <f t="shared" si="12"/>
        <v>--</v>
      </c>
      <c r="AB38" s="25">
        <f t="shared" si="13"/>
      </c>
      <c r="AC38" s="63">
        <f t="shared" si="14"/>
      </c>
      <c r="AD38" s="38"/>
    </row>
    <row r="39" spans="1:30" s="10" customFormat="1" ht="16.5" customHeight="1">
      <c r="A39" s="169"/>
      <c r="B39" s="175"/>
      <c r="C39" s="648"/>
      <c r="D39" s="648"/>
      <c r="E39" s="648"/>
      <c r="F39" s="513"/>
      <c r="G39" s="512"/>
      <c r="H39" s="649"/>
      <c r="I39" s="650"/>
      <c r="J39" s="272">
        <f t="shared" si="0"/>
        <v>0</v>
      </c>
      <c r="K39" s="652"/>
      <c r="L39" s="652"/>
      <c r="M39" s="26">
        <f t="shared" si="1"/>
      </c>
      <c r="N39" s="27">
        <f t="shared" si="2"/>
      </c>
      <c r="O39" s="653"/>
      <c r="P39" s="25">
        <f t="shared" si="15"/>
      </c>
      <c r="Q39" s="715">
        <f t="shared" si="3"/>
      </c>
      <c r="R39" s="25">
        <f t="shared" si="16"/>
      </c>
      <c r="S39" s="342">
        <f t="shared" si="4"/>
        <v>3</v>
      </c>
      <c r="T39" s="346" t="str">
        <f t="shared" si="5"/>
        <v>--</v>
      </c>
      <c r="U39" s="352" t="str">
        <f t="shared" si="6"/>
        <v>--</v>
      </c>
      <c r="V39" s="361" t="str">
        <f t="shared" si="7"/>
        <v>--</v>
      </c>
      <c r="W39" s="362" t="str">
        <f t="shared" si="8"/>
        <v>--</v>
      </c>
      <c r="X39" s="370" t="str">
        <f t="shared" si="9"/>
        <v>--</v>
      </c>
      <c r="Y39" s="371" t="str">
        <f t="shared" si="10"/>
        <v>--</v>
      </c>
      <c r="Z39" s="376" t="str">
        <f t="shared" si="11"/>
        <v>--</v>
      </c>
      <c r="AA39" s="382" t="str">
        <f t="shared" si="12"/>
        <v>--</v>
      </c>
      <c r="AB39" s="25">
        <f t="shared" si="13"/>
      </c>
      <c r="AC39" s="63">
        <f t="shared" si="14"/>
      </c>
      <c r="AD39" s="38"/>
    </row>
    <row r="40" spans="1:30" s="10" customFormat="1" ht="16.5" customHeight="1">
      <c r="A40" s="169"/>
      <c r="B40" s="175"/>
      <c r="C40" s="648"/>
      <c r="D40" s="648"/>
      <c r="E40" s="648"/>
      <c r="F40" s="513"/>
      <c r="G40" s="512"/>
      <c r="H40" s="649"/>
      <c r="I40" s="650"/>
      <c r="J40" s="272">
        <f t="shared" si="0"/>
        <v>0</v>
      </c>
      <c r="K40" s="652"/>
      <c r="L40" s="652"/>
      <c r="M40" s="26">
        <f t="shared" si="1"/>
      </c>
      <c r="N40" s="27">
        <f t="shared" si="2"/>
      </c>
      <c r="O40" s="653"/>
      <c r="P40" s="25">
        <f t="shared" si="15"/>
      </c>
      <c r="Q40" s="715">
        <f t="shared" si="3"/>
      </c>
      <c r="R40" s="25">
        <f t="shared" si="16"/>
      </c>
      <c r="S40" s="342">
        <f t="shared" si="4"/>
        <v>3</v>
      </c>
      <c r="T40" s="346" t="str">
        <f t="shared" si="5"/>
        <v>--</v>
      </c>
      <c r="U40" s="352" t="str">
        <f t="shared" si="6"/>
        <v>--</v>
      </c>
      <c r="V40" s="361" t="str">
        <f t="shared" si="7"/>
        <v>--</v>
      </c>
      <c r="W40" s="362" t="str">
        <f t="shared" si="8"/>
        <v>--</v>
      </c>
      <c r="X40" s="370" t="str">
        <f t="shared" si="9"/>
        <v>--</v>
      </c>
      <c r="Y40" s="371" t="str">
        <f t="shared" si="10"/>
        <v>--</v>
      </c>
      <c r="Z40" s="376" t="str">
        <f t="shared" si="11"/>
        <v>--</v>
      </c>
      <c r="AA40" s="382" t="str">
        <f t="shared" si="12"/>
        <v>--</v>
      </c>
      <c r="AB40" s="25">
        <f t="shared" si="13"/>
      </c>
      <c r="AC40" s="63">
        <f t="shared" si="14"/>
      </c>
      <c r="AD40" s="38"/>
    </row>
    <row r="41" spans="1:30" s="10" customFormat="1" ht="16.5" customHeight="1">
      <c r="A41" s="169"/>
      <c r="B41" s="175"/>
      <c r="C41" s="648"/>
      <c r="D41" s="648"/>
      <c r="E41" s="648"/>
      <c r="F41" s="513"/>
      <c r="G41" s="512"/>
      <c r="H41" s="649"/>
      <c r="I41" s="650"/>
      <c r="J41" s="272">
        <f t="shared" si="0"/>
        <v>0</v>
      </c>
      <c r="K41" s="652"/>
      <c r="L41" s="652"/>
      <c r="M41" s="26">
        <f t="shared" si="1"/>
      </c>
      <c r="N41" s="27">
        <f t="shared" si="2"/>
      </c>
      <c r="O41" s="653"/>
      <c r="P41" s="25">
        <f t="shared" si="15"/>
      </c>
      <c r="Q41" s="715">
        <f t="shared" si="3"/>
      </c>
      <c r="R41" s="25">
        <f t="shared" si="16"/>
      </c>
      <c r="S41" s="342">
        <f t="shared" si="4"/>
        <v>3</v>
      </c>
      <c r="T41" s="346" t="str">
        <f t="shared" si="5"/>
        <v>--</v>
      </c>
      <c r="U41" s="352" t="str">
        <f t="shared" si="6"/>
        <v>--</v>
      </c>
      <c r="V41" s="361" t="str">
        <f t="shared" si="7"/>
        <v>--</v>
      </c>
      <c r="W41" s="362" t="str">
        <f t="shared" si="8"/>
        <v>--</v>
      </c>
      <c r="X41" s="370" t="str">
        <f t="shared" si="9"/>
        <v>--</v>
      </c>
      <c r="Y41" s="371" t="str">
        <f t="shared" si="10"/>
        <v>--</v>
      </c>
      <c r="Z41" s="376" t="str">
        <f t="shared" si="11"/>
        <v>--</v>
      </c>
      <c r="AA41" s="382" t="str">
        <f t="shared" si="12"/>
        <v>--</v>
      </c>
      <c r="AB41" s="25">
        <f t="shared" si="13"/>
      </c>
      <c r="AC41" s="63">
        <f t="shared" si="14"/>
      </c>
      <c r="AD41" s="38"/>
    </row>
    <row r="42" spans="1:30" s="10" customFormat="1" ht="16.5" customHeight="1">
      <c r="A42" s="169"/>
      <c r="B42" s="175"/>
      <c r="C42" s="648"/>
      <c r="D42" s="648"/>
      <c r="E42" s="648"/>
      <c r="F42" s="513"/>
      <c r="G42" s="512"/>
      <c r="H42" s="649"/>
      <c r="I42" s="650"/>
      <c r="J42" s="272">
        <f t="shared" si="0"/>
        <v>0</v>
      </c>
      <c r="K42" s="652"/>
      <c r="L42" s="652"/>
      <c r="M42" s="26">
        <f t="shared" si="1"/>
      </c>
      <c r="N42" s="27">
        <f t="shared" si="2"/>
      </c>
      <c r="O42" s="653"/>
      <c r="P42" s="25">
        <f t="shared" si="15"/>
      </c>
      <c r="Q42" s="715">
        <f t="shared" si="3"/>
      </c>
      <c r="R42" s="25">
        <f t="shared" si="16"/>
      </c>
      <c r="S42" s="342">
        <f t="shared" si="4"/>
        <v>3</v>
      </c>
      <c r="T42" s="346" t="str">
        <f t="shared" si="5"/>
        <v>--</v>
      </c>
      <c r="U42" s="352" t="str">
        <f t="shared" si="6"/>
        <v>--</v>
      </c>
      <c r="V42" s="361" t="str">
        <f t="shared" si="7"/>
        <v>--</v>
      </c>
      <c r="W42" s="362" t="str">
        <f t="shared" si="8"/>
        <v>--</v>
      </c>
      <c r="X42" s="370" t="str">
        <f t="shared" si="9"/>
        <v>--</v>
      </c>
      <c r="Y42" s="371" t="str">
        <f t="shared" si="10"/>
        <v>--</v>
      </c>
      <c r="Z42" s="376" t="str">
        <f t="shared" si="11"/>
        <v>--</v>
      </c>
      <c r="AA42" s="382" t="str">
        <f t="shared" si="12"/>
        <v>--</v>
      </c>
      <c r="AB42" s="25">
        <f t="shared" si="13"/>
      </c>
      <c r="AC42" s="63">
        <f t="shared" si="14"/>
      </c>
      <c r="AD42" s="38"/>
    </row>
    <row r="43" spans="1:30" s="10" customFormat="1" ht="16.5" customHeight="1">
      <c r="A43" s="169"/>
      <c r="B43" s="175"/>
      <c r="C43" s="648"/>
      <c r="D43" s="648"/>
      <c r="E43" s="648"/>
      <c r="F43" s="513"/>
      <c r="G43" s="512"/>
      <c r="H43" s="649"/>
      <c r="I43" s="650"/>
      <c r="J43" s="272">
        <f t="shared" si="0"/>
        <v>0</v>
      </c>
      <c r="K43" s="652"/>
      <c r="L43" s="652"/>
      <c r="M43" s="26">
        <f t="shared" si="1"/>
      </c>
      <c r="N43" s="27">
        <f t="shared" si="2"/>
      </c>
      <c r="O43" s="653"/>
      <c r="P43" s="25">
        <f t="shared" si="15"/>
      </c>
      <c r="Q43" s="715">
        <f t="shared" si="3"/>
      </c>
      <c r="R43" s="25">
        <f t="shared" si="16"/>
      </c>
      <c r="S43" s="342">
        <f t="shared" si="4"/>
        <v>3</v>
      </c>
      <c r="T43" s="346" t="str">
        <f t="shared" si="5"/>
        <v>--</v>
      </c>
      <c r="U43" s="352" t="str">
        <f t="shared" si="6"/>
        <v>--</v>
      </c>
      <c r="V43" s="361" t="str">
        <f t="shared" si="7"/>
        <v>--</v>
      </c>
      <c r="W43" s="362" t="str">
        <f t="shared" si="8"/>
        <v>--</v>
      </c>
      <c r="X43" s="370" t="str">
        <f t="shared" si="9"/>
        <v>--</v>
      </c>
      <c r="Y43" s="371" t="str">
        <f t="shared" si="10"/>
        <v>--</v>
      </c>
      <c r="Z43" s="376" t="str">
        <f t="shared" si="11"/>
        <v>--</v>
      </c>
      <c r="AA43" s="382" t="str">
        <f t="shared" si="12"/>
        <v>--</v>
      </c>
      <c r="AB43" s="25">
        <f t="shared" si="13"/>
      </c>
      <c r="AC43" s="63">
        <f t="shared" si="14"/>
      </c>
      <c r="AD43" s="38"/>
    </row>
    <row r="44" spans="1:30" s="10" customFormat="1" ht="16.5" customHeight="1" thickBot="1">
      <c r="A44" s="169"/>
      <c r="B44" s="175"/>
      <c r="C44" s="651"/>
      <c r="D44" s="651"/>
      <c r="E44" s="651"/>
      <c r="F44" s="651"/>
      <c r="G44" s="651"/>
      <c r="H44" s="651"/>
      <c r="I44" s="651"/>
      <c r="J44" s="276"/>
      <c r="K44" s="651"/>
      <c r="L44" s="651"/>
      <c r="M44" s="29"/>
      <c r="N44" s="29"/>
      <c r="O44" s="651"/>
      <c r="P44" s="651"/>
      <c r="Q44" s="651"/>
      <c r="R44" s="651"/>
      <c r="S44" s="343"/>
      <c r="T44" s="347"/>
      <c r="U44" s="353"/>
      <c r="V44" s="385"/>
      <c r="W44" s="386"/>
      <c r="X44" s="387"/>
      <c r="Y44" s="388"/>
      <c r="Z44" s="377"/>
      <c r="AA44" s="383"/>
      <c r="AB44" s="29"/>
      <c r="AC44" s="218"/>
      <c r="AD44" s="38"/>
    </row>
    <row r="45" spans="1:30" s="10" customFormat="1" ht="16.5" customHeight="1" thickBot="1" thickTop="1">
      <c r="A45" s="169"/>
      <c r="B45" s="175"/>
      <c r="C45" s="244" t="s">
        <v>64</v>
      </c>
      <c r="D45" s="734" t="s">
        <v>174</v>
      </c>
      <c r="E45" s="698"/>
      <c r="F45" s="245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48">
        <f aca="true" t="shared" si="17" ref="T45:AA45">SUM(T22:T44)</f>
        <v>0</v>
      </c>
      <c r="U45" s="354">
        <f t="shared" si="17"/>
        <v>0</v>
      </c>
      <c r="V45" s="363">
        <f t="shared" si="17"/>
        <v>667.035</v>
      </c>
      <c r="W45" s="363">
        <f t="shared" si="17"/>
        <v>462.3318</v>
      </c>
      <c r="X45" s="372">
        <f t="shared" si="17"/>
        <v>0</v>
      </c>
      <c r="Y45" s="372">
        <f t="shared" si="17"/>
        <v>0</v>
      </c>
      <c r="Z45" s="378">
        <f t="shared" si="17"/>
        <v>0</v>
      </c>
      <c r="AA45" s="384">
        <f t="shared" si="17"/>
        <v>0</v>
      </c>
      <c r="AB45" s="31"/>
      <c r="AC45" s="260">
        <f>ROUND(SUM(AC22:AC44),2)</f>
        <v>1129.37</v>
      </c>
      <c r="AD45" s="38"/>
    </row>
    <row r="46" spans="1:30" s="262" customFormat="1" ht="9.75" thickTop="1">
      <c r="A46" s="263"/>
      <c r="B46" s="264"/>
      <c r="C46" s="246"/>
      <c r="D46" s="246"/>
      <c r="E46" s="246"/>
      <c r="F46" s="247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6"/>
      <c r="U46" s="266"/>
      <c r="V46" s="266"/>
      <c r="W46" s="266"/>
      <c r="X46" s="266"/>
      <c r="Y46" s="266"/>
      <c r="Z46" s="266"/>
      <c r="AA46" s="266"/>
      <c r="AB46" s="265"/>
      <c r="AC46" s="267"/>
      <c r="AD46" s="268"/>
    </row>
    <row r="47" spans="1:30" s="10" customFormat="1" ht="16.5" customHeight="1" thickBot="1">
      <c r="A47" s="169"/>
      <c r="B47" s="182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4"/>
    </row>
    <row r="48" spans="2:30" ht="16.5" customHeight="1" thickTop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4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3"/>
  <headerFooter alignWithMargins="0">
    <oddFooter>&amp;L&amp;"Times New Roman,Normal"&amp;8&amp;Z&amp;F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3">
    <pageSetUpPr fitToPage="1"/>
  </sheetPr>
  <dimension ref="A1:W48"/>
  <sheetViews>
    <sheetView zoomScale="70" zoomScaleNormal="70" zoomScalePageLayoutView="0" workbookViewId="0" topLeftCell="A1">
      <selection activeCell="G17" sqref="G17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7109375" style="0" customWidth="1"/>
    <col min="6" max="6" width="30.7109375" style="0" customWidth="1"/>
    <col min="7" max="7" width="40.7109375" style="0" customWidth="1"/>
    <col min="8" max="8" width="9.7109375" style="0" customWidth="1"/>
    <col min="9" max="9" width="13.14062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6" width="12.140625" style="0" hidden="1" customWidth="1"/>
    <col min="17" max="17" width="16.8515625" style="0" hidden="1" customWidth="1"/>
    <col min="18" max="18" width="16.57421875" style="0" hidden="1" customWidth="1"/>
    <col min="19" max="20" width="15.574218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09" customFormat="1" ht="26.25">
      <c r="W1" s="416"/>
    </row>
    <row r="2" spans="2:23" s="109" customFormat="1" ht="26.25">
      <c r="B2" s="110" t="str">
        <f>+'TOT-0814'!B2</f>
        <v>ANEXO II al Memorándum  D.T.E.E.  N°  301 /2016              .-</v>
      </c>
      <c r="C2" s="111"/>
      <c r="D2" s="111"/>
      <c r="E2" s="111"/>
      <c r="F2" s="111"/>
      <c r="G2" s="110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</row>
    <row r="3" s="10" customFormat="1" ht="12.75"/>
    <row r="4" spans="1:4" s="112" customFormat="1" ht="11.25">
      <c r="A4" s="701" t="s">
        <v>16</v>
      </c>
      <c r="C4" s="700"/>
      <c r="D4" s="700"/>
    </row>
    <row r="5" spans="1:4" s="112" customFormat="1" ht="11.25">
      <c r="A5" s="701" t="s">
        <v>145</v>
      </c>
      <c r="C5" s="700"/>
      <c r="D5" s="700"/>
    </row>
    <row r="6" s="10" customFormat="1" ht="13.5" thickBot="1"/>
    <row r="7" spans="2:23" s="10" customFormat="1" ht="13.5" thickTop="1"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3"/>
    </row>
    <row r="8" spans="2:23" s="114" customFormat="1" ht="20.25">
      <c r="B8" s="113"/>
      <c r="C8" s="45"/>
      <c r="D8" s="45"/>
      <c r="E8" s="45"/>
      <c r="F8" s="21" t="s">
        <v>40</v>
      </c>
      <c r="P8" s="45"/>
      <c r="Q8" s="45"/>
      <c r="R8" s="45"/>
      <c r="S8" s="45"/>
      <c r="T8" s="45"/>
      <c r="U8" s="45"/>
      <c r="V8" s="45"/>
      <c r="W8" s="115"/>
    </row>
    <row r="9" spans="2:23" s="10" customFormat="1" ht="12.75">
      <c r="B9" s="44"/>
      <c r="C9" s="8"/>
      <c r="D9" s="8"/>
      <c r="E9" s="8"/>
      <c r="F9" s="8"/>
      <c r="G9" s="8"/>
      <c r="H9" s="8"/>
      <c r="I9" s="123"/>
      <c r="J9" s="123"/>
      <c r="K9" s="123"/>
      <c r="L9" s="123"/>
      <c r="M9" s="123"/>
      <c r="P9" s="8"/>
      <c r="Q9" s="8"/>
      <c r="R9" s="8"/>
      <c r="S9" s="8"/>
      <c r="T9" s="8"/>
      <c r="U9" s="8"/>
      <c r="V9" s="8"/>
      <c r="W9" s="11"/>
    </row>
    <row r="10" spans="2:23" s="114" customFormat="1" ht="20.25">
      <c r="B10" s="113"/>
      <c r="C10" s="45"/>
      <c r="D10" s="45"/>
      <c r="E10" s="45"/>
      <c r="F10" s="21" t="s">
        <v>82</v>
      </c>
      <c r="G10" s="21"/>
      <c r="H10" s="45"/>
      <c r="I10" s="21"/>
      <c r="J10" s="21"/>
      <c r="K10" s="21"/>
      <c r="L10" s="21"/>
      <c r="M10" s="21"/>
      <c r="P10" s="45"/>
      <c r="Q10" s="45"/>
      <c r="R10" s="45"/>
      <c r="S10" s="45"/>
      <c r="T10" s="45"/>
      <c r="U10" s="45"/>
      <c r="V10" s="45"/>
      <c r="W10" s="115"/>
    </row>
    <row r="11" spans="2:23" s="10" customFormat="1" ht="12.75">
      <c r="B11" s="44"/>
      <c r="C11" s="8"/>
      <c r="D11" s="8"/>
      <c r="E11" s="8"/>
      <c r="F11" s="185"/>
      <c r="G11" s="123"/>
      <c r="H11" s="8"/>
      <c r="I11" s="123"/>
      <c r="J11" s="123"/>
      <c r="K11" s="123"/>
      <c r="L11" s="123"/>
      <c r="M11" s="123"/>
      <c r="P11" s="8"/>
      <c r="Q11" s="8"/>
      <c r="R11" s="8"/>
      <c r="S11" s="8"/>
      <c r="T11" s="8"/>
      <c r="U11" s="8"/>
      <c r="V11" s="8"/>
      <c r="W11" s="11"/>
    </row>
    <row r="12" spans="2:23" s="114" customFormat="1" ht="20.25">
      <c r="B12" s="113"/>
      <c r="C12" s="45"/>
      <c r="D12" s="45"/>
      <c r="E12" s="45"/>
      <c r="F12" s="21" t="s">
        <v>83</v>
      </c>
      <c r="G12" s="21"/>
      <c r="H12" s="45"/>
      <c r="I12" s="21"/>
      <c r="J12" s="21"/>
      <c r="K12" s="21"/>
      <c r="L12" s="21"/>
      <c r="M12" s="21"/>
      <c r="P12" s="45"/>
      <c r="Q12" s="45"/>
      <c r="R12" s="45"/>
      <c r="S12" s="45"/>
      <c r="T12" s="45"/>
      <c r="U12" s="45"/>
      <c r="V12" s="45"/>
      <c r="W12" s="115"/>
    </row>
    <row r="13" spans="2:23" s="10" customFormat="1" ht="12.75">
      <c r="B13" s="44"/>
      <c r="C13" s="8"/>
      <c r="D13" s="8"/>
      <c r="E13" s="8"/>
      <c r="F13" s="125"/>
      <c r="G13" s="123"/>
      <c r="H13" s="8"/>
      <c r="I13" s="123"/>
      <c r="J13" s="123"/>
      <c r="K13" s="123"/>
      <c r="L13" s="123"/>
      <c r="M13" s="123"/>
      <c r="P13" s="8"/>
      <c r="Q13" s="8"/>
      <c r="R13" s="8"/>
      <c r="S13" s="8"/>
      <c r="T13" s="8"/>
      <c r="U13" s="8"/>
      <c r="V13" s="8"/>
      <c r="W13" s="11"/>
    </row>
    <row r="14" spans="2:23" s="121" customFormat="1" ht="19.5">
      <c r="B14" s="87" t="str">
        <f>+'TOT-0814'!B14</f>
        <v>Desde el 01 al 31 de agosto de 2014</v>
      </c>
      <c r="C14" s="117"/>
      <c r="D14" s="117"/>
      <c r="E14" s="117"/>
      <c r="F14" s="117"/>
      <c r="G14" s="117"/>
      <c r="H14" s="86"/>
      <c r="I14" s="117"/>
      <c r="J14" s="118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20"/>
    </row>
    <row r="15" spans="2:23" s="10" customFormat="1" ht="16.5" customHeight="1" thickBot="1">
      <c r="B15" s="44"/>
      <c r="C15" s="8"/>
      <c r="D15" s="8"/>
      <c r="E15" s="8"/>
      <c r="I15" s="122"/>
      <c r="K15" s="8"/>
      <c r="L15" s="8"/>
      <c r="M15" s="8"/>
      <c r="N15" s="122"/>
      <c r="O15" s="122"/>
      <c r="P15" s="122"/>
      <c r="Q15" s="8"/>
      <c r="R15" s="8"/>
      <c r="S15" s="8"/>
      <c r="T15" s="8"/>
      <c r="U15" s="8"/>
      <c r="V15" s="8"/>
      <c r="W15" s="11"/>
    </row>
    <row r="16" spans="2:23" s="10" customFormat="1" ht="16.5" customHeight="1" thickBot="1" thickTop="1">
      <c r="B16" s="44"/>
      <c r="C16" s="8"/>
      <c r="D16" s="8"/>
      <c r="E16" s="8"/>
      <c r="F16" s="223" t="s">
        <v>84</v>
      </c>
      <c r="G16" s="224">
        <v>25.842</v>
      </c>
      <c r="H16" s="93">
        <v>60</v>
      </c>
      <c r="I16" s="122"/>
      <c r="J16" s="239" t="str">
        <f>IF(H16=60," ",IF(H16=120,"Coeficiente duplicado por tasa de falla &gt;4 Sal. x año/100 km.","REVISAR COEFICIENTE"))</f>
        <v> </v>
      </c>
      <c r="K16" s="8"/>
      <c r="L16" s="8"/>
      <c r="M16" s="8"/>
      <c r="N16" s="122"/>
      <c r="O16" s="122"/>
      <c r="P16" s="122"/>
      <c r="Q16" s="8"/>
      <c r="R16" s="8"/>
      <c r="S16" s="8"/>
      <c r="T16" s="8"/>
      <c r="U16" s="8"/>
      <c r="V16" s="8"/>
      <c r="W16" s="11"/>
    </row>
    <row r="17" spans="2:23" s="10" customFormat="1" ht="16.5" customHeight="1" thickBot="1" thickTop="1">
      <c r="B17" s="44"/>
      <c r="C17" s="8"/>
      <c r="D17" s="8"/>
      <c r="E17" s="8"/>
      <c r="F17" s="223" t="s">
        <v>85</v>
      </c>
      <c r="G17" s="224">
        <v>10.334</v>
      </c>
      <c r="H17" s="93">
        <v>50</v>
      </c>
      <c r="J17" s="239" t="str">
        <f>IF(H17=50," ",IF(H17=100,"Coeficiente duplicado por tasa de falla &gt;4 Sal. x año/100 km.","REVISAR COEFICIENTE"))</f>
        <v> </v>
      </c>
      <c r="Q17" s="278"/>
      <c r="S17" s="8"/>
      <c r="T17" s="8"/>
      <c r="U17" s="8"/>
      <c r="V17" s="220"/>
      <c r="W17" s="11"/>
    </row>
    <row r="18" spans="2:23" s="10" customFormat="1" ht="16.5" customHeight="1" thickBot="1" thickTop="1">
      <c r="B18" s="44"/>
      <c r="C18" s="8"/>
      <c r="D18" s="8"/>
      <c r="E18" s="8"/>
      <c r="F18" s="225" t="s">
        <v>86</v>
      </c>
      <c r="G18" s="226">
        <v>7.756</v>
      </c>
      <c r="H18" s="227">
        <v>25</v>
      </c>
      <c r="J18" s="239" t="str">
        <f>IF(H18=25," ",IF(H18=50,"Coeficiente duplicado por tasa de falla &gt;4 Sal. x año/100 km.","REVISAR COEFICIENTE"))</f>
        <v> </v>
      </c>
      <c r="K18" s="167"/>
      <c r="L18" s="167"/>
      <c r="M18" s="8"/>
      <c r="P18" s="221"/>
      <c r="Q18" s="222"/>
      <c r="R18" s="36"/>
      <c r="S18" s="8"/>
      <c r="T18" s="8"/>
      <c r="U18" s="8"/>
      <c r="V18" s="220"/>
      <c r="W18" s="11"/>
    </row>
    <row r="19" spans="2:23" s="10" customFormat="1" ht="16.5" customHeight="1" thickBot="1" thickTop="1">
      <c r="B19" s="44"/>
      <c r="C19" s="8"/>
      <c r="D19" s="8"/>
      <c r="E19" s="8"/>
      <c r="F19" s="228" t="s">
        <v>87</v>
      </c>
      <c r="G19" s="226">
        <v>7.756</v>
      </c>
      <c r="H19" s="229">
        <v>20</v>
      </c>
      <c r="J19" s="239" t="str">
        <f>IF(H19=20," ",IF(H19=40,"Coeficiente duplicado por tasa de falla &gt;4 Sal. x año/100 km.","REVISAR COEFICIENTE"))</f>
        <v> </v>
      </c>
      <c r="K19" s="167"/>
      <c r="L19" s="167"/>
      <c r="M19" s="8"/>
      <c r="P19" s="221"/>
      <c r="Q19" s="222"/>
      <c r="R19" s="36"/>
      <c r="S19" s="8"/>
      <c r="T19" s="8"/>
      <c r="U19" s="8"/>
      <c r="V19" s="220"/>
      <c r="W19" s="11"/>
    </row>
    <row r="20" spans="2:23" s="724" customFormat="1" ht="16.5" customHeight="1" thickBot="1" thickTop="1">
      <c r="B20" s="721"/>
      <c r="C20" s="722">
        <v>3</v>
      </c>
      <c r="D20" s="722">
        <v>4</v>
      </c>
      <c r="E20" s="722">
        <v>5</v>
      </c>
      <c r="F20" s="722">
        <v>6</v>
      </c>
      <c r="G20" s="722">
        <v>7</v>
      </c>
      <c r="H20" s="722">
        <v>8</v>
      </c>
      <c r="I20" s="722">
        <v>9</v>
      </c>
      <c r="J20" s="722">
        <v>10</v>
      </c>
      <c r="K20" s="722">
        <v>11</v>
      </c>
      <c r="L20" s="722">
        <v>12</v>
      </c>
      <c r="M20" s="722">
        <v>13</v>
      </c>
      <c r="N20" s="722">
        <v>14</v>
      </c>
      <c r="O20" s="722">
        <v>15</v>
      </c>
      <c r="P20" s="722">
        <v>16</v>
      </c>
      <c r="Q20" s="722">
        <v>17</v>
      </c>
      <c r="R20" s="722">
        <v>18</v>
      </c>
      <c r="S20" s="722">
        <v>19</v>
      </c>
      <c r="T20" s="722">
        <v>20</v>
      </c>
      <c r="U20" s="722">
        <v>21</v>
      </c>
      <c r="V20" s="722">
        <v>22</v>
      </c>
      <c r="W20" s="723"/>
    </row>
    <row r="21" spans="2:23" s="10" customFormat="1" ht="33.75" customHeight="1" thickBot="1" thickTop="1">
      <c r="B21" s="44"/>
      <c r="C21" s="216" t="s">
        <v>46</v>
      </c>
      <c r="D21" s="101" t="s">
        <v>144</v>
      </c>
      <c r="E21" s="101" t="s">
        <v>143</v>
      </c>
      <c r="F21" s="214" t="s">
        <v>70</v>
      </c>
      <c r="G21" s="230" t="s">
        <v>14</v>
      </c>
      <c r="H21" s="233" t="s">
        <v>47</v>
      </c>
      <c r="I21" s="269" t="s">
        <v>49</v>
      </c>
      <c r="J21" s="210" t="s">
        <v>50</v>
      </c>
      <c r="K21" s="230" t="s">
        <v>51</v>
      </c>
      <c r="L21" s="232" t="s">
        <v>74</v>
      </c>
      <c r="M21" s="232" t="s">
        <v>75</v>
      </c>
      <c r="N21" s="105" t="s">
        <v>54</v>
      </c>
      <c r="O21" s="215" t="s">
        <v>76</v>
      </c>
      <c r="P21" s="390" t="s">
        <v>88</v>
      </c>
      <c r="Q21" s="324" t="s">
        <v>56</v>
      </c>
      <c r="R21" s="364" t="s">
        <v>80</v>
      </c>
      <c r="S21" s="365"/>
      <c r="T21" s="400" t="s">
        <v>60</v>
      </c>
      <c r="U21" s="212" t="s">
        <v>62</v>
      </c>
      <c r="V21" s="212" t="s">
        <v>63</v>
      </c>
      <c r="W21" s="38"/>
    </row>
    <row r="22" spans="2:23" s="10" customFormat="1" ht="16.5" customHeight="1" thickTop="1">
      <c r="B22" s="44"/>
      <c r="C22" s="20"/>
      <c r="D22" s="18"/>
      <c r="E22" s="18"/>
      <c r="F22" s="32"/>
      <c r="G22" s="32"/>
      <c r="H22" s="410"/>
      <c r="I22" s="277"/>
      <c r="J22" s="33"/>
      <c r="K22" s="34"/>
      <c r="L22" s="35"/>
      <c r="M22" s="64"/>
      <c r="N22" s="392"/>
      <c r="O22" s="392"/>
      <c r="P22" s="393"/>
      <c r="Q22" s="395"/>
      <c r="R22" s="397"/>
      <c r="S22" s="398"/>
      <c r="T22" s="401"/>
      <c r="U22" s="399"/>
      <c r="V22" s="415"/>
      <c r="W22" s="38"/>
    </row>
    <row r="23" spans="2:23" s="10" customFormat="1" ht="16.5" customHeight="1">
      <c r="B23" s="44"/>
      <c r="C23" s="20"/>
      <c r="D23" s="18"/>
      <c r="E23" s="18"/>
      <c r="F23" s="32"/>
      <c r="G23" s="32"/>
      <c r="H23" s="410"/>
      <c r="I23" s="277"/>
      <c r="J23" s="33"/>
      <c r="K23" s="34"/>
      <c r="L23" s="35"/>
      <c r="M23" s="64"/>
      <c r="N23" s="28"/>
      <c r="O23" s="28"/>
      <c r="P23" s="391"/>
      <c r="Q23" s="396"/>
      <c r="R23" s="370"/>
      <c r="S23" s="371"/>
      <c r="T23" s="402"/>
      <c r="U23" s="25"/>
      <c r="V23" s="231"/>
      <c r="W23" s="38"/>
    </row>
    <row r="24" spans="2:23" s="10" customFormat="1" ht="16.5" customHeight="1">
      <c r="B24" s="44"/>
      <c r="C24" s="663">
        <v>18</v>
      </c>
      <c r="D24" s="648">
        <v>278409</v>
      </c>
      <c r="E24" s="648">
        <v>4917</v>
      </c>
      <c r="F24" s="664" t="s">
        <v>167</v>
      </c>
      <c r="G24" s="664" t="s">
        <v>168</v>
      </c>
      <c r="H24" s="665">
        <v>132</v>
      </c>
      <c r="I24" s="277">
        <f aca="true" t="shared" si="0" ref="I24:I39">IF(H24=330,$G$16,IF(AND(H24&lt;=132,H24&gt;=66),$G$17,IF(AND(H24&lt;66,H24&gt;=33),$G$18,$G$19)))</f>
        <v>10.334</v>
      </c>
      <c r="J24" s="666">
        <v>41881.333333333336</v>
      </c>
      <c r="K24" s="667">
        <v>41881.74375</v>
      </c>
      <c r="L24" s="35">
        <f aca="true" t="shared" si="1" ref="L24:L39">IF(F24="","",(K24-J24)*24)</f>
        <v>9.849999999976717</v>
      </c>
      <c r="M24" s="64">
        <f aca="true" t="shared" si="2" ref="M24:M39">IF(F24="","",ROUND((K24-J24)*24*60,0))</f>
        <v>591</v>
      </c>
      <c r="N24" s="668" t="s">
        <v>150</v>
      </c>
      <c r="O24" s="28" t="str">
        <f aca="true" t="shared" si="3" ref="O24:O39">IF(F24="","",IF(N24="P","--","NO"))</f>
        <v>--</v>
      </c>
      <c r="P24" s="391">
        <f aca="true" t="shared" si="4" ref="P24:P39">IF(H24=330,$H$16,IF(AND(H24&lt;=132,H24&gt;=66),$H$17,IF(AND(H24&lt;66,H24&gt;13.2),$H$18,$H$19)))</f>
        <v>50</v>
      </c>
      <c r="Q24" s="718">
        <f aca="true" t="shared" si="5" ref="Q24:Q39">IF(N24="P",I24*P24*ROUND(M24/60,2)*0.1,"--")</f>
        <v>508.94949999999994</v>
      </c>
      <c r="R24" s="370" t="str">
        <f aca="true" t="shared" si="6" ref="R24:R39">IF(AND(N24="F",O24="NO"),I24*P24,"--")</f>
        <v>--</v>
      </c>
      <c r="S24" s="371" t="str">
        <f aca="true" t="shared" si="7" ref="S24:S39">IF(N24="F",I24*P24*ROUND(M24/60,2),"--")</f>
        <v>--</v>
      </c>
      <c r="T24" s="402" t="str">
        <f aca="true" t="shared" si="8" ref="T24:T39">IF(N24="RF",I24*P24*ROUND(M24/60,2),"--")</f>
        <v>--</v>
      </c>
      <c r="U24" s="25" t="s">
        <v>151</v>
      </c>
      <c r="V24" s="65">
        <f aca="true" t="shared" si="9" ref="V24:V39">IF(F24="","",SUM(Q24:T24)*IF(U24="SI",1,2)*IF(H24="500/220",0,1))</f>
        <v>508.94949999999994</v>
      </c>
      <c r="W24" s="38"/>
    </row>
    <row r="25" spans="2:23" s="10" customFormat="1" ht="16.5" customHeight="1">
      <c r="B25" s="44"/>
      <c r="C25" s="663"/>
      <c r="D25" s="648"/>
      <c r="E25" s="648"/>
      <c r="F25" s="664"/>
      <c r="G25" s="664"/>
      <c r="H25" s="665"/>
      <c r="I25" s="277">
        <f t="shared" si="0"/>
        <v>7.756</v>
      </c>
      <c r="J25" s="666"/>
      <c r="K25" s="667"/>
      <c r="L25" s="35">
        <f t="shared" si="1"/>
      </c>
      <c r="M25" s="64">
        <f t="shared" si="2"/>
      </c>
      <c r="N25" s="668"/>
      <c r="O25" s="28">
        <f t="shared" si="3"/>
      </c>
      <c r="P25" s="391">
        <f t="shared" si="4"/>
        <v>20</v>
      </c>
      <c r="Q25" s="718" t="str">
        <f t="shared" si="5"/>
        <v>--</v>
      </c>
      <c r="R25" s="370" t="str">
        <f t="shared" si="6"/>
        <v>--</v>
      </c>
      <c r="S25" s="371" t="str">
        <f t="shared" si="7"/>
        <v>--</v>
      </c>
      <c r="T25" s="402" t="str">
        <f t="shared" si="8"/>
        <v>--</v>
      </c>
      <c r="U25" s="25">
        <f aca="true" t="shared" si="10" ref="U25:U39">IF(F25="","","SI")</f>
      </c>
      <c r="V25" s="65">
        <f t="shared" si="9"/>
      </c>
      <c r="W25" s="38"/>
    </row>
    <row r="26" spans="2:23" s="10" customFormat="1" ht="16.5" customHeight="1">
      <c r="B26" s="44"/>
      <c r="C26" s="663"/>
      <c r="D26" s="648"/>
      <c r="E26" s="648"/>
      <c r="F26" s="664"/>
      <c r="G26" s="664"/>
      <c r="H26" s="665"/>
      <c r="I26" s="277">
        <f t="shared" si="0"/>
        <v>7.756</v>
      </c>
      <c r="J26" s="666"/>
      <c r="K26" s="667"/>
      <c r="L26" s="35">
        <f t="shared" si="1"/>
      </c>
      <c r="M26" s="64">
        <f t="shared" si="2"/>
      </c>
      <c r="N26" s="668"/>
      <c r="O26" s="28">
        <f t="shared" si="3"/>
      </c>
      <c r="P26" s="391">
        <f t="shared" si="4"/>
        <v>20</v>
      </c>
      <c r="Q26" s="718" t="str">
        <f t="shared" si="5"/>
        <v>--</v>
      </c>
      <c r="R26" s="370" t="str">
        <f t="shared" si="6"/>
        <v>--</v>
      </c>
      <c r="S26" s="371" t="str">
        <f t="shared" si="7"/>
        <v>--</v>
      </c>
      <c r="T26" s="402" t="str">
        <f t="shared" si="8"/>
        <v>--</v>
      </c>
      <c r="U26" s="25">
        <f t="shared" si="10"/>
      </c>
      <c r="V26" s="65">
        <f t="shared" si="9"/>
      </c>
      <c r="W26" s="38"/>
    </row>
    <row r="27" spans="2:23" s="10" customFormat="1" ht="16.5" customHeight="1">
      <c r="B27" s="44"/>
      <c r="C27" s="663"/>
      <c r="D27" s="648"/>
      <c r="E27" s="648"/>
      <c r="F27" s="664"/>
      <c r="G27" s="664"/>
      <c r="H27" s="665"/>
      <c r="I27" s="277">
        <f t="shared" si="0"/>
        <v>7.756</v>
      </c>
      <c r="J27" s="666"/>
      <c r="K27" s="667"/>
      <c r="L27" s="35">
        <f t="shared" si="1"/>
      </c>
      <c r="M27" s="64">
        <f t="shared" si="2"/>
      </c>
      <c r="N27" s="668"/>
      <c r="O27" s="28">
        <f t="shared" si="3"/>
      </c>
      <c r="P27" s="391">
        <f t="shared" si="4"/>
        <v>20</v>
      </c>
      <c r="Q27" s="718" t="str">
        <f t="shared" si="5"/>
        <v>--</v>
      </c>
      <c r="R27" s="370" t="str">
        <f t="shared" si="6"/>
        <v>--</v>
      </c>
      <c r="S27" s="371" t="str">
        <f t="shared" si="7"/>
        <v>--</v>
      </c>
      <c r="T27" s="402" t="str">
        <f t="shared" si="8"/>
        <v>--</v>
      </c>
      <c r="U27" s="25">
        <f t="shared" si="10"/>
      </c>
      <c r="V27" s="65">
        <f t="shared" si="9"/>
      </c>
      <c r="W27" s="38"/>
    </row>
    <row r="28" spans="2:23" s="10" customFormat="1" ht="16.5" customHeight="1">
      <c r="B28" s="44"/>
      <c r="C28" s="663"/>
      <c r="D28" s="648"/>
      <c r="E28" s="648"/>
      <c r="F28" s="664"/>
      <c r="G28" s="664"/>
      <c r="H28" s="665"/>
      <c r="I28" s="277">
        <f t="shared" si="0"/>
        <v>7.756</v>
      </c>
      <c r="J28" s="666"/>
      <c r="K28" s="667"/>
      <c r="L28" s="35">
        <f t="shared" si="1"/>
      </c>
      <c r="M28" s="64">
        <f t="shared" si="2"/>
      </c>
      <c r="N28" s="668"/>
      <c r="O28" s="28">
        <f t="shared" si="3"/>
      </c>
      <c r="P28" s="391">
        <f t="shared" si="4"/>
        <v>20</v>
      </c>
      <c r="Q28" s="718" t="str">
        <f t="shared" si="5"/>
        <v>--</v>
      </c>
      <c r="R28" s="370" t="str">
        <f t="shared" si="6"/>
        <v>--</v>
      </c>
      <c r="S28" s="371" t="str">
        <f t="shared" si="7"/>
        <v>--</v>
      </c>
      <c r="T28" s="402" t="str">
        <f t="shared" si="8"/>
        <v>--</v>
      </c>
      <c r="U28" s="25">
        <f t="shared" si="10"/>
      </c>
      <c r="V28" s="65">
        <f t="shared" si="9"/>
      </c>
      <c r="W28" s="38"/>
    </row>
    <row r="29" spans="2:23" s="10" customFormat="1" ht="16.5" customHeight="1">
      <c r="B29" s="44"/>
      <c r="C29" s="663"/>
      <c r="D29" s="648"/>
      <c r="E29" s="648"/>
      <c r="F29" s="664"/>
      <c r="G29" s="664"/>
      <c r="H29" s="665"/>
      <c r="I29" s="277">
        <f t="shared" si="0"/>
        <v>7.756</v>
      </c>
      <c r="J29" s="666"/>
      <c r="K29" s="667"/>
      <c r="L29" s="35">
        <f t="shared" si="1"/>
      </c>
      <c r="M29" s="64">
        <f t="shared" si="2"/>
      </c>
      <c r="N29" s="668"/>
      <c r="O29" s="28">
        <f t="shared" si="3"/>
      </c>
      <c r="P29" s="391">
        <f t="shared" si="4"/>
        <v>20</v>
      </c>
      <c r="Q29" s="718" t="str">
        <f t="shared" si="5"/>
        <v>--</v>
      </c>
      <c r="R29" s="370" t="str">
        <f t="shared" si="6"/>
        <v>--</v>
      </c>
      <c r="S29" s="371" t="str">
        <f t="shared" si="7"/>
        <v>--</v>
      </c>
      <c r="T29" s="402" t="str">
        <f t="shared" si="8"/>
        <v>--</v>
      </c>
      <c r="U29" s="25">
        <f t="shared" si="10"/>
      </c>
      <c r="V29" s="65">
        <f t="shared" si="9"/>
      </c>
      <c r="W29" s="38"/>
    </row>
    <row r="30" spans="2:23" s="10" customFormat="1" ht="16.5" customHeight="1">
      <c r="B30" s="44"/>
      <c r="C30" s="663"/>
      <c r="D30" s="648"/>
      <c r="E30" s="648"/>
      <c r="F30" s="664"/>
      <c r="G30" s="664"/>
      <c r="H30" s="665"/>
      <c r="I30" s="277">
        <f t="shared" si="0"/>
        <v>7.756</v>
      </c>
      <c r="J30" s="666"/>
      <c r="K30" s="667"/>
      <c r="L30" s="35">
        <f t="shared" si="1"/>
      </c>
      <c r="M30" s="64">
        <f t="shared" si="2"/>
      </c>
      <c r="N30" s="668"/>
      <c r="O30" s="28">
        <f t="shared" si="3"/>
      </c>
      <c r="P30" s="391">
        <f t="shared" si="4"/>
        <v>20</v>
      </c>
      <c r="Q30" s="718" t="str">
        <f t="shared" si="5"/>
        <v>--</v>
      </c>
      <c r="R30" s="370" t="str">
        <f t="shared" si="6"/>
        <v>--</v>
      </c>
      <c r="S30" s="371" t="str">
        <f t="shared" si="7"/>
        <v>--</v>
      </c>
      <c r="T30" s="402" t="str">
        <f t="shared" si="8"/>
        <v>--</v>
      </c>
      <c r="U30" s="25">
        <f t="shared" si="10"/>
      </c>
      <c r="V30" s="65">
        <f t="shared" si="9"/>
      </c>
      <c r="W30" s="38"/>
    </row>
    <row r="31" spans="2:23" s="10" customFormat="1" ht="16.5" customHeight="1">
      <c r="B31" s="44"/>
      <c r="C31" s="663"/>
      <c r="D31" s="648"/>
      <c r="E31" s="648"/>
      <c r="F31" s="664"/>
      <c r="G31" s="664"/>
      <c r="H31" s="665"/>
      <c r="I31" s="277">
        <f t="shared" si="0"/>
        <v>7.756</v>
      </c>
      <c r="J31" s="666"/>
      <c r="K31" s="667"/>
      <c r="L31" s="35">
        <f t="shared" si="1"/>
      </c>
      <c r="M31" s="64">
        <f t="shared" si="2"/>
      </c>
      <c r="N31" s="668"/>
      <c r="O31" s="28">
        <f t="shared" si="3"/>
      </c>
      <c r="P31" s="391">
        <f t="shared" si="4"/>
        <v>20</v>
      </c>
      <c r="Q31" s="718" t="str">
        <f t="shared" si="5"/>
        <v>--</v>
      </c>
      <c r="R31" s="370" t="str">
        <f t="shared" si="6"/>
        <v>--</v>
      </c>
      <c r="S31" s="371" t="str">
        <f t="shared" si="7"/>
        <v>--</v>
      </c>
      <c r="T31" s="402" t="str">
        <f t="shared" si="8"/>
        <v>--</v>
      </c>
      <c r="U31" s="25">
        <f t="shared" si="10"/>
      </c>
      <c r="V31" s="65">
        <f t="shared" si="9"/>
      </c>
      <c r="W31" s="38"/>
    </row>
    <row r="32" spans="2:23" s="10" customFormat="1" ht="16.5" customHeight="1">
      <c r="B32" s="44"/>
      <c r="C32" s="663"/>
      <c r="D32" s="648"/>
      <c r="E32" s="648"/>
      <c r="F32" s="664"/>
      <c r="G32" s="664"/>
      <c r="H32" s="665"/>
      <c r="I32" s="277">
        <f t="shared" si="0"/>
        <v>7.756</v>
      </c>
      <c r="J32" s="666"/>
      <c r="K32" s="667"/>
      <c r="L32" s="35">
        <f t="shared" si="1"/>
      </c>
      <c r="M32" s="64">
        <f t="shared" si="2"/>
      </c>
      <c r="N32" s="668"/>
      <c r="O32" s="28">
        <f t="shared" si="3"/>
      </c>
      <c r="P32" s="391">
        <f t="shared" si="4"/>
        <v>20</v>
      </c>
      <c r="Q32" s="718" t="str">
        <f t="shared" si="5"/>
        <v>--</v>
      </c>
      <c r="R32" s="370" t="str">
        <f t="shared" si="6"/>
        <v>--</v>
      </c>
      <c r="S32" s="371" t="str">
        <f t="shared" si="7"/>
        <v>--</v>
      </c>
      <c r="T32" s="402" t="str">
        <f t="shared" si="8"/>
        <v>--</v>
      </c>
      <c r="U32" s="25">
        <f t="shared" si="10"/>
      </c>
      <c r="V32" s="65">
        <f t="shared" si="9"/>
      </c>
      <c r="W32" s="38"/>
    </row>
    <row r="33" spans="2:23" s="10" customFormat="1" ht="16.5" customHeight="1">
      <c r="B33" s="44"/>
      <c r="C33" s="663"/>
      <c r="D33" s="648"/>
      <c r="E33" s="648"/>
      <c r="F33" s="664"/>
      <c r="G33" s="664"/>
      <c r="H33" s="665"/>
      <c r="I33" s="277">
        <f t="shared" si="0"/>
        <v>7.756</v>
      </c>
      <c r="J33" s="666"/>
      <c r="K33" s="667"/>
      <c r="L33" s="35">
        <f t="shared" si="1"/>
      </c>
      <c r="M33" s="64">
        <f t="shared" si="2"/>
      </c>
      <c r="N33" s="668"/>
      <c r="O33" s="28">
        <f t="shared" si="3"/>
      </c>
      <c r="P33" s="391">
        <f t="shared" si="4"/>
        <v>20</v>
      </c>
      <c r="Q33" s="718" t="str">
        <f t="shared" si="5"/>
        <v>--</v>
      </c>
      <c r="R33" s="370" t="str">
        <f t="shared" si="6"/>
        <v>--</v>
      </c>
      <c r="S33" s="371" t="str">
        <f t="shared" si="7"/>
        <v>--</v>
      </c>
      <c r="T33" s="402" t="str">
        <f t="shared" si="8"/>
        <v>--</v>
      </c>
      <c r="U33" s="25">
        <f t="shared" si="10"/>
      </c>
      <c r="V33" s="65">
        <f t="shared" si="9"/>
      </c>
      <c r="W33" s="38"/>
    </row>
    <row r="34" spans="2:23" s="10" customFormat="1" ht="16.5" customHeight="1">
      <c r="B34" s="44"/>
      <c r="C34" s="663"/>
      <c r="D34" s="648"/>
      <c r="E34" s="648"/>
      <c r="F34" s="664"/>
      <c r="G34" s="664"/>
      <c r="H34" s="665"/>
      <c r="I34" s="277">
        <f t="shared" si="0"/>
        <v>7.756</v>
      </c>
      <c r="J34" s="666"/>
      <c r="K34" s="667"/>
      <c r="L34" s="35">
        <f t="shared" si="1"/>
      </c>
      <c r="M34" s="64">
        <f t="shared" si="2"/>
      </c>
      <c r="N34" s="668"/>
      <c r="O34" s="28">
        <f t="shared" si="3"/>
      </c>
      <c r="P34" s="391">
        <f t="shared" si="4"/>
        <v>20</v>
      </c>
      <c r="Q34" s="718" t="str">
        <f t="shared" si="5"/>
        <v>--</v>
      </c>
      <c r="R34" s="370" t="str">
        <f t="shared" si="6"/>
        <v>--</v>
      </c>
      <c r="S34" s="371" t="str">
        <f t="shared" si="7"/>
        <v>--</v>
      </c>
      <c r="T34" s="402" t="str">
        <f t="shared" si="8"/>
        <v>--</v>
      </c>
      <c r="U34" s="25">
        <f t="shared" si="10"/>
      </c>
      <c r="V34" s="65">
        <f t="shared" si="9"/>
      </c>
      <c r="W34" s="38"/>
    </row>
    <row r="35" spans="2:23" s="10" customFormat="1" ht="16.5" customHeight="1">
      <c r="B35" s="44"/>
      <c r="C35" s="663"/>
      <c r="D35" s="648"/>
      <c r="E35" s="648"/>
      <c r="F35" s="664"/>
      <c r="G35" s="664"/>
      <c r="H35" s="665"/>
      <c r="I35" s="277">
        <f t="shared" si="0"/>
        <v>7.756</v>
      </c>
      <c r="J35" s="666"/>
      <c r="K35" s="667"/>
      <c r="L35" s="35">
        <f t="shared" si="1"/>
      </c>
      <c r="M35" s="64">
        <f t="shared" si="2"/>
      </c>
      <c r="N35" s="668"/>
      <c r="O35" s="28">
        <f t="shared" si="3"/>
      </c>
      <c r="P35" s="391">
        <f t="shared" si="4"/>
        <v>20</v>
      </c>
      <c r="Q35" s="718" t="str">
        <f t="shared" si="5"/>
        <v>--</v>
      </c>
      <c r="R35" s="370" t="str">
        <f t="shared" si="6"/>
        <v>--</v>
      </c>
      <c r="S35" s="371" t="str">
        <f t="shared" si="7"/>
        <v>--</v>
      </c>
      <c r="T35" s="402" t="str">
        <f t="shared" si="8"/>
        <v>--</v>
      </c>
      <c r="U35" s="25">
        <f t="shared" si="10"/>
      </c>
      <c r="V35" s="65">
        <f t="shared" si="9"/>
      </c>
      <c r="W35" s="38"/>
    </row>
    <row r="36" spans="2:23" s="10" customFormat="1" ht="16.5" customHeight="1">
      <c r="B36" s="44"/>
      <c r="C36" s="663"/>
      <c r="D36" s="648"/>
      <c r="E36" s="648"/>
      <c r="F36" s="664"/>
      <c r="G36" s="664"/>
      <c r="H36" s="665"/>
      <c r="I36" s="277">
        <f t="shared" si="0"/>
        <v>7.756</v>
      </c>
      <c r="J36" s="666"/>
      <c r="K36" s="667"/>
      <c r="L36" s="35">
        <f t="shared" si="1"/>
      </c>
      <c r="M36" s="64">
        <f t="shared" si="2"/>
      </c>
      <c r="N36" s="668"/>
      <c r="O36" s="28">
        <f t="shared" si="3"/>
      </c>
      <c r="P36" s="391">
        <f t="shared" si="4"/>
        <v>20</v>
      </c>
      <c r="Q36" s="718" t="str">
        <f t="shared" si="5"/>
        <v>--</v>
      </c>
      <c r="R36" s="370" t="str">
        <f t="shared" si="6"/>
        <v>--</v>
      </c>
      <c r="S36" s="371" t="str">
        <f t="shared" si="7"/>
        <v>--</v>
      </c>
      <c r="T36" s="402" t="str">
        <f t="shared" si="8"/>
        <v>--</v>
      </c>
      <c r="U36" s="25">
        <f t="shared" si="10"/>
      </c>
      <c r="V36" s="65">
        <f t="shared" si="9"/>
      </c>
      <c r="W36" s="38"/>
    </row>
    <row r="37" spans="2:23" s="10" customFormat="1" ht="16.5" customHeight="1">
      <c r="B37" s="44"/>
      <c r="C37" s="663"/>
      <c r="D37" s="648"/>
      <c r="E37" s="648"/>
      <c r="F37" s="664"/>
      <c r="G37" s="664"/>
      <c r="H37" s="665"/>
      <c r="I37" s="277">
        <f t="shared" si="0"/>
        <v>7.756</v>
      </c>
      <c r="J37" s="666"/>
      <c r="K37" s="667"/>
      <c r="L37" s="35">
        <f t="shared" si="1"/>
      </c>
      <c r="M37" s="64">
        <f t="shared" si="2"/>
      </c>
      <c r="N37" s="668"/>
      <c r="O37" s="28">
        <f t="shared" si="3"/>
      </c>
      <c r="P37" s="391">
        <f t="shared" si="4"/>
        <v>20</v>
      </c>
      <c r="Q37" s="718" t="str">
        <f t="shared" si="5"/>
        <v>--</v>
      </c>
      <c r="R37" s="370" t="str">
        <f t="shared" si="6"/>
        <v>--</v>
      </c>
      <c r="S37" s="371" t="str">
        <f t="shared" si="7"/>
        <v>--</v>
      </c>
      <c r="T37" s="402" t="str">
        <f t="shared" si="8"/>
        <v>--</v>
      </c>
      <c r="U37" s="25">
        <f t="shared" si="10"/>
      </c>
      <c r="V37" s="65">
        <f t="shared" si="9"/>
      </c>
      <c r="W37" s="38"/>
    </row>
    <row r="38" spans="2:23" s="10" customFormat="1" ht="16.5" customHeight="1">
      <c r="B38" s="44"/>
      <c r="C38" s="663"/>
      <c r="D38" s="648"/>
      <c r="E38" s="648"/>
      <c r="F38" s="664"/>
      <c r="G38" s="664"/>
      <c r="H38" s="665"/>
      <c r="I38" s="277">
        <f t="shared" si="0"/>
        <v>7.756</v>
      </c>
      <c r="J38" s="666"/>
      <c r="K38" s="667"/>
      <c r="L38" s="35">
        <f t="shared" si="1"/>
      </c>
      <c r="M38" s="64">
        <f t="shared" si="2"/>
      </c>
      <c r="N38" s="668"/>
      <c r="O38" s="28">
        <f t="shared" si="3"/>
      </c>
      <c r="P38" s="391">
        <f t="shared" si="4"/>
        <v>20</v>
      </c>
      <c r="Q38" s="718" t="str">
        <f t="shared" si="5"/>
        <v>--</v>
      </c>
      <c r="R38" s="370" t="str">
        <f t="shared" si="6"/>
        <v>--</v>
      </c>
      <c r="S38" s="371" t="str">
        <f t="shared" si="7"/>
        <v>--</v>
      </c>
      <c r="T38" s="402" t="str">
        <f t="shared" si="8"/>
        <v>--</v>
      </c>
      <c r="U38" s="25">
        <f t="shared" si="10"/>
      </c>
      <c r="V38" s="65">
        <f t="shared" si="9"/>
      </c>
      <c r="W38" s="38"/>
    </row>
    <row r="39" spans="2:23" s="10" customFormat="1" ht="16.5" customHeight="1">
      <c r="B39" s="44"/>
      <c r="C39" s="663"/>
      <c r="D39" s="648"/>
      <c r="E39" s="648"/>
      <c r="F39" s="664"/>
      <c r="G39" s="664"/>
      <c r="H39" s="665"/>
      <c r="I39" s="277">
        <f t="shared" si="0"/>
        <v>7.756</v>
      </c>
      <c r="J39" s="666"/>
      <c r="K39" s="667"/>
      <c r="L39" s="35">
        <f t="shared" si="1"/>
      </c>
      <c r="M39" s="64">
        <f t="shared" si="2"/>
      </c>
      <c r="N39" s="668"/>
      <c r="O39" s="28">
        <f t="shared" si="3"/>
      </c>
      <c r="P39" s="391">
        <f t="shared" si="4"/>
        <v>20</v>
      </c>
      <c r="Q39" s="718" t="str">
        <f t="shared" si="5"/>
        <v>--</v>
      </c>
      <c r="R39" s="370" t="str">
        <f t="shared" si="6"/>
        <v>--</v>
      </c>
      <c r="S39" s="371" t="str">
        <f t="shared" si="7"/>
        <v>--</v>
      </c>
      <c r="T39" s="402" t="str">
        <f t="shared" si="8"/>
        <v>--</v>
      </c>
      <c r="U39" s="25">
        <f t="shared" si="10"/>
      </c>
      <c r="V39" s="65">
        <f t="shared" si="9"/>
      </c>
      <c r="W39" s="38"/>
    </row>
    <row r="40" spans="2:23" s="10" customFormat="1" ht="16.5" customHeight="1">
      <c r="B40" s="44"/>
      <c r="C40" s="663"/>
      <c r="D40" s="648"/>
      <c r="E40" s="648"/>
      <c r="F40" s="664"/>
      <c r="G40" s="664"/>
      <c r="H40" s="665"/>
      <c r="I40" s="277">
        <f>IF(H40=330,$G$16,IF(AND(H40&lt;=132,H40&gt;=66),$G$17,IF(AND(H40&lt;66,H40&gt;=33),$G$18,$G$19)))</f>
        <v>7.756</v>
      </c>
      <c r="J40" s="666"/>
      <c r="K40" s="667"/>
      <c r="L40" s="35">
        <f>IF(F40="","",(K40-J40)*24)</f>
      </c>
      <c r="M40" s="64">
        <f>IF(F40="","",ROUND((K40-J40)*24*60,0))</f>
      </c>
      <c r="N40" s="668"/>
      <c r="O40" s="28">
        <f>IF(F40="","",IF(N40="P","--","NO"))</f>
      </c>
      <c r="P40" s="391">
        <f>IF(H40=330,$H$16,IF(AND(H40&lt;=132,H40&gt;=66),$H$17,IF(AND(H40&lt;66,H40&gt;13.2),$H$18,$H$19)))</f>
        <v>20</v>
      </c>
      <c r="Q40" s="718" t="str">
        <f>IF(N40="P",I40*P40*ROUND(M40/60,2)*0.1,"--")</f>
        <v>--</v>
      </c>
      <c r="R40" s="370" t="str">
        <f>IF(AND(N40="F",O40="NO"),I40*P40,"--")</f>
        <v>--</v>
      </c>
      <c r="S40" s="371" t="str">
        <f>IF(N40="F",I40*P40*ROUND(M40/60,2),"--")</f>
        <v>--</v>
      </c>
      <c r="T40" s="402" t="str">
        <f>IF(N40="RF",I40*P40*ROUND(M40/60,2),"--")</f>
        <v>--</v>
      </c>
      <c r="U40" s="25">
        <f>IF(F40="","","SI")</f>
      </c>
      <c r="V40" s="65">
        <f>IF(F40="","",SUM(Q40:T40)*IF(U40="SI",1,2)*IF(H40="500/220",0,1))</f>
      </c>
      <c r="W40" s="38"/>
    </row>
    <row r="41" spans="2:23" s="10" customFormat="1" ht="16.5" customHeight="1">
      <c r="B41" s="44"/>
      <c r="C41" s="663"/>
      <c r="D41" s="648"/>
      <c r="E41" s="648"/>
      <c r="F41" s="664"/>
      <c r="G41" s="664"/>
      <c r="H41" s="665"/>
      <c r="I41" s="277">
        <f>IF(H41=330,$G$16,IF(AND(H41&lt;=132,H41&gt;=66),$G$17,IF(AND(H41&lt;66,H41&gt;=33),$G$18,$G$19)))</f>
        <v>7.756</v>
      </c>
      <c r="J41" s="666"/>
      <c r="K41" s="667"/>
      <c r="L41" s="35">
        <f>IF(F41="","",(K41-J41)*24)</f>
      </c>
      <c r="M41" s="64">
        <f>IF(F41="","",ROUND((K41-J41)*24*60,0))</f>
      </c>
      <c r="N41" s="668"/>
      <c r="O41" s="28">
        <f>IF(F41="","",IF(N41="P","--","NO"))</f>
      </c>
      <c r="P41" s="391">
        <f>IF(H41=330,$H$16,IF(AND(H41&lt;=132,H41&gt;=66),$H$17,IF(AND(H41&lt;66,H41&gt;13.2),$H$18,$H$19)))</f>
        <v>20</v>
      </c>
      <c r="Q41" s="718" t="str">
        <f>IF(N41="P",I41*P41*ROUND(M41/60,2)*0.1,"--")</f>
        <v>--</v>
      </c>
      <c r="R41" s="370" t="str">
        <f>IF(AND(N41="F",O41="NO"),I41*P41,"--")</f>
        <v>--</v>
      </c>
      <c r="S41" s="371" t="str">
        <f>IF(N41="F",I41*P41*ROUND(M41/60,2),"--")</f>
        <v>--</v>
      </c>
      <c r="T41" s="402" t="str">
        <f>IF(N41="RF",I41*P41*ROUND(M41/60,2),"--")</f>
        <v>--</v>
      </c>
      <c r="U41" s="25">
        <f>IF(F41="","","SI")</f>
      </c>
      <c r="V41" s="65">
        <f>IF(F41="","",SUM(Q41:T41)*IF(U41="SI",1,2)*IF(H41="500/220",0,1))</f>
      </c>
      <c r="W41" s="38"/>
    </row>
    <row r="42" spans="2:23" s="10" customFormat="1" ht="16.5" customHeight="1">
      <c r="B42" s="44"/>
      <c r="C42" s="663"/>
      <c r="D42" s="648"/>
      <c r="E42" s="648"/>
      <c r="F42" s="664"/>
      <c r="G42" s="664"/>
      <c r="H42" s="665"/>
      <c r="I42" s="277">
        <f>IF(H42=330,$G$16,IF(AND(H42&lt;=132,H42&gt;=66),$G$17,IF(AND(H42&lt;66,H42&gt;=33),$G$18,$G$19)))</f>
        <v>7.756</v>
      </c>
      <c r="J42" s="666"/>
      <c r="K42" s="667"/>
      <c r="L42" s="35">
        <f>IF(F42="","",(K42-J42)*24)</f>
      </c>
      <c r="M42" s="64">
        <f>IF(F42="","",ROUND((K42-J42)*24*60,0))</f>
      </c>
      <c r="N42" s="668"/>
      <c r="O42" s="28">
        <f>IF(F42="","",IF(N42="P","--","NO"))</f>
      </c>
      <c r="P42" s="391">
        <f>IF(H42=330,$H$16,IF(AND(H42&lt;=132,H42&gt;=66),$H$17,IF(AND(H42&lt;66,H42&gt;13.2),$H$18,$H$19)))</f>
        <v>20</v>
      </c>
      <c r="Q42" s="718" t="str">
        <f>IF(N42="P",I42*P42*ROUND(M42/60,2)*0.1,"--")</f>
        <v>--</v>
      </c>
      <c r="R42" s="370" t="str">
        <f>IF(AND(N42="F",O42="NO"),I42*P42,"--")</f>
        <v>--</v>
      </c>
      <c r="S42" s="371" t="str">
        <f>IF(N42="F",I42*P42*ROUND(M42/60,2),"--")</f>
        <v>--</v>
      </c>
      <c r="T42" s="402" t="str">
        <f>IF(N42="RF",I42*P42*ROUND(M42/60,2),"--")</f>
        <v>--</v>
      </c>
      <c r="U42" s="25">
        <f>IF(F42="","","SI")</f>
      </c>
      <c r="V42" s="65">
        <f>IF(F42="","",SUM(Q42:T42)*IF(U42="SI",1,2)*IF(H42="500/220",0,1))</f>
      </c>
      <c r="W42" s="38"/>
    </row>
    <row r="43" spans="2:23" s="10" customFormat="1" ht="16.5" customHeight="1" thickBot="1">
      <c r="B43" s="44"/>
      <c r="C43" s="651"/>
      <c r="D43" s="651"/>
      <c r="E43" s="651"/>
      <c r="F43" s="651"/>
      <c r="G43" s="651"/>
      <c r="H43" s="651"/>
      <c r="I43" s="276"/>
      <c r="J43" s="651"/>
      <c r="K43" s="651"/>
      <c r="L43" s="29"/>
      <c r="M43" s="29"/>
      <c r="N43" s="651"/>
      <c r="O43" s="651"/>
      <c r="P43" s="669"/>
      <c r="Q43" s="670"/>
      <c r="R43" s="659"/>
      <c r="S43" s="660"/>
      <c r="T43" s="654"/>
      <c r="U43" s="651"/>
      <c r="V43" s="218"/>
      <c r="W43" s="38"/>
    </row>
    <row r="44" spans="2:23" s="10" customFormat="1" ht="16.5" customHeight="1" thickBot="1" thickTop="1">
      <c r="B44" s="44"/>
      <c r="C44" s="244" t="s">
        <v>64</v>
      </c>
      <c r="D44" s="734" t="s">
        <v>173</v>
      </c>
      <c r="E44" s="698"/>
      <c r="F44" s="245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403">
        <f>SUM(Q22:Q43)</f>
        <v>508.94949999999994</v>
      </c>
      <c r="R44" s="331">
        <f>SUM(R22:R43)</f>
        <v>0</v>
      </c>
      <c r="S44" s="331">
        <f>SUM(S22:S43)</f>
        <v>0</v>
      </c>
      <c r="T44" s="404">
        <f>SUM(T22:T43)</f>
        <v>0</v>
      </c>
      <c r="U44" s="66"/>
      <c r="V44" s="260">
        <f>ROUND(SUM(V22:V43),2)</f>
        <v>508.95</v>
      </c>
      <c r="W44" s="38"/>
    </row>
    <row r="45" spans="2:23" s="262" customFormat="1" ht="9.75" thickTop="1">
      <c r="B45" s="261"/>
      <c r="C45" s="246"/>
      <c r="D45" s="246"/>
      <c r="E45" s="246"/>
      <c r="F45" s="247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6"/>
      <c r="V45" s="267"/>
      <c r="W45" s="268"/>
    </row>
    <row r="46" spans="1:23" s="10" customFormat="1" ht="16.5" customHeight="1" thickBot="1">
      <c r="A46" s="11"/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4"/>
    </row>
    <row r="47" spans="1:23" ht="13.5" thickTop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3:6" ht="12.75">
      <c r="C48" s="6"/>
      <c r="D48" s="6"/>
      <c r="E48" s="6"/>
      <c r="F48" s="6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4"/>
  <headerFooter alignWithMargins="0">
    <oddFooter>&amp;L&amp;"Times New Roman,Normal"&amp;8&amp;Z&amp;F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4">
    <pageSetUpPr fitToPage="1"/>
  </sheetPr>
  <dimension ref="A1:W49"/>
  <sheetViews>
    <sheetView zoomScale="70" zoomScaleNormal="70" zoomScalePageLayoutView="0" workbookViewId="0" topLeftCell="A1">
      <selection activeCell="G17" sqref="G17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30.7109375" style="0" customWidth="1"/>
    <col min="7" max="7" width="40.7109375" style="0" customWidth="1"/>
    <col min="8" max="8" width="9.7109375" style="0" customWidth="1"/>
    <col min="9" max="9" width="13.14062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6" width="12.140625" style="0" hidden="1" customWidth="1"/>
    <col min="17" max="17" width="16.8515625" style="0" hidden="1" customWidth="1"/>
    <col min="18" max="18" width="16.57421875" style="0" hidden="1" customWidth="1"/>
    <col min="19" max="20" width="15.574218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09" customFormat="1" ht="26.25">
      <c r="W1" s="416"/>
    </row>
    <row r="2" spans="2:23" s="109" customFormat="1" ht="26.25">
      <c r="B2" s="110" t="str">
        <f>+'TOT-0814'!B2</f>
        <v>ANEXO II al Memorándum  D.T.E.E.  N°  301 /2016              .-</v>
      </c>
      <c r="C2" s="111"/>
      <c r="D2" s="111"/>
      <c r="E2" s="111"/>
      <c r="F2" s="111"/>
      <c r="G2" s="110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</row>
    <row r="3" s="10" customFormat="1" ht="12.75"/>
    <row r="4" spans="1:4" s="112" customFormat="1" ht="11.25">
      <c r="A4" s="701" t="s">
        <v>16</v>
      </c>
      <c r="C4" s="700"/>
      <c r="D4" s="700"/>
    </row>
    <row r="5" spans="1:4" s="112" customFormat="1" ht="11.25">
      <c r="A5" s="701" t="s">
        <v>145</v>
      </c>
      <c r="C5" s="700"/>
      <c r="D5" s="700"/>
    </row>
    <row r="6" s="10" customFormat="1" ht="13.5" thickBot="1"/>
    <row r="7" spans="2:23" s="10" customFormat="1" ht="13.5" thickTop="1"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3"/>
    </row>
    <row r="8" spans="2:23" s="114" customFormat="1" ht="20.25">
      <c r="B8" s="113"/>
      <c r="C8" s="45"/>
      <c r="D8" s="45"/>
      <c r="E8" s="45"/>
      <c r="F8" s="21" t="s">
        <v>40</v>
      </c>
      <c r="P8" s="45"/>
      <c r="Q8" s="45"/>
      <c r="R8" s="45"/>
      <c r="S8" s="45"/>
      <c r="T8" s="45"/>
      <c r="U8" s="45"/>
      <c r="V8" s="45"/>
      <c r="W8" s="115"/>
    </row>
    <row r="9" spans="2:23" s="10" customFormat="1" ht="12.75">
      <c r="B9" s="44"/>
      <c r="C9" s="8"/>
      <c r="D9" s="8"/>
      <c r="E9" s="8"/>
      <c r="F9" s="8"/>
      <c r="G9" s="8"/>
      <c r="H9" s="8"/>
      <c r="I9" s="123"/>
      <c r="J9" s="123"/>
      <c r="K9" s="123"/>
      <c r="L9" s="123"/>
      <c r="M9" s="123"/>
      <c r="P9" s="8"/>
      <c r="Q9" s="8"/>
      <c r="R9" s="8"/>
      <c r="S9" s="8"/>
      <c r="T9" s="8"/>
      <c r="U9" s="8"/>
      <c r="V9" s="8"/>
      <c r="W9" s="11"/>
    </row>
    <row r="10" spans="2:23" s="114" customFormat="1" ht="20.25">
      <c r="B10" s="113"/>
      <c r="C10" s="45"/>
      <c r="D10" s="45"/>
      <c r="E10" s="45"/>
      <c r="F10" s="21" t="s">
        <v>141</v>
      </c>
      <c r="G10" s="21"/>
      <c r="H10" s="45"/>
      <c r="I10" s="21"/>
      <c r="J10" s="21"/>
      <c r="K10" s="21"/>
      <c r="L10" s="21"/>
      <c r="M10" s="21"/>
      <c r="P10" s="45"/>
      <c r="Q10" s="45"/>
      <c r="R10" s="45"/>
      <c r="S10" s="45"/>
      <c r="T10" s="45"/>
      <c r="U10" s="45"/>
      <c r="V10" s="45"/>
      <c r="W10" s="115"/>
    </row>
    <row r="11" spans="2:23" s="10" customFormat="1" ht="12.75">
      <c r="B11" s="44"/>
      <c r="C11" s="8"/>
      <c r="D11" s="8"/>
      <c r="E11" s="8"/>
      <c r="F11" s="125"/>
      <c r="G11" s="123"/>
      <c r="H11" s="8"/>
      <c r="I11" s="123"/>
      <c r="J11" s="123"/>
      <c r="K11" s="123"/>
      <c r="L11" s="123"/>
      <c r="M11" s="123"/>
      <c r="P11" s="8"/>
      <c r="Q11" s="8"/>
      <c r="R11" s="8"/>
      <c r="S11" s="8"/>
      <c r="T11" s="8"/>
      <c r="U11" s="8"/>
      <c r="V11" s="8"/>
      <c r="W11" s="11"/>
    </row>
    <row r="12" spans="2:23" s="121" customFormat="1" ht="19.5">
      <c r="B12" s="87" t="str">
        <f>+'TOT-0814'!B14</f>
        <v>Desde el 01 al 31 de agosto de 2014</v>
      </c>
      <c r="C12" s="117"/>
      <c r="D12" s="117"/>
      <c r="E12" s="117"/>
      <c r="F12" s="117"/>
      <c r="G12" s="117"/>
      <c r="H12" s="86"/>
      <c r="I12" s="117"/>
      <c r="J12" s="118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20"/>
    </row>
    <row r="13" spans="2:23" s="121" customFormat="1" ht="7.5" customHeight="1">
      <c r="B13" s="87"/>
      <c r="C13" s="117"/>
      <c r="D13" s="117"/>
      <c r="E13" s="117"/>
      <c r="F13" s="117"/>
      <c r="G13" s="117"/>
      <c r="H13" s="86"/>
      <c r="I13" s="117"/>
      <c r="J13" s="118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20"/>
    </row>
    <row r="14" spans="2:23" s="10" customFormat="1" ht="7.5" customHeight="1" thickBot="1">
      <c r="B14" s="44"/>
      <c r="C14" s="8"/>
      <c r="D14" s="8"/>
      <c r="E14" s="8"/>
      <c r="I14" s="122"/>
      <c r="K14" s="8"/>
      <c r="L14" s="8"/>
      <c r="M14" s="8"/>
      <c r="N14" s="122"/>
      <c r="O14" s="122"/>
      <c r="P14" s="122"/>
      <c r="Q14" s="8"/>
      <c r="R14" s="8"/>
      <c r="S14" s="8"/>
      <c r="T14" s="8"/>
      <c r="U14" s="8"/>
      <c r="V14" s="8"/>
      <c r="W14" s="11"/>
    </row>
    <row r="15" spans="2:23" s="10" customFormat="1" ht="16.5" customHeight="1" thickBot="1" thickTop="1">
      <c r="B15" s="44"/>
      <c r="C15" s="8"/>
      <c r="D15" s="8"/>
      <c r="E15" s="8"/>
      <c r="F15" s="223" t="s">
        <v>84</v>
      </c>
      <c r="G15" s="224" t="s">
        <v>164</v>
      </c>
      <c r="H15" s="93">
        <f>60*'TOT-0814'!B13</f>
        <v>60</v>
      </c>
      <c r="I15" s="122"/>
      <c r="J15" s="239" t="str">
        <f>IF(H15=60," ",IF(H15=120,"Coeficiente duplicado por tasa de falla &gt;4 Sal. x año/100 km.","REVISAR COEFICIENTE"))</f>
        <v> </v>
      </c>
      <c r="K15" s="8"/>
      <c r="L15" s="8"/>
      <c r="M15" s="8"/>
      <c r="N15" s="122"/>
      <c r="O15" s="122"/>
      <c r="P15" s="122"/>
      <c r="Q15" s="8"/>
      <c r="R15" s="8"/>
      <c r="S15" s="8"/>
      <c r="T15" s="8"/>
      <c r="U15" s="8"/>
      <c r="V15" s="8"/>
      <c r="W15" s="11"/>
    </row>
    <row r="16" spans="2:23" s="10" customFormat="1" ht="16.5" customHeight="1" thickBot="1" thickTop="1">
      <c r="B16" s="44"/>
      <c r="C16" s="8"/>
      <c r="D16" s="8"/>
      <c r="E16" s="8"/>
      <c r="F16" s="223" t="s">
        <v>85</v>
      </c>
      <c r="G16" s="224">
        <v>3.243</v>
      </c>
      <c r="H16" s="93">
        <f>50*'TOT-0814'!B13</f>
        <v>50</v>
      </c>
      <c r="J16" s="239" t="str">
        <f>IF(H16=50," ",IF(H16=100,"Coeficiente duplicado por tasa de falla &gt;4 Sal. x año/100 km.","REVISAR COEFICIENTE"))</f>
        <v> </v>
      </c>
      <c r="Q16" s="278"/>
      <c r="S16" s="8"/>
      <c r="T16" s="8"/>
      <c r="U16" s="8"/>
      <c r="V16" s="220"/>
      <c r="W16" s="11"/>
    </row>
    <row r="17" spans="2:23" s="10" customFormat="1" ht="16.5" customHeight="1" thickBot="1" thickTop="1">
      <c r="B17" s="44"/>
      <c r="C17" s="8"/>
      <c r="D17" s="8"/>
      <c r="E17" s="8"/>
      <c r="F17" s="225" t="s">
        <v>86</v>
      </c>
      <c r="G17" s="226">
        <v>2.433</v>
      </c>
      <c r="H17" s="227">
        <f>25*'TOT-0814'!B13</f>
        <v>25</v>
      </c>
      <c r="J17" s="239" t="str">
        <f>IF(H17=25," ",IF(H17=50,"Coeficiente duplicado por tasa de falla &gt;4 Sal. x año/100 km.","REVISAR COEFICIENTE"))</f>
        <v> </v>
      </c>
      <c r="K17" s="167"/>
      <c r="L17" s="167"/>
      <c r="M17" s="8"/>
      <c r="P17" s="221"/>
      <c r="Q17" s="222"/>
      <c r="R17" s="36"/>
      <c r="S17" s="8"/>
      <c r="T17" s="8"/>
      <c r="U17" s="8"/>
      <c r="V17" s="220"/>
      <c r="W17" s="11"/>
    </row>
    <row r="18" spans="2:23" s="10" customFormat="1" ht="16.5" customHeight="1" thickBot="1" thickTop="1">
      <c r="B18" s="44"/>
      <c r="C18" s="8"/>
      <c r="D18" s="8"/>
      <c r="E18" s="8"/>
      <c r="F18" s="228" t="s">
        <v>87</v>
      </c>
      <c r="G18" s="226">
        <v>2.433</v>
      </c>
      <c r="H18" s="229">
        <f>20*'TOT-0814'!B13</f>
        <v>20</v>
      </c>
      <c r="J18" s="239" t="str">
        <f>IF(H18=20," ",IF(H18=40,"Coeficiente duplicado por tasa de falla &gt;4 Sal. x año/100 km.","REVISAR COEFICIENTE"))</f>
        <v> </v>
      </c>
      <c r="K18" s="167"/>
      <c r="L18" s="167"/>
      <c r="M18" s="8"/>
      <c r="P18" s="221"/>
      <c r="Q18" s="222"/>
      <c r="R18" s="36"/>
      <c r="S18" s="8"/>
      <c r="T18" s="8"/>
      <c r="U18" s="8"/>
      <c r="V18" s="220"/>
      <c r="W18" s="11"/>
    </row>
    <row r="19" spans="2:23" s="10" customFormat="1" ht="7.5" customHeight="1" thickTop="1">
      <c r="B19" s="44"/>
      <c r="C19" s="8"/>
      <c r="D19" s="8"/>
      <c r="E19" s="8"/>
      <c r="F19" s="98"/>
      <c r="G19" s="693"/>
      <c r="H19" s="694"/>
      <c r="J19" s="239"/>
      <c r="K19" s="167"/>
      <c r="L19" s="167"/>
      <c r="M19" s="8"/>
      <c r="P19" s="221"/>
      <c r="Q19" s="222"/>
      <c r="R19" s="36"/>
      <c r="S19" s="8"/>
      <c r="T19" s="8"/>
      <c r="U19" s="8"/>
      <c r="V19" s="220"/>
      <c r="W19" s="11"/>
    </row>
    <row r="20" spans="2:23" s="724" customFormat="1" ht="15" customHeight="1" thickBot="1">
      <c r="B20" s="721"/>
      <c r="C20" s="720">
        <v>3</v>
      </c>
      <c r="D20" s="720">
        <v>4</v>
      </c>
      <c r="E20" s="720">
        <v>5</v>
      </c>
      <c r="F20" s="720">
        <v>6</v>
      </c>
      <c r="G20" s="720">
        <v>7</v>
      </c>
      <c r="H20" s="720">
        <v>8</v>
      </c>
      <c r="I20" s="720">
        <v>9</v>
      </c>
      <c r="J20" s="720">
        <v>10</v>
      </c>
      <c r="K20" s="720">
        <v>11</v>
      </c>
      <c r="L20" s="720">
        <v>12</v>
      </c>
      <c r="M20" s="720">
        <v>13</v>
      </c>
      <c r="N20" s="720">
        <v>14</v>
      </c>
      <c r="O20" s="720">
        <v>15</v>
      </c>
      <c r="P20" s="720">
        <v>16</v>
      </c>
      <c r="Q20" s="720">
        <v>17</v>
      </c>
      <c r="R20" s="720">
        <v>18</v>
      </c>
      <c r="S20" s="720">
        <v>19</v>
      </c>
      <c r="T20" s="720">
        <v>20</v>
      </c>
      <c r="U20" s="720">
        <v>21</v>
      </c>
      <c r="V20" s="720">
        <v>22</v>
      </c>
      <c r="W20" s="723"/>
    </row>
    <row r="21" spans="2:23" s="10" customFormat="1" ht="33.75" customHeight="1" thickBot="1" thickTop="1">
      <c r="B21" s="44"/>
      <c r="C21" s="216" t="s">
        <v>46</v>
      </c>
      <c r="D21" s="101" t="s">
        <v>144</v>
      </c>
      <c r="E21" s="101" t="s">
        <v>143</v>
      </c>
      <c r="F21" s="214" t="s">
        <v>70</v>
      </c>
      <c r="G21" s="230" t="s">
        <v>14</v>
      </c>
      <c r="H21" s="233" t="s">
        <v>47</v>
      </c>
      <c r="I21" s="269" t="s">
        <v>49</v>
      </c>
      <c r="J21" s="210" t="s">
        <v>50</v>
      </c>
      <c r="K21" s="230" t="s">
        <v>51</v>
      </c>
      <c r="L21" s="232" t="s">
        <v>74</v>
      </c>
      <c r="M21" s="232" t="s">
        <v>75</v>
      </c>
      <c r="N21" s="105" t="s">
        <v>54</v>
      </c>
      <c r="O21" s="215" t="s">
        <v>76</v>
      </c>
      <c r="P21" s="390" t="s">
        <v>88</v>
      </c>
      <c r="Q21" s="324" t="s">
        <v>56</v>
      </c>
      <c r="R21" s="364" t="s">
        <v>80</v>
      </c>
      <c r="S21" s="365"/>
      <c r="T21" s="400" t="s">
        <v>60</v>
      </c>
      <c r="U21" s="212" t="s">
        <v>62</v>
      </c>
      <c r="V21" s="212" t="s">
        <v>63</v>
      </c>
      <c r="W21" s="38"/>
    </row>
    <row r="22" spans="2:23" s="10" customFormat="1" ht="16.5" customHeight="1" thickTop="1">
      <c r="B22" s="44"/>
      <c r="C22" s="20"/>
      <c r="D22" s="18"/>
      <c r="E22" s="18"/>
      <c r="F22" s="32"/>
      <c r="G22" s="32"/>
      <c r="H22" s="12"/>
      <c r="I22" s="277"/>
      <c r="J22" s="33"/>
      <c r="K22" s="34"/>
      <c r="L22" s="35"/>
      <c r="M22" s="64"/>
      <c r="N22" s="392"/>
      <c r="O22" s="392"/>
      <c r="P22" s="393"/>
      <c r="Q22" s="395"/>
      <c r="R22" s="397"/>
      <c r="S22" s="398"/>
      <c r="T22" s="401"/>
      <c r="U22" s="399"/>
      <c r="V22" s="394"/>
      <c r="W22" s="38"/>
    </row>
    <row r="23" spans="2:23" s="10" customFormat="1" ht="16.5" customHeight="1">
      <c r="B23" s="44"/>
      <c r="C23" s="20"/>
      <c r="D23" s="18"/>
      <c r="E23" s="18"/>
      <c r="F23" s="32"/>
      <c r="G23" s="32"/>
      <c r="H23" s="12"/>
      <c r="I23" s="277"/>
      <c r="J23" s="33"/>
      <c r="K23" s="34"/>
      <c r="L23" s="35"/>
      <c r="M23" s="64"/>
      <c r="N23" s="28"/>
      <c r="O23" s="28"/>
      <c r="P23" s="391"/>
      <c r="Q23" s="396"/>
      <c r="R23" s="370"/>
      <c r="S23" s="371"/>
      <c r="T23" s="402"/>
      <c r="U23" s="25"/>
      <c r="V23" s="231"/>
      <c r="W23" s="38"/>
    </row>
    <row r="24" spans="2:23" s="10" customFormat="1" ht="16.5" customHeight="1">
      <c r="B24" s="44"/>
      <c r="C24" s="663">
        <v>19</v>
      </c>
      <c r="D24" s="648">
        <v>277457</v>
      </c>
      <c r="E24" s="648">
        <v>1750</v>
      </c>
      <c r="F24" s="664" t="s">
        <v>169</v>
      </c>
      <c r="G24" s="664" t="s">
        <v>170</v>
      </c>
      <c r="H24" s="671">
        <v>33</v>
      </c>
      <c r="I24" s="277">
        <f aca="true" t="shared" si="0" ref="I24:I43">IF(H24=330,$G$15,IF(AND(H24&lt;=132,H24&gt;=66),$G$16,IF(AND(H24&lt;66,H24&gt;=33),$G$17,$G$18)))</f>
        <v>2.433</v>
      </c>
      <c r="J24" s="666">
        <v>41852.42569444444</v>
      </c>
      <c r="K24" s="667">
        <v>41852.54513888889</v>
      </c>
      <c r="L24" s="35">
        <f aca="true" t="shared" si="1" ref="L24:L43">IF(F24="","",(K24-J24)*24)</f>
        <v>2.8666666667559184</v>
      </c>
      <c r="M24" s="64">
        <f aca="true" t="shared" si="2" ref="M24:M43">IF(F24="","",ROUND((K24-J24)*24*60,0))</f>
        <v>172</v>
      </c>
      <c r="N24" s="668" t="s">
        <v>150</v>
      </c>
      <c r="O24" s="28" t="str">
        <f aca="true" t="shared" si="3" ref="O24:O43">IF(F24="","",IF(N24="P","--","NO"))</f>
        <v>--</v>
      </c>
      <c r="P24" s="391">
        <f aca="true" t="shared" si="4" ref="P24:P43">IF(H24=330,$H$15,IF(AND(H24&lt;=132,H24&gt;=66),$H$16,IF(AND(H24&lt;66,H24&gt;13.2),$H$17,$H$18)))</f>
        <v>25</v>
      </c>
      <c r="Q24" s="718">
        <f aca="true" t="shared" si="5" ref="Q24:Q43">IF(N24="P",I24*P24*ROUND(M24/60,2)*0.1,"--")</f>
        <v>17.456775</v>
      </c>
      <c r="R24" s="370" t="str">
        <f aca="true" t="shared" si="6" ref="R24:R43">IF(AND(N24="F",O24="NO"),I24*P24,"--")</f>
        <v>--</v>
      </c>
      <c r="S24" s="371" t="str">
        <f aca="true" t="shared" si="7" ref="S24:S43">IF(N24="F",I24*P24*ROUND(M24/60,2),"--")</f>
        <v>--</v>
      </c>
      <c r="T24" s="402" t="str">
        <f>IF(N24="RF",I24*P24*ROUND(M24/60,2),"--")</f>
        <v>--</v>
      </c>
      <c r="U24" s="25" t="str">
        <f aca="true" t="shared" si="8" ref="U24:U43">IF(F24="","","SI")</f>
        <v>SI</v>
      </c>
      <c r="V24" s="65">
        <f aca="true" t="shared" si="9" ref="V24:V43">IF(F24="","",SUM(Q24:T24)*IF(U24="SI",1,2)*IF(H24="500/220",0,1))</f>
        <v>17.456775</v>
      </c>
      <c r="W24" s="38"/>
    </row>
    <row r="25" spans="2:23" s="10" customFormat="1" ht="16.5" customHeight="1">
      <c r="B25" s="44"/>
      <c r="C25" s="663"/>
      <c r="D25" s="648"/>
      <c r="E25" s="648"/>
      <c r="F25" s="664"/>
      <c r="G25" s="664"/>
      <c r="H25" s="671"/>
      <c r="I25" s="277">
        <f t="shared" si="0"/>
        <v>2.433</v>
      </c>
      <c r="J25" s="666"/>
      <c r="K25" s="667"/>
      <c r="L25" s="35">
        <f t="shared" si="1"/>
      </c>
      <c r="M25" s="64">
        <f t="shared" si="2"/>
      </c>
      <c r="N25" s="668"/>
      <c r="O25" s="28">
        <f t="shared" si="3"/>
      </c>
      <c r="P25" s="391">
        <f t="shared" si="4"/>
        <v>20</v>
      </c>
      <c r="Q25" s="718" t="str">
        <f t="shared" si="5"/>
        <v>--</v>
      </c>
      <c r="R25" s="370" t="str">
        <f t="shared" si="6"/>
        <v>--</v>
      </c>
      <c r="S25" s="371" t="str">
        <f t="shared" si="7"/>
        <v>--</v>
      </c>
      <c r="T25" s="402" t="str">
        <f aca="true" t="shared" si="10" ref="T25:T40">IF(N25="RF",I25*P25*ROUND(M25/60,2),"--")</f>
        <v>--</v>
      </c>
      <c r="U25" s="25">
        <f t="shared" si="8"/>
      </c>
      <c r="V25" s="65">
        <f t="shared" si="9"/>
      </c>
      <c r="W25" s="38"/>
    </row>
    <row r="26" spans="2:23" s="10" customFormat="1" ht="16.5" customHeight="1">
      <c r="B26" s="44"/>
      <c r="C26" s="663"/>
      <c r="D26" s="648"/>
      <c r="E26" s="648"/>
      <c r="F26" s="664"/>
      <c r="G26" s="664"/>
      <c r="H26" s="671"/>
      <c r="I26" s="277">
        <f t="shared" si="0"/>
        <v>2.433</v>
      </c>
      <c r="J26" s="666"/>
      <c r="K26" s="667"/>
      <c r="L26" s="35">
        <f t="shared" si="1"/>
      </c>
      <c r="M26" s="64">
        <f t="shared" si="2"/>
      </c>
      <c r="N26" s="668"/>
      <c r="O26" s="28">
        <f t="shared" si="3"/>
      </c>
      <c r="P26" s="391">
        <f t="shared" si="4"/>
        <v>20</v>
      </c>
      <c r="Q26" s="718" t="str">
        <f t="shared" si="5"/>
        <v>--</v>
      </c>
      <c r="R26" s="370" t="str">
        <f t="shared" si="6"/>
        <v>--</v>
      </c>
      <c r="S26" s="371" t="str">
        <f t="shared" si="7"/>
        <v>--</v>
      </c>
      <c r="T26" s="402" t="str">
        <f t="shared" si="10"/>
        <v>--</v>
      </c>
      <c r="U26" s="25">
        <f t="shared" si="8"/>
      </c>
      <c r="V26" s="65">
        <f t="shared" si="9"/>
      </c>
      <c r="W26" s="38"/>
    </row>
    <row r="27" spans="2:23" s="10" customFormat="1" ht="16.5" customHeight="1">
      <c r="B27" s="44"/>
      <c r="C27" s="663"/>
      <c r="D27" s="648"/>
      <c r="E27" s="648"/>
      <c r="F27" s="664"/>
      <c r="G27" s="664"/>
      <c r="H27" s="671"/>
      <c r="I27" s="277">
        <f t="shared" si="0"/>
        <v>2.433</v>
      </c>
      <c r="J27" s="666"/>
      <c r="K27" s="667"/>
      <c r="L27" s="35">
        <f t="shared" si="1"/>
      </c>
      <c r="M27" s="64">
        <f t="shared" si="2"/>
      </c>
      <c r="N27" s="668"/>
      <c r="O27" s="28">
        <f t="shared" si="3"/>
      </c>
      <c r="P27" s="391">
        <f t="shared" si="4"/>
        <v>20</v>
      </c>
      <c r="Q27" s="718" t="str">
        <f t="shared" si="5"/>
        <v>--</v>
      </c>
      <c r="R27" s="370" t="str">
        <f t="shared" si="6"/>
        <v>--</v>
      </c>
      <c r="S27" s="371" t="str">
        <f t="shared" si="7"/>
        <v>--</v>
      </c>
      <c r="T27" s="402" t="str">
        <f t="shared" si="10"/>
        <v>--</v>
      </c>
      <c r="U27" s="25">
        <f t="shared" si="8"/>
      </c>
      <c r="V27" s="65">
        <f t="shared" si="9"/>
      </c>
      <c r="W27" s="38"/>
    </row>
    <row r="28" spans="2:23" s="10" customFormat="1" ht="16.5" customHeight="1">
      <c r="B28" s="44"/>
      <c r="C28" s="663"/>
      <c r="D28" s="648"/>
      <c r="E28" s="648"/>
      <c r="F28" s="664"/>
      <c r="G28" s="664"/>
      <c r="H28" s="671"/>
      <c r="I28" s="277">
        <f t="shared" si="0"/>
        <v>2.433</v>
      </c>
      <c r="J28" s="666"/>
      <c r="K28" s="667"/>
      <c r="L28" s="35">
        <f t="shared" si="1"/>
      </c>
      <c r="M28" s="64">
        <f t="shared" si="2"/>
      </c>
      <c r="N28" s="668"/>
      <c r="O28" s="28">
        <f t="shared" si="3"/>
      </c>
      <c r="P28" s="391">
        <f t="shared" si="4"/>
        <v>20</v>
      </c>
      <c r="Q28" s="718" t="str">
        <f t="shared" si="5"/>
        <v>--</v>
      </c>
      <c r="R28" s="370" t="str">
        <f t="shared" si="6"/>
        <v>--</v>
      </c>
      <c r="S28" s="371" t="str">
        <f t="shared" si="7"/>
        <v>--</v>
      </c>
      <c r="T28" s="402" t="str">
        <f t="shared" si="10"/>
        <v>--</v>
      </c>
      <c r="U28" s="25">
        <f t="shared" si="8"/>
      </c>
      <c r="V28" s="65">
        <f t="shared" si="9"/>
      </c>
      <c r="W28" s="38"/>
    </row>
    <row r="29" spans="2:23" s="10" customFormat="1" ht="16.5" customHeight="1">
      <c r="B29" s="44"/>
      <c r="C29" s="663"/>
      <c r="D29" s="648"/>
      <c r="E29" s="648"/>
      <c r="F29" s="664"/>
      <c r="G29" s="664"/>
      <c r="H29" s="671"/>
      <c r="I29" s="277">
        <f t="shared" si="0"/>
        <v>2.433</v>
      </c>
      <c r="J29" s="666"/>
      <c r="K29" s="667"/>
      <c r="L29" s="35">
        <f t="shared" si="1"/>
      </c>
      <c r="M29" s="64">
        <f t="shared" si="2"/>
      </c>
      <c r="N29" s="668"/>
      <c r="O29" s="28">
        <f t="shared" si="3"/>
      </c>
      <c r="P29" s="391">
        <f t="shared" si="4"/>
        <v>20</v>
      </c>
      <c r="Q29" s="718" t="str">
        <f t="shared" si="5"/>
        <v>--</v>
      </c>
      <c r="R29" s="370" t="str">
        <f t="shared" si="6"/>
        <v>--</v>
      </c>
      <c r="S29" s="371" t="str">
        <f t="shared" si="7"/>
        <v>--</v>
      </c>
      <c r="T29" s="402" t="str">
        <f t="shared" si="10"/>
        <v>--</v>
      </c>
      <c r="U29" s="25">
        <f t="shared" si="8"/>
      </c>
      <c r="V29" s="65">
        <f t="shared" si="9"/>
      </c>
      <c r="W29" s="38"/>
    </row>
    <row r="30" spans="2:23" s="10" customFormat="1" ht="16.5" customHeight="1">
      <c r="B30" s="44"/>
      <c r="C30" s="663"/>
      <c r="D30" s="648"/>
      <c r="E30" s="648"/>
      <c r="F30" s="664"/>
      <c r="G30" s="664"/>
      <c r="H30" s="671"/>
      <c r="I30" s="277">
        <f t="shared" si="0"/>
        <v>2.433</v>
      </c>
      <c r="J30" s="666"/>
      <c r="K30" s="667"/>
      <c r="L30" s="35">
        <f t="shared" si="1"/>
      </c>
      <c r="M30" s="64">
        <f t="shared" si="2"/>
      </c>
      <c r="N30" s="668"/>
      <c r="O30" s="28">
        <f t="shared" si="3"/>
      </c>
      <c r="P30" s="391">
        <f t="shared" si="4"/>
        <v>20</v>
      </c>
      <c r="Q30" s="718" t="str">
        <f t="shared" si="5"/>
        <v>--</v>
      </c>
      <c r="R30" s="370" t="str">
        <f t="shared" si="6"/>
        <v>--</v>
      </c>
      <c r="S30" s="371" t="str">
        <f t="shared" si="7"/>
        <v>--</v>
      </c>
      <c r="T30" s="402" t="str">
        <f t="shared" si="10"/>
        <v>--</v>
      </c>
      <c r="U30" s="25">
        <f t="shared" si="8"/>
      </c>
      <c r="V30" s="65">
        <f t="shared" si="9"/>
      </c>
      <c r="W30" s="38"/>
    </row>
    <row r="31" spans="2:23" s="10" customFormat="1" ht="16.5" customHeight="1">
      <c r="B31" s="44"/>
      <c r="C31" s="663"/>
      <c r="D31" s="648"/>
      <c r="E31" s="648"/>
      <c r="F31" s="664"/>
      <c r="G31" s="664"/>
      <c r="H31" s="671"/>
      <c r="I31" s="277">
        <f t="shared" si="0"/>
        <v>2.433</v>
      </c>
      <c r="J31" s="666"/>
      <c r="K31" s="667"/>
      <c r="L31" s="35">
        <f t="shared" si="1"/>
      </c>
      <c r="M31" s="64">
        <f t="shared" si="2"/>
      </c>
      <c r="N31" s="668"/>
      <c r="O31" s="28">
        <f t="shared" si="3"/>
      </c>
      <c r="P31" s="391">
        <f t="shared" si="4"/>
        <v>20</v>
      </c>
      <c r="Q31" s="718" t="str">
        <f t="shared" si="5"/>
        <v>--</v>
      </c>
      <c r="R31" s="370" t="str">
        <f t="shared" si="6"/>
        <v>--</v>
      </c>
      <c r="S31" s="371" t="str">
        <f t="shared" si="7"/>
        <v>--</v>
      </c>
      <c r="T31" s="402" t="str">
        <f t="shared" si="10"/>
        <v>--</v>
      </c>
      <c r="U31" s="25">
        <f t="shared" si="8"/>
      </c>
      <c r="V31" s="65">
        <f t="shared" si="9"/>
      </c>
      <c r="W31" s="38"/>
    </row>
    <row r="32" spans="2:23" s="10" customFormat="1" ht="16.5" customHeight="1">
      <c r="B32" s="44"/>
      <c r="C32" s="663"/>
      <c r="D32" s="648"/>
      <c r="E32" s="648"/>
      <c r="F32" s="664"/>
      <c r="G32" s="664"/>
      <c r="H32" s="671"/>
      <c r="I32" s="277">
        <f t="shared" si="0"/>
        <v>2.433</v>
      </c>
      <c r="J32" s="666"/>
      <c r="K32" s="667"/>
      <c r="L32" s="35">
        <f t="shared" si="1"/>
      </c>
      <c r="M32" s="64">
        <f t="shared" si="2"/>
      </c>
      <c r="N32" s="668"/>
      <c r="O32" s="28">
        <f t="shared" si="3"/>
      </c>
      <c r="P32" s="391">
        <f t="shared" si="4"/>
        <v>20</v>
      </c>
      <c r="Q32" s="718" t="str">
        <f t="shared" si="5"/>
        <v>--</v>
      </c>
      <c r="R32" s="370" t="str">
        <f t="shared" si="6"/>
        <v>--</v>
      </c>
      <c r="S32" s="371" t="str">
        <f t="shared" si="7"/>
        <v>--</v>
      </c>
      <c r="T32" s="402" t="str">
        <f t="shared" si="10"/>
        <v>--</v>
      </c>
      <c r="U32" s="25">
        <f t="shared" si="8"/>
      </c>
      <c r="V32" s="65">
        <f t="shared" si="9"/>
      </c>
      <c r="W32" s="38"/>
    </row>
    <row r="33" spans="2:23" s="10" customFormat="1" ht="16.5" customHeight="1">
      <c r="B33" s="44"/>
      <c r="C33" s="663"/>
      <c r="D33" s="648"/>
      <c r="E33" s="648"/>
      <c r="F33" s="664"/>
      <c r="G33" s="664"/>
      <c r="H33" s="671"/>
      <c r="I33" s="277">
        <f t="shared" si="0"/>
        <v>2.433</v>
      </c>
      <c r="J33" s="666"/>
      <c r="K33" s="667"/>
      <c r="L33" s="35">
        <f t="shared" si="1"/>
      </c>
      <c r="M33" s="64">
        <f t="shared" si="2"/>
      </c>
      <c r="N33" s="668"/>
      <c r="O33" s="28">
        <f t="shared" si="3"/>
      </c>
      <c r="P33" s="391">
        <f t="shared" si="4"/>
        <v>20</v>
      </c>
      <c r="Q33" s="718" t="str">
        <f t="shared" si="5"/>
        <v>--</v>
      </c>
      <c r="R33" s="370" t="str">
        <f t="shared" si="6"/>
        <v>--</v>
      </c>
      <c r="S33" s="371" t="str">
        <f t="shared" si="7"/>
        <v>--</v>
      </c>
      <c r="T33" s="402" t="str">
        <f t="shared" si="10"/>
        <v>--</v>
      </c>
      <c r="U33" s="25">
        <f t="shared" si="8"/>
      </c>
      <c r="V33" s="65">
        <f t="shared" si="9"/>
      </c>
      <c r="W33" s="38"/>
    </row>
    <row r="34" spans="2:23" s="10" customFormat="1" ht="16.5" customHeight="1">
      <c r="B34" s="44"/>
      <c r="C34" s="663"/>
      <c r="D34" s="648"/>
      <c r="E34" s="648"/>
      <c r="F34" s="664"/>
      <c r="G34" s="664"/>
      <c r="H34" s="671"/>
      <c r="I34" s="277">
        <f t="shared" si="0"/>
        <v>2.433</v>
      </c>
      <c r="J34" s="666"/>
      <c r="K34" s="667"/>
      <c r="L34" s="35">
        <f t="shared" si="1"/>
      </c>
      <c r="M34" s="64">
        <f t="shared" si="2"/>
      </c>
      <c r="N34" s="668"/>
      <c r="O34" s="28">
        <f t="shared" si="3"/>
      </c>
      <c r="P34" s="391">
        <f t="shared" si="4"/>
        <v>20</v>
      </c>
      <c r="Q34" s="718" t="str">
        <f t="shared" si="5"/>
        <v>--</v>
      </c>
      <c r="R34" s="370" t="str">
        <f t="shared" si="6"/>
        <v>--</v>
      </c>
      <c r="S34" s="371" t="str">
        <f t="shared" si="7"/>
        <v>--</v>
      </c>
      <c r="T34" s="402" t="str">
        <f t="shared" si="10"/>
        <v>--</v>
      </c>
      <c r="U34" s="25">
        <f t="shared" si="8"/>
      </c>
      <c r="V34" s="65">
        <f t="shared" si="9"/>
      </c>
      <c r="W34" s="38"/>
    </row>
    <row r="35" spans="2:23" s="10" customFormat="1" ht="16.5" customHeight="1">
      <c r="B35" s="44"/>
      <c r="C35" s="663"/>
      <c r="D35" s="648"/>
      <c r="E35" s="648"/>
      <c r="F35" s="664"/>
      <c r="G35" s="664"/>
      <c r="H35" s="671"/>
      <c r="I35" s="277">
        <f t="shared" si="0"/>
        <v>2.433</v>
      </c>
      <c r="J35" s="666"/>
      <c r="K35" s="667"/>
      <c r="L35" s="35">
        <f t="shared" si="1"/>
      </c>
      <c r="M35" s="64">
        <f t="shared" si="2"/>
      </c>
      <c r="N35" s="668"/>
      <c r="O35" s="28">
        <f t="shared" si="3"/>
      </c>
      <c r="P35" s="391">
        <f t="shared" si="4"/>
        <v>20</v>
      </c>
      <c r="Q35" s="718" t="str">
        <f t="shared" si="5"/>
        <v>--</v>
      </c>
      <c r="R35" s="370" t="str">
        <f t="shared" si="6"/>
        <v>--</v>
      </c>
      <c r="S35" s="371" t="str">
        <f t="shared" si="7"/>
        <v>--</v>
      </c>
      <c r="T35" s="402" t="str">
        <f t="shared" si="10"/>
        <v>--</v>
      </c>
      <c r="U35" s="25">
        <f t="shared" si="8"/>
      </c>
      <c r="V35" s="65">
        <f t="shared" si="9"/>
      </c>
      <c r="W35" s="38"/>
    </row>
    <row r="36" spans="2:23" s="10" customFormat="1" ht="16.5" customHeight="1">
      <c r="B36" s="44"/>
      <c r="C36" s="663"/>
      <c r="D36" s="648"/>
      <c r="E36" s="648"/>
      <c r="F36" s="664"/>
      <c r="G36" s="664"/>
      <c r="H36" s="671"/>
      <c r="I36" s="277">
        <f t="shared" si="0"/>
        <v>2.433</v>
      </c>
      <c r="J36" s="666"/>
      <c r="K36" s="667"/>
      <c r="L36" s="35">
        <f t="shared" si="1"/>
      </c>
      <c r="M36" s="64">
        <f t="shared" si="2"/>
      </c>
      <c r="N36" s="668"/>
      <c r="O36" s="28">
        <f t="shared" si="3"/>
      </c>
      <c r="P36" s="391">
        <f t="shared" si="4"/>
        <v>20</v>
      </c>
      <c r="Q36" s="718" t="str">
        <f t="shared" si="5"/>
        <v>--</v>
      </c>
      <c r="R36" s="370" t="str">
        <f t="shared" si="6"/>
        <v>--</v>
      </c>
      <c r="S36" s="371" t="str">
        <f t="shared" si="7"/>
        <v>--</v>
      </c>
      <c r="T36" s="402" t="str">
        <f t="shared" si="10"/>
        <v>--</v>
      </c>
      <c r="U36" s="25">
        <f t="shared" si="8"/>
      </c>
      <c r="V36" s="65">
        <f t="shared" si="9"/>
      </c>
      <c r="W36" s="38"/>
    </row>
    <row r="37" spans="2:23" s="10" customFormat="1" ht="16.5" customHeight="1">
      <c r="B37" s="44"/>
      <c r="C37" s="663"/>
      <c r="D37" s="648"/>
      <c r="E37" s="648"/>
      <c r="F37" s="664"/>
      <c r="G37" s="664"/>
      <c r="H37" s="671"/>
      <c r="I37" s="277">
        <f t="shared" si="0"/>
        <v>2.433</v>
      </c>
      <c r="J37" s="666"/>
      <c r="K37" s="667"/>
      <c r="L37" s="35">
        <f t="shared" si="1"/>
      </c>
      <c r="M37" s="64">
        <f t="shared" si="2"/>
      </c>
      <c r="N37" s="668"/>
      <c r="O37" s="28">
        <f t="shared" si="3"/>
      </c>
      <c r="P37" s="391">
        <f t="shared" si="4"/>
        <v>20</v>
      </c>
      <c r="Q37" s="718" t="str">
        <f t="shared" si="5"/>
        <v>--</v>
      </c>
      <c r="R37" s="370" t="str">
        <f t="shared" si="6"/>
        <v>--</v>
      </c>
      <c r="S37" s="371" t="str">
        <f t="shared" si="7"/>
        <v>--</v>
      </c>
      <c r="T37" s="402" t="str">
        <f t="shared" si="10"/>
        <v>--</v>
      </c>
      <c r="U37" s="25">
        <f t="shared" si="8"/>
      </c>
      <c r="V37" s="65">
        <f t="shared" si="9"/>
      </c>
      <c r="W37" s="38"/>
    </row>
    <row r="38" spans="2:23" s="10" customFormat="1" ht="16.5" customHeight="1">
      <c r="B38" s="44"/>
      <c r="C38" s="663"/>
      <c r="D38" s="648"/>
      <c r="E38" s="648"/>
      <c r="F38" s="664"/>
      <c r="G38" s="664"/>
      <c r="H38" s="671"/>
      <c r="I38" s="277">
        <f t="shared" si="0"/>
        <v>2.433</v>
      </c>
      <c r="J38" s="666"/>
      <c r="K38" s="667"/>
      <c r="L38" s="35">
        <f t="shared" si="1"/>
      </c>
      <c r="M38" s="64">
        <f t="shared" si="2"/>
      </c>
      <c r="N38" s="668"/>
      <c r="O38" s="28">
        <f t="shared" si="3"/>
      </c>
      <c r="P38" s="391">
        <f t="shared" si="4"/>
        <v>20</v>
      </c>
      <c r="Q38" s="718" t="str">
        <f t="shared" si="5"/>
        <v>--</v>
      </c>
      <c r="R38" s="370" t="str">
        <f t="shared" si="6"/>
        <v>--</v>
      </c>
      <c r="S38" s="371" t="str">
        <f t="shared" si="7"/>
        <v>--</v>
      </c>
      <c r="T38" s="402" t="str">
        <f t="shared" si="10"/>
        <v>--</v>
      </c>
      <c r="U38" s="25">
        <f t="shared" si="8"/>
      </c>
      <c r="V38" s="65">
        <f t="shared" si="9"/>
      </c>
      <c r="W38" s="38"/>
    </row>
    <row r="39" spans="2:23" s="10" customFormat="1" ht="16.5" customHeight="1">
      <c r="B39" s="44"/>
      <c r="C39" s="663"/>
      <c r="D39" s="648"/>
      <c r="E39" s="648"/>
      <c r="F39" s="664"/>
      <c r="G39" s="664"/>
      <c r="H39" s="671"/>
      <c r="I39" s="277">
        <f t="shared" si="0"/>
        <v>2.433</v>
      </c>
      <c r="J39" s="666"/>
      <c r="K39" s="667"/>
      <c r="L39" s="35">
        <f t="shared" si="1"/>
      </c>
      <c r="M39" s="64">
        <f t="shared" si="2"/>
      </c>
      <c r="N39" s="668"/>
      <c r="O39" s="28">
        <f t="shared" si="3"/>
      </c>
      <c r="P39" s="391">
        <f t="shared" si="4"/>
        <v>20</v>
      </c>
      <c r="Q39" s="718" t="str">
        <f t="shared" si="5"/>
        <v>--</v>
      </c>
      <c r="R39" s="370" t="str">
        <f t="shared" si="6"/>
        <v>--</v>
      </c>
      <c r="S39" s="371" t="str">
        <f t="shared" si="7"/>
        <v>--</v>
      </c>
      <c r="T39" s="402" t="str">
        <f t="shared" si="10"/>
        <v>--</v>
      </c>
      <c r="U39" s="25">
        <f t="shared" si="8"/>
      </c>
      <c r="V39" s="65">
        <f t="shared" si="9"/>
      </c>
      <c r="W39" s="38"/>
    </row>
    <row r="40" spans="2:23" s="10" customFormat="1" ht="16.5" customHeight="1">
      <c r="B40" s="44"/>
      <c r="C40" s="663"/>
      <c r="D40" s="648"/>
      <c r="E40" s="648"/>
      <c r="F40" s="664"/>
      <c r="G40" s="664"/>
      <c r="H40" s="671"/>
      <c r="I40" s="277">
        <f t="shared" si="0"/>
        <v>2.433</v>
      </c>
      <c r="J40" s="666"/>
      <c r="K40" s="667"/>
      <c r="L40" s="35">
        <f t="shared" si="1"/>
      </c>
      <c r="M40" s="64">
        <f t="shared" si="2"/>
      </c>
      <c r="N40" s="668"/>
      <c r="O40" s="28">
        <f t="shared" si="3"/>
      </c>
      <c r="P40" s="391">
        <f t="shared" si="4"/>
        <v>20</v>
      </c>
      <c r="Q40" s="718" t="str">
        <f t="shared" si="5"/>
        <v>--</v>
      </c>
      <c r="R40" s="370" t="str">
        <f t="shared" si="6"/>
        <v>--</v>
      </c>
      <c r="S40" s="371" t="str">
        <f t="shared" si="7"/>
        <v>--</v>
      </c>
      <c r="T40" s="402" t="str">
        <f t="shared" si="10"/>
        <v>--</v>
      </c>
      <c r="U40" s="25">
        <f t="shared" si="8"/>
      </c>
      <c r="V40" s="65">
        <f t="shared" si="9"/>
      </c>
      <c r="W40" s="38"/>
    </row>
    <row r="41" spans="2:23" s="10" customFormat="1" ht="16.5" customHeight="1">
      <c r="B41" s="44"/>
      <c r="C41" s="663"/>
      <c r="D41" s="648"/>
      <c r="E41" s="648"/>
      <c r="F41" s="664"/>
      <c r="G41" s="664"/>
      <c r="H41" s="671"/>
      <c r="I41" s="277">
        <f t="shared" si="0"/>
        <v>2.433</v>
      </c>
      <c r="J41" s="666"/>
      <c r="K41" s="667"/>
      <c r="L41" s="35">
        <f t="shared" si="1"/>
      </c>
      <c r="M41" s="64">
        <f t="shared" si="2"/>
      </c>
      <c r="N41" s="668"/>
      <c r="O41" s="28">
        <f t="shared" si="3"/>
      </c>
      <c r="P41" s="391">
        <f t="shared" si="4"/>
        <v>20</v>
      </c>
      <c r="Q41" s="718" t="str">
        <f t="shared" si="5"/>
        <v>--</v>
      </c>
      <c r="R41" s="370" t="str">
        <f t="shared" si="6"/>
        <v>--</v>
      </c>
      <c r="S41" s="371" t="str">
        <f t="shared" si="7"/>
        <v>--</v>
      </c>
      <c r="T41" s="402" t="str">
        <f>IF(N41="RF",I41*P41*ROUND(M41/60,2),"--")</f>
        <v>--</v>
      </c>
      <c r="U41" s="25">
        <f t="shared" si="8"/>
      </c>
      <c r="V41" s="65">
        <f t="shared" si="9"/>
      </c>
      <c r="W41" s="38"/>
    </row>
    <row r="42" spans="2:23" s="10" customFormat="1" ht="16.5" customHeight="1">
      <c r="B42" s="44"/>
      <c r="C42" s="663"/>
      <c r="D42" s="648"/>
      <c r="E42" s="648"/>
      <c r="F42" s="664"/>
      <c r="G42" s="664"/>
      <c r="H42" s="671"/>
      <c r="I42" s="277">
        <f t="shared" si="0"/>
        <v>2.433</v>
      </c>
      <c r="J42" s="666"/>
      <c r="K42" s="667"/>
      <c r="L42" s="35">
        <f t="shared" si="1"/>
      </c>
      <c r="M42" s="64">
        <f t="shared" si="2"/>
      </c>
      <c r="N42" s="668"/>
      <c r="O42" s="28">
        <f t="shared" si="3"/>
      </c>
      <c r="P42" s="391">
        <f t="shared" si="4"/>
        <v>20</v>
      </c>
      <c r="Q42" s="718" t="str">
        <f t="shared" si="5"/>
        <v>--</v>
      </c>
      <c r="R42" s="370" t="str">
        <f t="shared" si="6"/>
        <v>--</v>
      </c>
      <c r="S42" s="371" t="str">
        <f t="shared" si="7"/>
        <v>--</v>
      </c>
      <c r="T42" s="402" t="str">
        <f>IF(N42="RF",I42*P42*ROUND(M42/60,2),"--")</f>
        <v>--</v>
      </c>
      <c r="U42" s="25">
        <f t="shared" si="8"/>
      </c>
      <c r="V42" s="65">
        <f t="shared" si="9"/>
      </c>
      <c r="W42" s="38"/>
    </row>
    <row r="43" spans="2:23" s="10" customFormat="1" ht="16.5" customHeight="1">
      <c r="B43" s="44"/>
      <c r="C43" s="663"/>
      <c r="D43" s="648"/>
      <c r="E43" s="648"/>
      <c r="F43" s="664"/>
      <c r="G43" s="664"/>
      <c r="H43" s="671"/>
      <c r="I43" s="277">
        <f t="shared" si="0"/>
        <v>2.433</v>
      </c>
      <c r="J43" s="666"/>
      <c r="K43" s="667"/>
      <c r="L43" s="35">
        <f t="shared" si="1"/>
      </c>
      <c r="M43" s="64">
        <f t="shared" si="2"/>
      </c>
      <c r="N43" s="668"/>
      <c r="O43" s="28">
        <f t="shared" si="3"/>
      </c>
      <c r="P43" s="391">
        <f t="shared" si="4"/>
        <v>20</v>
      </c>
      <c r="Q43" s="718" t="str">
        <f t="shared" si="5"/>
        <v>--</v>
      </c>
      <c r="R43" s="370" t="str">
        <f t="shared" si="6"/>
        <v>--</v>
      </c>
      <c r="S43" s="371" t="str">
        <f t="shared" si="7"/>
        <v>--</v>
      </c>
      <c r="T43" s="402" t="str">
        <f>IF(N43="RF",I43*P43*ROUND(M43/60,2),"--")</f>
        <v>--</v>
      </c>
      <c r="U43" s="25">
        <f t="shared" si="8"/>
      </c>
      <c r="V43" s="65">
        <f t="shared" si="9"/>
      </c>
      <c r="W43" s="38"/>
    </row>
    <row r="44" spans="2:23" s="10" customFormat="1" ht="16.5" customHeight="1" thickBot="1">
      <c r="B44" s="44"/>
      <c r="C44" s="651"/>
      <c r="D44" s="651"/>
      <c r="E44" s="651"/>
      <c r="F44" s="651"/>
      <c r="G44" s="651"/>
      <c r="H44" s="651"/>
      <c r="I44" s="276"/>
      <c r="J44" s="651"/>
      <c r="K44" s="651"/>
      <c r="L44" s="29"/>
      <c r="M44" s="29"/>
      <c r="N44" s="651"/>
      <c r="O44" s="651"/>
      <c r="P44" s="669"/>
      <c r="Q44" s="670"/>
      <c r="R44" s="659"/>
      <c r="S44" s="660"/>
      <c r="T44" s="654"/>
      <c r="U44" s="651"/>
      <c r="V44" s="218"/>
      <c r="W44" s="38"/>
    </row>
    <row r="45" spans="2:23" s="10" customFormat="1" ht="16.5" customHeight="1" thickBot="1" thickTop="1">
      <c r="B45" s="44"/>
      <c r="C45" s="244" t="s">
        <v>64</v>
      </c>
      <c r="D45" s="734" t="s">
        <v>173</v>
      </c>
      <c r="E45" s="698"/>
      <c r="F45" s="245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403">
        <f>ROUND(SUM(Q22:Q44),2)</f>
        <v>17.46</v>
      </c>
      <c r="R45" s="331">
        <f>SUM(R22:R44)</f>
        <v>0</v>
      </c>
      <c r="S45" s="331">
        <f>SUM(S22:S44)</f>
        <v>0</v>
      </c>
      <c r="T45" s="404">
        <f>SUM(T22:T44)</f>
        <v>0</v>
      </c>
      <c r="U45" s="66"/>
      <c r="V45" s="260">
        <f>SUM(V22:V44)</f>
        <v>17.456775</v>
      </c>
      <c r="W45" s="38"/>
    </row>
    <row r="46" spans="2:23" s="262" customFormat="1" ht="9.75" thickTop="1">
      <c r="B46" s="261"/>
      <c r="C46" s="246"/>
      <c r="D46" s="246"/>
      <c r="E46" s="246"/>
      <c r="F46" s="247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6"/>
      <c r="V46" s="267"/>
      <c r="W46" s="268"/>
    </row>
    <row r="47" spans="1:23" s="10" customFormat="1" ht="16.5" customHeight="1" thickBot="1">
      <c r="A47" s="11"/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4"/>
    </row>
    <row r="48" spans="1:23" ht="13.5" thickTop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3:6" ht="12.75">
      <c r="C49" s="6"/>
      <c r="D49" s="6"/>
      <c r="E49" s="6"/>
      <c r="F49" s="6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3"/>
  <headerFooter alignWithMargins="0">
    <oddFooter>&amp;L&amp;"Times New Roman,Normal"&amp;8&amp;Z&amp;F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S110"/>
  <sheetViews>
    <sheetView zoomScale="75" zoomScaleNormal="75" zoomScalePageLayoutView="0" workbookViewId="0" topLeftCell="A31">
      <selection activeCell="L26" sqref="L26"/>
    </sheetView>
  </sheetViews>
  <sheetFormatPr defaultColWidth="13.421875" defaultRowHeight="12.75"/>
  <cols>
    <col min="1" max="2" width="13.8515625" style="0" customWidth="1"/>
    <col min="3" max="3" width="4.7109375" style="0" customWidth="1"/>
    <col min="4" max="4" width="41.7109375" style="0" customWidth="1"/>
    <col min="5" max="5" width="13.57421875" style="0" customWidth="1"/>
    <col min="6" max="6" width="11.8515625" style="0" customWidth="1"/>
    <col min="7" max="7" width="6.7109375" style="0" customWidth="1"/>
    <col min="8" max="8" width="24.8515625" style="0" bestFit="1" customWidth="1"/>
    <col min="9" max="9" width="19.140625" style="0" customWidth="1"/>
    <col min="10" max="10" width="13.8515625" style="0" customWidth="1"/>
    <col min="11" max="11" width="8.421875" style="0" customWidth="1"/>
    <col min="12" max="12" width="33.28125" style="0" customWidth="1"/>
    <col min="13" max="13" width="8.421875" style="0" customWidth="1"/>
    <col min="14" max="14" width="9.28125" style="0" customWidth="1"/>
    <col min="15" max="15" width="9.8515625" style="0" customWidth="1"/>
    <col min="16" max="16" width="13.8515625" style="0" customWidth="1"/>
  </cols>
  <sheetData>
    <row r="1" s="109" customFormat="1" ht="39.75" customHeight="1">
      <c r="P1" s="416"/>
    </row>
    <row r="2" spans="1:16" s="109" customFormat="1" ht="26.25">
      <c r="A2" s="170"/>
      <c r="B2" s="696" t="str">
        <f>'TOT-0814'!B2</f>
        <v>ANEXO II al Memorándum  D.T.E.E.  N°  301 /2016              .-</v>
      </c>
      <c r="C2" s="696"/>
      <c r="D2" s="696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4" s="112" customFormat="1" ht="12.75">
      <c r="A3" s="701" t="s">
        <v>147</v>
      </c>
      <c r="B3" s="10"/>
      <c r="C3" s="10"/>
      <c r="D3" s="10"/>
    </row>
    <row r="4" spans="1:4" s="112" customFormat="1" ht="11.25">
      <c r="A4" s="701" t="s">
        <v>146</v>
      </c>
      <c r="B4" s="234"/>
      <c r="C4" s="234"/>
      <c r="D4" s="234"/>
    </row>
    <row r="5" spans="1:4" s="10" customFormat="1" ht="13.5" thickBot="1">
      <c r="A5" s="701"/>
      <c r="B5" s="234"/>
      <c r="C5" s="234"/>
      <c r="D5" s="234"/>
    </row>
    <row r="6" spans="1:16" s="10" customFormat="1" ht="13.5" thickTop="1">
      <c r="A6" s="8"/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3"/>
    </row>
    <row r="7" spans="1:16" s="114" customFormat="1" ht="20.25">
      <c r="A7" s="45"/>
      <c r="B7" s="113"/>
      <c r="C7" s="45"/>
      <c r="D7" s="21" t="s">
        <v>40</v>
      </c>
      <c r="G7" s="45"/>
      <c r="H7" s="45"/>
      <c r="I7" s="45"/>
      <c r="J7" s="45"/>
      <c r="K7" s="45"/>
      <c r="L7" s="45"/>
      <c r="M7" s="45"/>
      <c r="N7" s="45"/>
      <c r="O7" s="45"/>
      <c r="P7" s="115"/>
    </row>
    <row r="8" spans="1:16" ht="15">
      <c r="A8" s="1"/>
      <c r="B8" s="279"/>
      <c r="C8" s="73"/>
      <c r="D8" s="417"/>
      <c r="E8" s="73"/>
      <c r="F8" s="71"/>
      <c r="G8" s="73"/>
      <c r="H8" s="73"/>
      <c r="I8" s="73"/>
      <c r="J8" s="73"/>
      <c r="K8" s="73"/>
      <c r="L8" s="73"/>
      <c r="M8" s="73"/>
      <c r="N8" s="73"/>
      <c r="O8" s="73"/>
      <c r="P8" s="283"/>
    </row>
    <row r="9" spans="1:19" s="114" customFormat="1" ht="20.25">
      <c r="A9" s="45"/>
      <c r="B9" s="418"/>
      <c r="C9"/>
      <c r="D9" s="22" t="s">
        <v>138</v>
      </c>
      <c r="E9" s="419"/>
      <c r="F9" s="419"/>
      <c r="G9" s="419"/>
      <c r="H9" s="420"/>
      <c r="I9" s="419"/>
      <c r="J9" s="419"/>
      <c r="K9" s="419"/>
      <c r="L9" s="419"/>
      <c r="M9" s="419"/>
      <c r="N9" s="419"/>
      <c r="O9" s="419"/>
      <c r="P9" s="421"/>
      <c r="Q9" s="235"/>
      <c r="R9" s="177"/>
      <c r="S9" s="177"/>
    </row>
    <row r="10" spans="1:19" s="10" customFormat="1" ht="12.75">
      <c r="A10" s="8"/>
      <c r="B10" s="44"/>
      <c r="C10" s="8"/>
      <c r="D10" s="67"/>
      <c r="E10" s="30"/>
      <c r="F10" s="30"/>
      <c r="G10" s="30"/>
      <c r="H10" s="169"/>
      <c r="I10" s="30"/>
      <c r="J10" s="30"/>
      <c r="K10" s="30"/>
      <c r="L10" s="30"/>
      <c r="M10" s="30"/>
      <c r="N10" s="30"/>
      <c r="O10" s="30"/>
      <c r="P10" s="38"/>
      <c r="Q10" s="30"/>
      <c r="R10" s="30"/>
      <c r="S10" s="176"/>
    </row>
    <row r="11" spans="1:19" s="121" customFormat="1" ht="19.5">
      <c r="A11" s="47"/>
      <c r="B11" s="238" t="str">
        <f>+'TOT-0814'!B14</f>
        <v>Desde el 01 al 31 de agosto de 2014</v>
      </c>
      <c r="C11" s="143"/>
      <c r="D11" s="197"/>
      <c r="E11" s="197"/>
      <c r="F11" s="197"/>
      <c r="G11" s="197"/>
      <c r="H11" s="197"/>
      <c r="I11" s="143"/>
      <c r="J11" s="197"/>
      <c r="K11" s="197"/>
      <c r="L11" s="197"/>
      <c r="M11" s="197"/>
      <c r="N11" s="197"/>
      <c r="O11" s="197"/>
      <c r="P11" s="422"/>
      <c r="Q11" s="423"/>
      <c r="R11" s="423"/>
      <c r="S11" s="423"/>
    </row>
    <row r="12" spans="1:19" ht="15">
      <c r="A12" s="1"/>
      <c r="B12" s="279"/>
      <c r="C12" s="73"/>
      <c r="D12" s="69"/>
      <c r="E12" s="69"/>
      <c r="F12" s="69"/>
      <c r="G12" s="69"/>
      <c r="H12" s="424"/>
      <c r="I12" s="73"/>
      <c r="J12" s="69"/>
      <c r="K12" s="69"/>
      <c r="L12" s="69"/>
      <c r="M12" s="69"/>
      <c r="N12" s="69"/>
      <c r="O12" s="69"/>
      <c r="P12" s="70"/>
      <c r="Q12" s="4"/>
      <c r="R12" s="4"/>
      <c r="S12" s="425"/>
    </row>
    <row r="13" spans="1:19" ht="18" customHeight="1">
      <c r="A13" s="1"/>
      <c r="B13" s="279"/>
      <c r="C13" s="73"/>
      <c r="D13" s="69"/>
      <c r="E13" s="69"/>
      <c r="F13" s="69"/>
      <c r="G13" s="69"/>
      <c r="H13" s="81"/>
      <c r="I13" s="81"/>
      <c r="J13" s="69"/>
      <c r="K13" s="69"/>
      <c r="P13" s="70"/>
      <c r="Q13" s="4"/>
      <c r="R13" s="4"/>
      <c r="S13" s="425"/>
    </row>
    <row r="14" spans="1:19" ht="18" customHeight="1">
      <c r="A14" s="1"/>
      <c r="B14" s="279"/>
      <c r="C14" s="73"/>
      <c r="D14" s="68"/>
      <c r="E14" s="426"/>
      <c r="F14" s="69"/>
      <c r="G14" s="69"/>
      <c r="H14" s="81"/>
      <c r="I14" s="81"/>
      <c r="J14" s="69"/>
      <c r="K14" s="69"/>
      <c r="P14" s="70"/>
      <c r="Q14" s="4"/>
      <c r="R14" s="4"/>
      <c r="S14" s="425"/>
    </row>
    <row r="15" spans="1:16" ht="16.5" thickBot="1">
      <c r="A15" s="1"/>
      <c r="B15" s="279"/>
      <c r="C15" s="427" t="s">
        <v>89</v>
      </c>
      <c r="D15" s="71"/>
      <c r="E15" s="280"/>
      <c r="F15" s="281"/>
      <c r="G15" s="73"/>
      <c r="H15" s="73"/>
      <c r="I15" s="73"/>
      <c r="J15" s="72"/>
      <c r="K15" s="72"/>
      <c r="L15" s="282"/>
      <c r="M15" s="73"/>
      <c r="N15" s="73"/>
      <c r="O15" s="73"/>
      <c r="P15" s="283"/>
    </row>
    <row r="16" spans="1:16" ht="16.5" thickBot="1">
      <c r="A16" s="1"/>
      <c r="B16" s="279"/>
      <c r="C16" s="284"/>
      <c r="D16" s="71"/>
      <c r="E16" s="280"/>
      <c r="F16" s="281"/>
      <c r="G16" s="73"/>
      <c r="H16" s="73"/>
      <c r="L16" s="428" t="s">
        <v>85</v>
      </c>
      <c r="M16" s="429">
        <v>10.334</v>
      </c>
      <c r="N16" s="430"/>
      <c r="O16" s="73"/>
      <c r="P16" s="283"/>
    </row>
    <row r="17" spans="1:16" ht="15.75">
      <c r="A17" s="1"/>
      <c r="B17" s="279"/>
      <c r="C17" s="284"/>
      <c r="D17" s="72" t="s">
        <v>90</v>
      </c>
      <c r="E17" s="285">
        <f>MID(B11,16,2)*24</f>
        <v>744</v>
      </c>
      <c r="F17" s="73" t="s">
        <v>91</v>
      </c>
      <c r="G17" s="69"/>
      <c r="H17" s="431"/>
      <c r="I17" s="432" t="s">
        <v>92</v>
      </c>
      <c r="J17" s="433">
        <v>222.257</v>
      </c>
      <c r="K17" s="411"/>
      <c r="L17" s="434" t="s">
        <v>86</v>
      </c>
      <c r="M17" s="435">
        <v>7.756</v>
      </c>
      <c r="N17" s="436"/>
      <c r="O17" s="73"/>
      <c r="P17" s="283"/>
    </row>
    <row r="18" spans="1:16" ht="16.5" thickBot="1">
      <c r="A18" s="1"/>
      <c r="B18" s="279"/>
      <c r="C18" s="284"/>
      <c r="D18" s="72" t="s">
        <v>93</v>
      </c>
      <c r="E18" s="287">
        <v>0.025</v>
      </c>
      <c r="F18" s="69"/>
      <c r="G18" s="69"/>
      <c r="H18" s="437"/>
      <c r="I18" s="438" t="s">
        <v>94</v>
      </c>
      <c r="J18" s="439">
        <v>0.774</v>
      </c>
      <c r="K18" s="440"/>
      <c r="L18" s="441" t="s">
        <v>87</v>
      </c>
      <c r="M18" s="442">
        <f>M17</f>
        <v>7.756</v>
      </c>
      <c r="N18" s="443"/>
      <c r="O18" s="73"/>
      <c r="P18" s="283"/>
    </row>
    <row r="19" spans="1:16" ht="15.75">
      <c r="A19" s="1"/>
      <c r="B19" s="279"/>
      <c r="C19" s="284"/>
      <c r="D19" s="72"/>
      <c r="E19" s="287"/>
      <c r="F19" s="69"/>
      <c r="G19" s="69"/>
      <c r="H19" s="69"/>
      <c r="I19" s="69"/>
      <c r="L19" s="282"/>
      <c r="M19" s="73"/>
      <c r="N19" s="73"/>
      <c r="O19" s="73"/>
      <c r="P19" s="283"/>
    </row>
    <row r="20" spans="1:16" ht="15">
      <c r="A20" s="1"/>
      <c r="B20" s="279"/>
      <c r="C20" s="68" t="s">
        <v>95</v>
      </c>
      <c r="D20" s="76"/>
      <c r="E20" s="280"/>
      <c r="F20" s="281"/>
      <c r="G20" s="73"/>
      <c r="H20" s="73"/>
      <c r="I20" s="73"/>
      <c r="J20" s="72"/>
      <c r="K20" s="72"/>
      <c r="L20" s="282"/>
      <c r="M20" s="73"/>
      <c r="N20" s="73"/>
      <c r="O20" s="73"/>
      <c r="P20" s="283"/>
    </row>
    <row r="21" spans="1:16" ht="15">
      <c r="A21" s="1"/>
      <c r="B21" s="279"/>
      <c r="C21" s="73"/>
      <c r="D21" s="73"/>
      <c r="E21" s="73"/>
      <c r="F21" s="73"/>
      <c r="G21" s="73"/>
      <c r="H21" s="288"/>
      <c r="I21" s="73"/>
      <c r="J21" s="73"/>
      <c r="K21" s="73"/>
      <c r="L21" s="73"/>
      <c r="M21" s="73"/>
      <c r="N21" s="73"/>
      <c r="O21" s="73"/>
      <c r="P21" s="283"/>
    </row>
    <row r="22" spans="1:16" ht="15">
      <c r="A22" s="1"/>
      <c r="B22" s="279"/>
      <c r="C22" s="73"/>
      <c r="D22" s="72" t="s">
        <v>96</v>
      </c>
      <c r="E22" s="73"/>
      <c r="F22" s="288" t="s">
        <v>19</v>
      </c>
      <c r="G22" s="73"/>
      <c r="H22" s="71"/>
      <c r="I22" s="444">
        <v>78401.26</v>
      </c>
      <c r="J22" s="73"/>
      <c r="K22" s="73"/>
      <c r="L22" s="445"/>
      <c r="M22" s="73"/>
      <c r="N22" s="73"/>
      <c r="O22" s="73"/>
      <c r="P22" s="283"/>
    </row>
    <row r="23" spans="1:16" ht="15">
      <c r="A23" s="1"/>
      <c r="B23" s="279"/>
      <c r="C23" s="73"/>
      <c r="D23" s="73"/>
      <c r="E23" s="73"/>
      <c r="F23" s="288" t="s">
        <v>97</v>
      </c>
      <c r="G23" s="73"/>
      <c r="H23" s="71"/>
      <c r="I23" s="444">
        <v>3597.94</v>
      </c>
      <c r="J23" s="73"/>
      <c r="K23" s="73"/>
      <c r="L23" s="445"/>
      <c r="M23" s="73"/>
      <c r="N23" s="73"/>
      <c r="O23" s="73"/>
      <c r="P23" s="283"/>
    </row>
    <row r="24" spans="1:16" ht="15">
      <c r="A24" s="1"/>
      <c r="B24" s="279"/>
      <c r="C24" s="73"/>
      <c r="D24" s="73"/>
      <c r="E24" s="73"/>
      <c r="F24" s="288" t="s">
        <v>3</v>
      </c>
      <c r="G24" s="73"/>
      <c r="H24" s="71"/>
      <c r="I24" s="446">
        <v>55.65</v>
      </c>
      <c r="J24" s="73"/>
      <c r="K24" s="73"/>
      <c r="L24" s="445"/>
      <c r="M24" s="73"/>
      <c r="N24" s="73"/>
      <c r="O24" s="73"/>
      <c r="P24" s="283"/>
    </row>
    <row r="25" spans="1:16" ht="15.75" thickBot="1">
      <c r="A25" s="1"/>
      <c r="B25" s="279"/>
      <c r="C25" s="73"/>
      <c r="D25" s="73"/>
      <c r="E25" s="73"/>
      <c r="F25" s="73"/>
      <c r="G25" s="73"/>
      <c r="H25" s="288"/>
      <c r="I25" s="73"/>
      <c r="J25" s="73"/>
      <c r="K25" s="73"/>
      <c r="L25" s="73"/>
      <c r="M25" s="73"/>
      <c r="N25" s="73"/>
      <c r="O25" s="73"/>
      <c r="P25" s="283"/>
    </row>
    <row r="26" spans="2:16" ht="20.25" thickBot="1" thickTop="1">
      <c r="B26" s="279"/>
      <c r="C26" s="80"/>
      <c r="H26" s="447" t="s">
        <v>98</v>
      </c>
      <c r="I26" s="156">
        <f>SUM(I22:I25)</f>
        <v>82054.84999999999</v>
      </c>
      <c r="L26" s="77"/>
      <c r="M26" s="77"/>
      <c r="N26" s="78"/>
      <c r="O26" s="79"/>
      <c r="P26" s="289"/>
    </row>
    <row r="27" spans="2:16" ht="15.75" thickTop="1">
      <c r="B27" s="279"/>
      <c r="C27" s="80"/>
      <c r="D27" s="76"/>
      <c r="E27" s="76"/>
      <c r="F27" s="82"/>
      <c r="G27" s="77"/>
      <c r="H27" s="77"/>
      <c r="I27" s="77"/>
      <c r="J27" s="77"/>
      <c r="K27" s="77"/>
      <c r="L27" s="77"/>
      <c r="M27" s="77"/>
      <c r="N27" s="78"/>
      <c r="O27" s="79"/>
      <c r="P27" s="289"/>
    </row>
    <row r="28" spans="2:16" ht="15">
      <c r="B28" s="279"/>
      <c r="C28" s="68" t="s">
        <v>99</v>
      </c>
      <c r="D28" s="76"/>
      <c r="E28" s="76"/>
      <c r="F28" s="82"/>
      <c r="G28" s="77"/>
      <c r="H28" s="77"/>
      <c r="I28" s="77"/>
      <c r="J28" s="77"/>
      <c r="K28" s="77"/>
      <c r="L28" s="77"/>
      <c r="M28" s="77"/>
      <c r="N28" s="78"/>
      <c r="O28" s="79"/>
      <c r="P28" s="289"/>
    </row>
    <row r="29" spans="2:16" ht="15">
      <c r="B29" s="279"/>
      <c r="C29" s="80"/>
      <c r="D29" s="76"/>
      <c r="E29" s="76"/>
      <c r="F29" s="82"/>
      <c r="G29" s="77"/>
      <c r="H29" s="77"/>
      <c r="I29" s="77"/>
      <c r="J29" s="77"/>
      <c r="K29" s="77"/>
      <c r="L29" s="77"/>
      <c r="M29" s="77"/>
      <c r="N29" s="78"/>
      <c r="O29" s="79"/>
      <c r="P29" s="289"/>
    </row>
    <row r="30" spans="2:16" ht="15.75">
      <c r="B30" s="279"/>
      <c r="C30" s="80"/>
      <c r="D30" s="448" t="s">
        <v>100</v>
      </c>
      <c r="E30" s="449" t="s">
        <v>15</v>
      </c>
      <c r="F30" s="450" t="s">
        <v>101</v>
      </c>
      <c r="G30" s="451"/>
      <c r="H30" s="679" t="s">
        <v>135</v>
      </c>
      <c r="I30" s="678" t="s">
        <v>134</v>
      </c>
      <c r="J30" s="674"/>
      <c r="K30" s="474"/>
      <c r="L30" s="452" t="s">
        <v>2</v>
      </c>
      <c r="N30" s="78"/>
      <c r="O30" s="79"/>
      <c r="P30" s="289"/>
    </row>
    <row r="31" spans="2:16" ht="15.75">
      <c r="B31" s="279"/>
      <c r="C31" s="80"/>
      <c r="D31" s="453" t="s">
        <v>4</v>
      </c>
      <c r="E31" s="454">
        <v>132</v>
      </c>
      <c r="F31" s="455">
        <v>31</v>
      </c>
      <c r="G31" s="456"/>
      <c r="H31" s="457">
        <f>F31*$J$17*$E$17/100</f>
        <v>51261.35448000001</v>
      </c>
      <c r="I31" s="458">
        <v>0</v>
      </c>
      <c r="J31" s="676" t="s">
        <v>171</v>
      </c>
      <c r="K31" s="460"/>
      <c r="L31" s="461">
        <f>SUM(H31:K31)</f>
        <v>51261.35448000001</v>
      </c>
      <c r="M31" s="77"/>
      <c r="N31" s="78"/>
      <c r="O31" s="79"/>
      <c r="P31" s="289"/>
    </row>
    <row r="32" spans="2:16" ht="15.75">
      <c r="B32" s="279"/>
      <c r="C32" s="80"/>
      <c r="D32" s="481" t="s">
        <v>5</v>
      </c>
      <c r="E32" s="76">
        <v>132</v>
      </c>
      <c r="F32" s="82">
        <v>110.3</v>
      </c>
      <c r="G32" s="77"/>
      <c r="H32" s="294">
        <f>F32*$J$17*$E$17/100</f>
        <v>182391.206424</v>
      </c>
      <c r="I32" s="498">
        <v>14465</v>
      </c>
      <c r="J32" s="675" t="s">
        <v>171</v>
      </c>
      <c r="K32" s="286"/>
      <c r="L32" s="482">
        <f>SUM(H32:K32)</f>
        <v>196856.206424</v>
      </c>
      <c r="M32" s="77"/>
      <c r="N32" s="78"/>
      <c r="O32" s="79"/>
      <c r="P32" s="289"/>
    </row>
    <row r="33" spans="2:16" ht="15.75">
      <c r="B33" s="279"/>
      <c r="C33" s="80"/>
      <c r="D33" s="481" t="s">
        <v>6</v>
      </c>
      <c r="E33" s="76">
        <v>132</v>
      </c>
      <c r="F33" s="82">
        <v>185.6</v>
      </c>
      <c r="G33" s="77"/>
      <c r="H33" s="294">
        <f>F33*$J$17*$E$17/100</f>
        <v>306906.690048</v>
      </c>
      <c r="I33" s="498">
        <v>11278</v>
      </c>
      <c r="J33" s="675" t="s">
        <v>171</v>
      </c>
      <c r="K33" s="286"/>
      <c r="L33" s="482">
        <f>SUM(H33:K33)</f>
        <v>318184.690048</v>
      </c>
      <c r="M33" s="77"/>
      <c r="N33" s="78"/>
      <c r="O33" s="79"/>
      <c r="P33" s="289"/>
    </row>
    <row r="34" spans="2:16" ht="15.75">
      <c r="B34" s="279"/>
      <c r="C34" s="80"/>
      <c r="D34" s="462" t="s">
        <v>7</v>
      </c>
      <c r="E34" s="463">
        <v>132</v>
      </c>
      <c r="F34" s="464">
        <v>7</v>
      </c>
      <c r="G34" s="465"/>
      <c r="H34" s="466">
        <f>F34*$J$17*$E$17/100</f>
        <v>11575.14456</v>
      </c>
      <c r="I34" s="467">
        <v>0</v>
      </c>
      <c r="J34" s="677" t="s">
        <v>171</v>
      </c>
      <c r="K34" s="469"/>
      <c r="L34" s="470">
        <f>SUM(H34:K34)</f>
        <v>11575.14456</v>
      </c>
      <c r="M34" s="77"/>
      <c r="N34" s="78"/>
      <c r="O34" s="79"/>
      <c r="P34" s="289"/>
    </row>
    <row r="35" spans="2:16" ht="15">
      <c r="B35" s="279"/>
      <c r="C35" s="80"/>
      <c r="D35" s="76"/>
      <c r="E35" s="76"/>
      <c r="F35" s="290"/>
      <c r="G35" s="77"/>
      <c r="I35" s="83"/>
      <c r="J35" s="286"/>
      <c r="K35" s="286"/>
      <c r="L35" s="471">
        <f>SUM(L31:L34)</f>
        <v>577877.3955120001</v>
      </c>
      <c r="M35" s="77"/>
      <c r="N35" s="78"/>
      <c r="O35" s="79"/>
      <c r="P35" s="289"/>
    </row>
    <row r="36" spans="2:16" ht="15">
      <c r="B36" s="279"/>
      <c r="C36" s="80"/>
      <c r="D36" s="76"/>
      <c r="E36" s="76"/>
      <c r="F36" s="290"/>
      <c r="G36" s="77"/>
      <c r="I36" s="83"/>
      <c r="J36" s="286"/>
      <c r="K36" s="286"/>
      <c r="L36" s="291"/>
      <c r="M36" s="77"/>
      <c r="N36" s="78"/>
      <c r="O36" s="79"/>
      <c r="P36" s="289"/>
    </row>
    <row r="37" spans="2:16" ht="15.75">
      <c r="B37" s="279"/>
      <c r="C37" s="80"/>
      <c r="D37" s="448" t="s">
        <v>102</v>
      </c>
      <c r="E37" s="449" t="s">
        <v>103</v>
      </c>
      <c r="F37" s="499" t="s">
        <v>113</v>
      </c>
      <c r="G37" s="500"/>
      <c r="H37" s="680" t="s">
        <v>136</v>
      </c>
      <c r="J37" s="472" t="s">
        <v>104</v>
      </c>
      <c r="K37" s="473"/>
      <c r="L37" s="474" t="s">
        <v>50</v>
      </c>
      <c r="M37" s="449" t="s">
        <v>15</v>
      </c>
      <c r="N37" s="475" t="s">
        <v>105</v>
      </c>
      <c r="O37" s="476"/>
      <c r="P37" s="289"/>
    </row>
    <row r="38" spans="2:16" ht="15">
      <c r="B38" s="279"/>
      <c r="C38" s="80"/>
      <c r="D38" s="453" t="s">
        <v>9</v>
      </c>
      <c r="E38" s="454" t="s">
        <v>114</v>
      </c>
      <c r="F38" s="501">
        <v>30</v>
      </c>
      <c r="G38" s="502"/>
      <c r="H38" s="461">
        <f>+F38*$J$18*$E$17</f>
        <v>17275.68</v>
      </c>
      <c r="J38" s="477" t="s">
        <v>115</v>
      </c>
      <c r="K38" s="459"/>
      <c r="L38" s="456" t="s">
        <v>116</v>
      </c>
      <c r="M38" s="478">
        <v>132</v>
      </c>
      <c r="N38" s="479">
        <f>M16*E17</f>
        <v>7688.496</v>
      </c>
      <c r="O38" s="480"/>
      <c r="P38" s="289"/>
    </row>
    <row r="39" spans="2:16" ht="15">
      <c r="B39" s="279"/>
      <c r="C39" s="80"/>
      <c r="D39" s="481" t="s">
        <v>12</v>
      </c>
      <c r="E39" s="76" t="s">
        <v>117</v>
      </c>
      <c r="F39" s="503">
        <v>88</v>
      </c>
      <c r="G39" s="504"/>
      <c r="H39" s="482">
        <f>+F39*$J$18*$E$17</f>
        <v>50675.327999999994</v>
      </c>
      <c r="J39" s="483" t="s">
        <v>10</v>
      </c>
      <c r="K39" s="484"/>
      <c r="L39" s="77" t="s">
        <v>118</v>
      </c>
      <c r="M39" s="78">
        <v>33</v>
      </c>
      <c r="N39" s="485">
        <f>+M17*E17*2</f>
        <v>11540.928</v>
      </c>
      <c r="O39" s="486"/>
      <c r="P39" s="289"/>
    </row>
    <row r="40" spans="2:16" ht="15">
      <c r="B40" s="279"/>
      <c r="C40" s="80"/>
      <c r="D40" s="481" t="s">
        <v>10</v>
      </c>
      <c r="E40" s="76" t="s">
        <v>8</v>
      </c>
      <c r="F40" s="503">
        <v>7.5</v>
      </c>
      <c r="G40" s="504"/>
      <c r="H40" s="482">
        <f>+F40*$J$18*$E$17</f>
        <v>4318.92</v>
      </c>
      <c r="J40" s="483" t="s">
        <v>11</v>
      </c>
      <c r="K40" s="484"/>
      <c r="L40" s="77" t="s">
        <v>119</v>
      </c>
      <c r="M40" s="78">
        <v>33</v>
      </c>
      <c r="N40" s="485">
        <f>3*M17*E17</f>
        <v>17311.392</v>
      </c>
      <c r="O40" s="486"/>
      <c r="P40" s="289"/>
    </row>
    <row r="41" spans="2:16" ht="15">
      <c r="B41" s="279"/>
      <c r="C41" s="80"/>
      <c r="D41" s="481" t="s">
        <v>11</v>
      </c>
      <c r="E41" s="76" t="s">
        <v>8</v>
      </c>
      <c r="F41" s="503">
        <v>15</v>
      </c>
      <c r="G41" s="504"/>
      <c r="H41" s="482">
        <f>+F41*$J$18*$E$17</f>
        <v>8637.84</v>
      </c>
      <c r="J41" s="483" t="s">
        <v>13</v>
      </c>
      <c r="K41" s="484"/>
      <c r="L41" s="77" t="s">
        <v>120</v>
      </c>
      <c r="M41" s="78">
        <v>13.2</v>
      </c>
      <c r="N41" s="485">
        <f>+M18*E17*6</f>
        <v>34622.784</v>
      </c>
      <c r="O41" s="486"/>
      <c r="P41" s="289"/>
    </row>
    <row r="42" spans="2:16" ht="15">
      <c r="B42" s="279"/>
      <c r="C42" s="80"/>
      <c r="D42" s="462" t="s">
        <v>13</v>
      </c>
      <c r="E42" s="463" t="s">
        <v>121</v>
      </c>
      <c r="F42" s="505">
        <v>30</v>
      </c>
      <c r="G42" s="506"/>
      <c r="H42" s="482">
        <f>+F42*$J$18*$E$17</f>
        <v>17275.68</v>
      </c>
      <c r="J42" s="483" t="s">
        <v>9</v>
      </c>
      <c r="K42" s="484"/>
      <c r="L42" s="77" t="s">
        <v>122</v>
      </c>
      <c r="M42" s="78"/>
      <c r="N42" s="485">
        <f>+M17*E17+M18*E17*2</f>
        <v>17311.392</v>
      </c>
      <c r="O42" s="486"/>
      <c r="P42" s="289"/>
    </row>
    <row r="43" spans="2:16" ht="15">
      <c r="B43" s="279"/>
      <c r="C43" s="80"/>
      <c r="D43" s="76"/>
      <c r="E43" s="76"/>
      <c r="F43" s="290"/>
      <c r="G43" s="77"/>
      <c r="H43" s="471">
        <f>SUM(H38:H42)</f>
        <v>98183.448</v>
      </c>
      <c r="J43" s="487" t="s">
        <v>12</v>
      </c>
      <c r="K43" s="468"/>
      <c r="L43" s="465" t="s">
        <v>123</v>
      </c>
      <c r="M43" s="488"/>
      <c r="N43" s="489">
        <f>(M16+M17+M18*5)*E17</f>
        <v>42311.280000000006</v>
      </c>
      <c r="O43" s="490"/>
      <c r="P43" s="289"/>
    </row>
    <row r="44" spans="2:16" ht="15">
      <c r="B44" s="279"/>
      <c r="C44" s="80"/>
      <c r="D44" s="76"/>
      <c r="E44" s="76"/>
      <c r="F44" s="290"/>
      <c r="G44" s="77"/>
      <c r="I44" s="83"/>
      <c r="J44" s="286"/>
      <c r="K44" s="286"/>
      <c r="L44" s="291"/>
      <c r="M44" s="77"/>
      <c r="N44" s="491">
        <f>SUM(N38:N43)</f>
        <v>130786.272</v>
      </c>
      <c r="O44" s="476"/>
      <c r="P44" s="289"/>
    </row>
    <row r="45" spans="2:16" ht="12.75" customHeight="1" thickBot="1">
      <c r="B45" s="279"/>
      <c r="C45" s="80"/>
      <c r="D45" s="76"/>
      <c r="E45" s="76"/>
      <c r="F45" s="82"/>
      <c r="G45" s="77"/>
      <c r="H45" s="83"/>
      <c r="I45" s="76"/>
      <c r="J45" s="76"/>
      <c r="K45" s="76"/>
      <c r="L45" s="77"/>
      <c r="M45" s="77"/>
      <c r="N45" s="78"/>
      <c r="O45" s="79"/>
      <c r="P45" s="289"/>
    </row>
    <row r="46" spans="2:16" ht="20.25" thickBot="1" thickTop="1">
      <c r="B46" s="279"/>
      <c r="C46" s="80"/>
      <c r="D46" s="76"/>
      <c r="E46" s="76"/>
      <c r="F46" s="82"/>
      <c r="G46" s="77"/>
      <c r="H46" s="492" t="s">
        <v>106</v>
      </c>
      <c r="I46" s="493">
        <f>+H43+N44+L35</f>
        <v>806847.115512</v>
      </c>
      <c r="J46" s="76"/>
      <c r="K46" s="492" t="s">
        <v>176</v>
      </c>
      <c r="L46" s="493">
        <v>270796.2</v>
      </c>
      <c r="M46" s="77"/>
      <c r="N46" s="78"/>
      <c r="O46" s="79"/>
      <c r="P46" s="289"/>
    </row>
    <row r="47" spans="2:16" ht="15.75" thickTop="1">
      <c r="B47" s="279"/>
      <c r="C47" s="80"/>
      <c r="D47" s="76"/>
      <c r="E47" s="76"/>
      <c r="F47" s="82"/>
      <c r="G47" s="77"/>
      <c r="H47" s="83"/>
      <c r="I47" s="76"/>
      <c r="J47" s="76"/>
      <c r="K47" s="76"/>
      <c r="L47" s="77"/>
      <c r="M47" s="77"/>
      <c r="N47" s="78"/>
      <c r="O47" s="79"/>
      <c r="P47" s="289"/>
    </row>
    <row r="48" spans="2:16" ht="15.75">
      <c r="B48" s="279"/>
      <c r="C48" s="494" t="s">
        <v>107</v>
      </c>
      <c r="D48" s="76"/>
      <c r="E48" s="76"/>
      <c r="F48" s="82"/>
      <c r="G48" s="77"/>
      <c r="H48" s="83"/>
      <c r="I48" s="76"/>
      <c r="J48" s="76"/>
      <c r="K48" s="76"/>
      <c r="L48" s="77"/>
      <c r="M48" s="77"/>
      <c r="N48" s="78"/>
      <c r="O48" s="79"/>
      <c r="P48" s="289"/>
    </row>
    <row r="49" spans="2:16" ht="15.75" thickBot="1">
      <c r="B49" s="279"/>
      <c r="C49" s="80"/>
      <c r="D49" s="76"/>
      <c r="E49" s="76"/>
      <c r="F49" s="82"/>
      <c r="G49" s="77"/>
      <c r="H49" s="83"/>
      <c r="I49" s="76"/>
      <c r="J49" s="76"/>
      <c r="K49" s="76"/>
      <c r="L49" s="77"/>
      <c r="M49" s="77"/>
      <c r="N49" s="78"/>
      <c r="O49" s="79"/>
      <c r="P49" s="289"/>
    </row>
    <row r="50" spans="2:16" ht="20.25" thickBot="1" thickTop="1">
      <c r="B50" s="279"/>
      <c r="C50" s="80"/>
      <c r="D50" s="236" t="s">
        <v>108</v>
      </c>
      <c r="F50" s="292"/>
      <c r="G50" s="73"/>
      <c r="H50" s="155" t="s">
        <v>109</v>
      </c>
      <c r="I50" s="495">
        <f>E18*L46</f>
        <v>6769.905000000001</v>
      </c>
      <c r="J50" s="69"/>
      <c r="K50" s="69"/>
      <c r="O50" s="69"/>
      <c r="P50" s="289"/>
    </row>
    <row r="51" spans="2:16" ht="21.75" thickTop="1">
      <c r="B51" s="279"/>
      <c r="C51" s="80"/>
      <c r="F51" s="293"/>
      <c r="G51" s="45"/>
      <c r="I51" s="69"/>
      <c r="J51" s="69"/>
      <c r="K51" s="69"/>
      <c r="O51" s="69"/>
      <c r="P51" s="289"/>
    </row>
    <row r="52" spans="2:16" ht="15">
      <c r="B52" s="279"/>
      <c r="C52" s="68" t="s">
        <v>110</v>
      </c>
      <c r="E52" s="69"/>
      <c r="F52" s="69"/>
      <c r="G52" s="69"/>
      <c r="H52" s="69"/>
      <c r="I52" s="77"/>
      <c r="J52" s="77"/>
      <c r="K52" s="77"/>
      <c r="L52" s="77"/>
      <c r="M52" s="77"/>
      <c r="N52" s="78"/>
      <c r="O52" s="79"/>
      <c r="P52" s="289"/>
    </row>
    <row r="53" spans="2:16" ht="15">
      <c r="B53" s="279"/>
      <c r="C53" s="80"/>
      <c r="D53" s="75" t="s">
        <v>111</v>
      </c>
      <c r="E53" s="294">
        <f>10*I26*I50/I46</f>
        <v>6884.867388250434</v>
      </c>
      <c r="F53" s="496"/>
      <c r="H53" s="69"/>
      <c r="I53" s="77"/>
      <c r="J53" s="77"/>
      <c r="K53" s="77"/>
      <c r="L53" s="77"/>
      <c r="M53" s="77"/>
      <c r="N53" s="78"/>
      <c r="O53" s="79"/>
      <c r="P53" s="289"/>
    </row>
    <row r="54" spans="2:16" ht="15">
      <c r="B54" s="279"/>
      <c r="C54" s="80"/>
      <c r="D54" s="69"/>
      <c r="E54" s="69"/>
      <c r="J54" s="77"/>
      <c r="K54" s="77"/>
      <c r="L54" s="77"/>
      <c r="M54" s="77"/>
      <c r="N54" s="78"/>
      <c r="O54" s="79"/>
      <c r="P54" s="289"/>
    </row>
    <row r="55" spans="2:16" ht="15">
      <c r="B55" s="279"/>
      <c r="C55" s="80"/>
      <c r="D55" s="69" t="s">
        <v>124</v>
      </c>
      <c r="E55" s="69"/>
      <c r="F55" s="69"/>
      <c r="G55" s="69"/>
      <c r="H55" s="69"/>
      <c r="M55" s="77"/>
      <c r="N55" s="78"/>
      <c r="O55" s="79"/>
      <c r="P55" s="289"/>
    </row>
    <row r="56" spans="2:16" ht="15.75" thickBot="1">
      <c r="B56" s="279"/>
      <c r="C56" s="80"/>
      <c r="D56" s="69"/>
      <c r="E56" s="69"/>
      <c r="F56" s="69"/>
      <c r="G56" s="69"/>
      <c r="H56" s="69"/>
      <c r="M56" s="77"/>
      <c r="N56" s="78"/>
      <c r="O56" s="79"/>
      <c r="P56" s="289"/>
    </row>
    <row r="57" spans="2:16" ht="20.25" thickBot="1" thickTop="1">
      <c r="B57" s="279"/>
      <c r="C57" s="80"/>
      <c r="D57" s="76"/>
      <c r="E57" s="76"/>
      <c r="F57" s="82"/>
      <c r="G57" s="77"/>
      <c r="H57" s="237" t="s">
        <v>112</v>
      </c>
      <c r="I57" s="497">
        <f>IF($E$53&gt;3*I50,3*I50,$E$53)</f>
        <v>6884.867388250434</v>
      </c>
      <c r="J57" s="77"/>
      <c r="K57" s="77"/>
      <c r="L57" s="77"/>
      <c r="M57" s="77"/>
      <c r="N57" s="78"/>
      <c r="O57" s="79"/>
      <c r="P57" s="289"/>
    </row>
    <row r="58" spans="2:16" ht="16.5" thickBot="1" thickTop="1">
      <c r="B58" s="295"/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7"/>
    </row>
    <row r="59" spans="2:16" ht="13.5" thickTop="1">
      <c r="B59" s="1"/>
      <c r="P59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8" ht="12" customHeight="1"/>
    <row r="104" ht="12.75">
      <c r="B104" s="1"/>
    </row>
    <row r="110" ht="12.75">
      <c r="A110" s="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5" r:id="rId4"/>
  <headerFooter alignWithMargins="0">
    <oddFooter>&amp;L&amp;"Times New Roman,Normal"&amp;8&amp;Z&amp;F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AAguirre</cp:lastModifiedBy>
  <cp:lastPrinted>2016-07-14T18:57:58Z</cp:lastPrinted>
  <dcterms:created xsi:type="dcterms:W3CDTF">2000-10-04T20:14:32Z</dcterms:created>
  <dcterms:modified xsi:type="dcterms:W3CDTF">2016-08-02T15:27:58Z</dcterms:modified>
  <cp:category/>
  <cp:version/>
  <cp:contentType/>
  <cp:contentStatus/>
</cp:coreProperties>
</file>