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75" windowWidth="11970" windowHeight="3720" tabRatio="945" activeTab="0"/>
  </bookViews>
  <sheets>
    <sheet name="TOT-0907" sheetId="1" r:id="rId1"/>
    <sheet name="LI-09 (1)" sheetId="2" r:id="rId2"/>
    <sheet name="Incendio" sheetId="3" r:id="rId3"/>
    <sheet name="TR-09 (1)" sheetId="4" r:id="rId4"/>
    <sheet name="SA-09 (1)" sheetId="5" r:id="rId5"/>
    <sheet name="SA-09 (2)" sheetId="6" r:id="rId6"/>
    <sheet name="RE-09 (1)" sheetId="7" r:id="rId7"/>
    <sheet name="RE-09 (2)" sheetId="8" r:id="rId8"/>
    <sheet name="RE-YACY-09 (1)" sheetId="9" r:id="rId9"/>
    <sheet name="SU (YACYLEC)" sheetId="10" r:id="rId10"/>
  </sheets>
  <externalReferences>
    <externalReference r:id="rId13"/>
  </externalReferences>
  <definedNames>
    <definedName name="_xlnm.Print_Area" localSheetId="2">'Incendio'!$A$1:$AE$26</definedName>
    <definedName name="_xlnm.Print_Area" localSheetId="1">'LI-09 (1)'!$A$1:$AE$44</definedName>
    <definedName name="_xlnm.Print_Area" localSheetId="6">'RE-09 (1)'!$A$1:$X$44</definedName>
    <definedName name="_xlnm.Print_Area" localSheetId="7">'RE-09 (2)'!$A$1:$X$53</definedName>
    <definedName name="_xlnm.Print_Area" localSheetId="8">'RE-YACY-09 (1)'!$A$1:$R$41</definedName>
    <definedName name="_xlnm.Print_Area" localSheetId="4">'SA-09 (1)'!$A$1:$V$47</definedName>
    <definedName name="_xlnm.Print_Area" localSheetId="5">'SA-09 (2)'!$A$1:$V$47</definedName>
    <definedName name="_xlnm.Print_Area" localSheetId="9">'SU (YACYLEC)'!$A$1:$AD$51</definedName>
    <definedName name="_xlnm.Print_Area" localSheetId="0">'TOT-0907'!$A$1:$L$38</definedName>
    <definedName name="_xlnm.Print_Area" localSheetId="3">'TR-09 (1)'!$A$1:$AC$44</definedName>
    <definedName name="DD" localSheetId="2">'Incendio'!DD</definedName>
    <definedName name="DD" localSheetId="6">'RE-09 (1)'!DD</definedName>
    <definedName name="DD" localSheetId="7">'RE-09 (2)'!DD</definedName>
    <definedName name="DD" localSheetId="9">'SU (YACYLEC)'!DD</definedName>
    <definedName name="DD">[0]!DD</definedName>
    <definedName name="DDD" localSheetId="2">'Incendio'!DDD</definedName>
    <definedName name="DDD" localSheetId="6">'RE-09 (1)'!DDD</definedName>
    <definedName name="DDD" localSheetId="7">'RE-09 (2)'!DDD</definedName>
    <definedName name="DDD" localSheetId="9">'SU (YACYLEC)'!DDD</definedName>
    <definedName name="DDD">[0]!DDD</definedName>
    <definedName name="DISTROCUYO" localSheetId="2">'Incendio'!DISTROCUYO</definedName>
    <definedName name="DISTROCUYO" localSheetId="6">'RE-09 (1)'!DISTROCUYO</definedName>
    <definedName name="DISTROCUYO" localSheetId="7">'RE-09 (2)'!DISTROCUYO</definedName>
    <definedName name="DISTROCUYO" localSheetId="9">'SU (YACYLEC)'!DISTROCUYO</definedName>
    <definedName name="DISTROCUYO">[0]!DISTROCUYO</definedName>
    <definedName name="INICIO" localSheetId="2">'Incendio'!INICIO</definedName>
    <definedName name="INICIO" localSheetId="1">'LI-09 (1)'!INICIO</definedName>
    <definedName name="INICIO" localSheetId="6">'RE-09 (1)'!INICIO</definedName>
    <definedName name="INICIO" localSheetId="7">'RE-09 (2)'!INICIO</definedName>
    <definedName name="INICIO" localSheetId="8">'RE-YACY-09 (1)'!INICIO</definedName>
    <definedName name="INICIO" localSheetId="4">'SA-09 (1)'!INICIO</definedName>
    <definedName name="INICIO" localSheetId="5">'SA-09 (2)'!INICIO</definedName>
    <definedName name="INICIO" localSheetId="9">'SU (YACYLEC)'!INICIO</definedName>
    <definedName name="INICIO" localSheetId="0">'TOT-0907'!INICIO</definedName>
    <definedName name="INICIO" localSheetId="3">'TR-09 (1)'!INICIO</definedName>
    <definedName name="INICIO">[0]!INICIO</definedName>
    <definedName name="INICIOTI" localSheetId="2">'Incendio'!INICIOTI</definedName>
    <definedName name="INICIOTI" localSheetId="6">'RE-09 (1)'!INICIOTI</definedName>
    <definedName name="INICIOTI" localSheetId="7">'RE-09 (2)'!INICIOTI</definedName>
    <definedName name="INICIOTI" localSheetId="9">'SU (YACYLEC)'!INICIOTI</definedName>
    <definedName name="INICIOTI">[0]!INICIOTI</definedName>
    <definedName name="LINEAS" localSheetId="2">'Incendio'!LINEAS</definedName>
    <definedName name="LINEAS" localSheetId="6">'RE-09 (1)'!LINEAS</definedName>
    <definedName name="LINEAS" localSheetId="7">'RE-09 (2)'!LINEAS</definedName>
    <definedName name="LINEAS" localSheetId="9">'SU (YACYLEC)'!LINEAS</definedName>
    <definedName name="LINEAS">[0]!LINEAS</definedName>
    <definedName name="NAME_L" localSheetId="2">'Incendio'!NAME_L</definedName>
    <definedName name="NAME_L" localSheetId="6">'RE-09 (1)'!NAME_L</definedName>
    <definedName name="NAME_L" localSheetId="7">'RE-09 (2)'!NAME_L</definedName>
    <definedName name="NAME_L" localSheetId="9">'SU (YACYLEC)'!NAME_L</definedName>
    <definedName name="NAME_L">[0]!NAME_L</definedName>
    <definedName name="NAME_L_TI" localSheetId="2">'Incendio'!NAME_L_TI</definedName>
    <definedName name="NAME_L_TI" localSheetId="6">'RE-09 (1)'!NAME_L_TI</definedName>
    <definedName name="NAME_L_TI" localSheetId="7">'RE-09 (2)'!NAME_L_TI</definedName>
    <definedName name="NAME_L_TI" localSheetId="9">'SU (YACYLEC)'!NAME_L_TI</definedName>
    <definedName name="NAME_L_TI">[0]!NAME_L_TI</definedName>
    <definedName name="TRAN" localSheetId="2">'Incendio'!TRAN</definedName>
    <definedName name="TRAN" localSheetId="7">'RE-09 (2)'!TRAN</definedName>
    <definedName name="TRAN">[0]!TRAN</definedName>
    <definedName name="TRANSNOA" localSheetId="2">'Incendio'!TRANSNOA</definedName>
    <definedName name="TRANSNOA" localSheetId="6">'RE-09 (1)'!TRANSNOA</definedName>
    <definedName name="TRANSNOA" localSheetId="7">'RE-09 (2)'!TRANSNOA</definedName>
    <definedName name="TRANSNOA" localSheetId="9">'SU (YACYLEC)'!TRANSNOA</definedName>
    <definedName name="TRANSNOA">[0]!TRANSNOA</definedName>
    <definedName name="x">[0]!x</definedName>
    <definedName name="XX" localSheetId="2">'Incendio'!XX</definedName>
    <definedName name="XX" localSheetId="6">'RE-09 (1)'!XX</definedName>
    <definedName name="XX" localSheetId="7">'RE-09 (2)'!XX</definedName>
    <definedName name="XX" localSheetId="9">'SU (YACYLEC)'!XX</definedName>
    <definedName name="XX">[0]!XX</definedName>
  </definedNames>
  <calcPr fullCalcOnLoad="1"/>
</workbook>
</file>

<file path=xl/comments9.xml><?xml version="1.0" encoding="utf-8"?>
<comments xmlns="http://schemas.openxmlformats.org/spreadsheetml/2006/main">
  <authors>
    <author>jescandar</author>
  </authors>
  <commentList>
    <comment ref="L21" authorId="0">
      <text>
        <r>
          <rPr>
            <b/>
            <sz val="8"/>
            <rFont val="Tahoma"/>
            <family val="0"/>
          </rPr>
          <t>jescandar:</t>
        </r>
        <r>
          <rPr>
            <sz val="8"/>
            <rFont val="Tahoma"/>
            <family val="0"/>
          </rPr>
          <t xml:space="preserve">
Según el contrato de electroducto se sanciona un punto por hora excedente de lo programado con cammesa.</t>
        </r>
      </text>
    </comment>
  </commentList>
</comments>
</file>

<file path=xl/sharedStrings.xml><?xml version="1.0" encoding="utf-8"?>
<sst xmlns="http://schemas.openxmlformats.org/spreadsheetml/2006/main" count="742" uniqueCount="217">
  <si>
    <t>LÍNEAS</t>
  </si>
  <si>
    <t xml:space="preserve">ENTE NACIONAL REGULADOR </t>
  </si>
  <si>
    <t>DE LA ELECTRICIDAD</t>
  </si>
  <si>
    <t>1.-</t>
  </si>
  <si>
    <t>Equipamiento propio</t>
  </si>
  <si>
    <t>2.-</t>
  </si>
  <si>
    <t>CONEXIÓN</t>
  </si>
  <si>
    <t>Transformación</t>
  </si>
  <si>
    <t>Salidas</t>
  </si>
  <si>
    <t>3.-</t>
  </si>
  <si>
    <t xml:space="preserve">TOTAL </t>
  </si>
  <si>
    <t>1.- LÍNEAS</t>
  </si>
  <si>
    <t>N°</t>
  </si>
  <si>
    <t>U
[kV]</t>
  </si>
  <si>
    <t>Long.
[km]</t>
  </si>
  <si>
    <t>$/h</t>
  </si>
  <si>
    <t>Salida</t>
  </si>
  <si>
    <t>Entrada</t>
  </si>
  <si>
    <r>
      <t>Tipo 
Sal.(</t>
    </r>
    <r>
      <rPr>
        <sz val="10"/>
        <rFont val="Wingdings"/>
        <family val="0"/>
      </rPr>
      <t>²</t>
    </r>
    <r>
      <rPr>
        <sz val="11"/>
        <rFont val="MS Sans Serif"/>
        <family val="2"/>
      </rPr>
      <t>)</t>
    </r>
  </si>
  <si>
    <t>PENALIZ.
PROGRAM.</t>
  </si>
  <si>
    <t>REDUCC.
PROGRAM.</t>
  </si>
  <si>
    <t>RESTANTE
FORZADA</t>
  </si>
  <si>
    <t>TOTAL
PENALIZAC.</t>
  </si>
  <si>
    <r>
      <t>(</t>
    </r>
    <r>
      <rPr>
        <sz val="7"/>
        <rFont val="Wingdings"/>
        <family val="0"/>
      </rPr>
      <t>²</t>
    </r>
    <r>
      <rPr>
        <sz val="7"/>
        <rFont val="Times New Roman"/>
        <family val="1"/>
      </rPr>
      <t>)</t>
    </r>
  </si>
  <si>
    <t>2.- CONEXIÓN</t>
  </si>
  <si>
    <t>Coeficiente de penalización por salida forzada   =</t>
  </si>
  <si>
    <t>ESTACIÓN
TRANSFORMADORA</t>
  </si>
  <si>
    <t>EQUIPO</t>
  </si>
  <si>
    <t>POT.
[MVA]</t>
  </si>
  <si>
    <t>Hs
Indisp.</t>
  </si>
  <si>
    <t>Mtos.
Indisp.</t>
  </si>
  <si>
    <t>AUT.</t>
  </si>
  <si>
    <t>E.N.S.</t>
  </si>
  <si>
    <t>K (P;ENS)</t>
  </si>
  <si>
    <t>PENALIZAC. FORZADA
Por Salida       hs. Restantes</t>
  </si>
  <si>
    <t>Hs.
Indisp.</t>
  </si>
  <si>
    <t>K</t>
  </si>
  <si>
    <t>Tiempo de servicio =</t>
  </si>
  <si>
    <t>hs</t>
  </si>
  <si>
    <t>Porcentaje por Supervisión  =</t>
  </si>
  <si>
    <t>SM =</t>
  </si>
  <si>
    <t>U [kV]</t>
  </si>
  <si>
    <t>CS =</t>
  </si>
  <si>
    <t>Rest.
%</t>
  </si>
  <si>
    <t>R.D.</t>
  </si>
  <si>
    <t>PENALIZACIÓN FORZADA
Por Salida    1ras 5 hs.   hs. Restantes</t>
  </si>
  <si>
    <t>TRANSENER S.A.</t>
  </si>
  <si>
    <t>SISTEMA DE TRANSPORTE DE ENERGÍA ELÉCTRICA EN ALTA TENSIÓN</t>
  </si>
  <si>
    <t>Transportista Independiente YACYLEC S.A.</t>
  </si>
  <si>
    <t>POTENCIA REACTIVA</t>
  </si>
  <si>
    <t>4.-</t>
  </si>
  <si>
    <t>SUPERVISIÓN</t>
  </si>
  <si>
    <t>SISTEMA DE TRANSPORTE DE ENERGÍA ELÉCTRICA EN ALTA TENSIÓN - TRANSENER S.A.</t>
  </si>
  <si>
    <t>VALOR MENSUAL DEL CANON =</t>
  </si>
  <si>
    <t>PENALIZAC.
PROGRAM.</t>
  </si>
  <si>
    <t>PUNTOS
PENALIZAC.</t>
  </si>
  <si>
    <t>CL</t>
  </si>
  <si>
    <t>REDUCCIÓN
RESTANTE</t>
  </si>
  <si>
    <t>Informó
enTérm.</t>
  </si>
  <si>
    <t>ENTE NACIONAL REGULADOR</t>
  </si>
  <si>
    <t>Por Transformador por cada MVA    $ =</t>
  </si>
  <si>
    <t>PENALIZAC. FORZADA
Por Salida         hs. Restantes</t>
  </si>
  <si>
    <t>REDUCC. FORZADA
Por Salida         hs. Restantes</t>
  </si>
  <si>
    <t xml:space="preserve"> 2.2.- Salidas</t>
  </si>
  <si>
    <t xml:space="preserve"> 2.2.1.- Equipamiento propio</t>
  </si>
  <si>
    <t>Coef</t>
  </si>
  <si>
    <t xml:space="preserve">Salida en 500 kV  en $/h </t>
  </si>
  <si>
    <t>Salida en 220 kV en $/h</t>
  </si>
  <si>
    <t>Salida en 132 kV  en $/h</t>
  </si>
  <si>
    <t>SISTEMA DE TRANSPORTE DE ENERGÍA ELÉCTRICA EN ALTA TENSIÓN  -  TRANSENER S.A.</t>
  </si>
  <si>
    <t>3.- POTENCIA REACTIVA</t>
  </si>
  <si>
    <t>3.1.- Equipamiento propio</t>
  </si>
  <si>
    <t>PENALIZACIÓN FORZADA
Por Salida     hs. Restantes</t>
  </si>
  <si>
    <t>3.2.-  Transportista Independiente YACYLEC S.A.</t>
  </si>
  <si>
    <t>PENALIZACIÓN FORZADA
1ras horas     hs. Restantes</t>
  </si>
  <si>
    <t xml:space="preserve">$/100 km-h : LINEAS 500 kV </t>
  </si>
  <si>
    <t xml:space="preserve">$/100 km-h : LINEAS 220 kV </t>
  </si>
  <si>
    <t>SISTEMA DE TRANSPORTE DE ENERGÍA ELÉCTRICA EN ALTA TENSIÓN - TRANSENER  S.A.</t>
  </si>
  <si>
    <t>4.- SUPERVISIÓN</t>
  </si>
  <si>
    <t>4.1.- Transportista Independiente YACYLEC S.A.</t>
  </si>
  <si>
    <t>a)</t>
  </si>
  <si>
    <t>Datos</t>
  </si>
  <si>
    <t>b)</t>
  </si>
  <si>
    <t>c)</t>
  </si>
  <si>
    <t>Tipo 
Sal.</t>
  </si>
  <si>
    <t>PENALIZAC. FORZADA
Por Salida    hs. Restantes</t>
  </si>
  <si>
    <t>d)</t>
  </si>
  <si>
    <t>LONG.</t>
  </si>
  <si>
    <t>Línea Rincón - Resistencia</t>
  </si>
  <si>
    <t>3 Líneas Rincón - Yacyretá</t>
  </si>
  <si>
    <t>e)</t>
  </si>
  <si>
    <t>SANCIÓN</t>
  </si>
  <si>
    <t>Sanción calculada</t>
  </si>
  <si>
    <t>TOTAL A PENALIZAR A TRANSENER S.A POR SUPERVISIÓN A YACYLEC S.A.</t>
  </si>
  <si>
    <t>SANCIÓN =</t>
  </si>
  <si>
    <t>500/132</t>
  </si>
  <si>
    <r>
      <t>CS:</t>
    </r>
    <r>
      <rPr>
        <sz val="12"/>
        <rFont val="Times New Roman"/>
        <family val="0"/>
      </rPr>
      <t xml:space="preserve"> es el cargo por supervisión de la operación que la concesionaria percibe por supervisar la operación y mantenimiento del transportista independiente, establecido en el reglamento de acceso.</t>
    </r>
  </si>
  <si>
    <r>
      <t>SM: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es la suma de las sanciones a que en cada mes se hiciere pasible el Transportista Independiente, valorizadas con idénticos criterios que los que se aplican a la Concesionaria.</t>
    </r>
  </si>
  <si>
    <r>
      <t>RM:</t>
    </r>
    <r>
      <rPr>
        <sz val="12"/>
        <color indexed="8"/>
        <rFont val="Times New Roman"/>
        <family val="1"/>
      </rPr>
      <t xml:space="preserve"> es la remuneración que mensualmente recibiría el Transportista Independiente, si su servicio fuera valorizado conforme al régimen remuneratorio que se aplica a la Concesionaria.</t>
    </r>
  </si>
  <si>
    <r>
      <t>RM</t>
    </r>
    <r>
      <rPr>
        <sz val="12"/>
        <rFont val="Times New Roman"/>
        <family val="1"/>
      </rPr>
      <t xml:space="preserve"> por Capacidad de Transporte</t>
    </r>
  </si>
  <si>
    <r>
      <t>RM</t>
    </r>
    <r>
      <rPr>
        <sz val="12"/>
        <rFont val="Times New Roman"/>
        <family val="1"/>
      </rPr>
      <t xml:space="preserve"> por Energía E. Transportada</t>
    </r>
  </si>
  <si>
    <r>
      <t>RM</t>
    </r>
    <r>
      <rPr>
        <sz val="12"/>
        <rFont val="Times New Roman"/>
        <family val="1"/>
      </rPr>
      <t xml:space="preserve"> por Potencia Puesta a Disposición</t>
    </r>
  </si>
  <si>
    <r>
      <t>RM</t>
    </r>
    <r>
      <rPr>
        <sz val="12"/>
        <rFont val="Times New Roman"/>
        <family val="1"/>
      </rPr>
      <t xml:space="preserve"> Total</t>
    </r>
  </si>
  <si>
    <t>1.1.- Líneas propias</t>
  </si>
  <si>
    <t>REDUCCIÓN FORZADA
Por Salida       1ras 5 hs.     hs. Restantes</t>
  </si>
  <si>
    <t>I</t>
  </si>
  <si>
    <t>Desde el 01 al 30 de septiembre de 2007</t>
  </si>
  <si>
    <t>PUELCHES - MACACHIN 2</t>
  </si>
  <si>
    <t>A</t>
  </si>
  <si>
    <t>P</t>
  </si>
  <si>
    <t>SI</t>
  </si>
  <si>
    <t>GRAL. RODRIGUEZ - VILLA  LIA 2</t>
  </si>
  <si>
    <t>C</t>
  </si>
  <si>
    <t>EZEIZA - ABASTO 1</t>
  </si>
  <si>
    <t>RIO GRANDE - EMBALSE</t>
  </si>
  <si>
    <t>EL BRACHO - RECREO(5)</t>
  </si>
  <si>
    <t>B</t>
  </si>
  <si>
    <t>F</t>
  </si>
  <si>
    <t>EZEIZA - HENDERSON 1</t>
  </si>
  <si>
    <t>RAMALLO - VILLA LIA  2</t>
  </si>
  <si>
    <t>RAMALLO - VILLA LIA  1</t>
  </si>
  <si>
    <t>SANTO TOME - ROMANG</t>
  </si>
  <si>
    <t>EZEIZA</t>
  </si>
  <si>
    <t>TRAFO 3</t>
  </si>
  <si>
    <t>500/220/132</t>
  </si>
  <si>
    <t>CHOELE CHOEL</t>
  </si>
  <si>
    <t>AUTOTRAFO 5</t>
  </si>
  <si>
    <t>EL CHOCON</t>
  </si>
  <si>
    <t>TRAFO T4</t>
  </si>
  <si>
    <t>TRAFO T2</t>
  </si>
  <si>
    <t>ATUCHA I</t>
  </si>
  <si>
    <t>TRAFO</t>
  </si>
  <si>
    <t>220/132</t>
  </si>
  <si>
    <t>RECREO</t>
  </si>
  <si>
    <t>TRAFO 1</t>
  </si>
  <si>
    <t>SALIDA LINEA A LA RIOJA 2</t>
  </si>
  <si>
    <t>SALIDA LINEA A LA RIOJA 1</t>
  </si>
  <si>
    <t>ALMAFUERTE</t>
  </si>
  <si>
    <t>SALIDA LINEA REOLIN 2</t>
  </si>
  <si>
    <t>RESISTENCIA</t>
  </si>
  <si>
    <t>SALIDA LINEA A BARRANQUERAS 2</t>
  </si>
  <si>
    <t>EL BRACHO</t>
  </si>
  <si>
    <t>SALIDA LINEA INDEPENDENCIA</t>
  </si>
  <si>
    <t>ROSARIO OESTE</t>
  </si>
  <si>
    <t>SALIDA LINEA A GODOY</t>
  </si>
  <si>
    <t>P. BANDERITA</t>
  </si>
  <si>
    <t>SALIDA TRAFO MAQ. 1 Y 2</t>
  </si>
  <si>
    <t>SALIDA LINEA F. L. BELTRÁN</t>
  </si>
  <si>
    <t>GRAL. RODRIGUEZ</t>
  </si>
  <si>
    <t>SALIDA TRAFO 2 500/220</t>
  </si>
  <si>
    <t>SANTO TOME</t>
  </si>
  <si>
    <t>SALIDA LINEA PAYZUMÉ</t>
  </si>
  <si>
    <t>ALIMENTADOR A SALADILLO</t>
  </si>
  <si>
    <t>SALIDA LINEA REOLIN 1</t>
  </si>
  <si>
    <t>B. BLANCA</t>
  </si>
  <si>
    <t>SALIDA ACOPLAMIENTO A-C</t>
  </si>
  <si>
    <t>SALIDA LINEA TUCUMAN NORTE 1</t>
  </si>
  <si>
    <t>SALIDA LINEA STA. FE OESTE 1</t>
  </si>
  <si>
    <t>ATUCHA</t>
  </si>
  <si>
    <t>SALIDA LINEA A E.T. ZARATE</t>
  </si>
  <si>
    <t>SALIDA LINEA A BARRANQUERAS 1</t>
  </si>
  <si>
    <t>ROMANG</t>
  </si>
  <si>
    <t>SALIDA LINEA CALCHAQUI</t>
  </si>
  <si>
    <t>TRAFO MAQ. 2</t>
  </si>
  <si>
    <t>SALIDA LINEA CEVIL POZO</t>
  </si>
  <si>
    <t>SALIDA LÍNEA A C.T. AVE FÉNIX</t>
  </si>
  <si>
    <t>SALIDA TRAFO 3 500/220</t>
  </si>
  <si>
    <t>SALIDA LINEA PROVINCIAS UNIDAS</t>
  </si>
  <si>
    <t>OLAVARRIA</t>
  </si>
  <si>
    <t>SALIDA ACOPLAMIENTO B-D</t>
  </si>
  <si>
    <t>RIO GRANDE</t>
  </si>
  <si>
    <t>SALIDA LINEA CARCARAÑA</t>
  </si>
  <si>
    <t>ALIMENTADOR A FRIAS</t>
  </si>
  <si>
    <t>CS5</t>
  </si>
  <si>
    <t>CS6</t>
  </si>
  <si>
    <t>CS1</t>
  </si>
  <si>
    <t>BAHIA BLANCA</t>
  </si>
  <si>
    <t>R1B5BB</t>
  </si>
  <si>
    <t>CS2</t>
  </si>
  <si>
    <t>CS4</t>
  </si>
  <si>
    <t>CS3</t>
  </si>
  <si>
    <t>R1L5GM</t>
  </si>
  <si>
    <t>$/100 km-h : LINEAS 500 kV                       =</t>
  </si>
  <si>
    <t>Valor Mensual del Canon     $                   =</t>
  </si>
  <si>
    <t>(DTE09/07)</t>
  </si>
  <si>
    <t>GRAN MZA  LUJAN</t>
  </si>
  <si>
    <t>R2T4RO</t>
  </si>
  <si>
    <t>R6L5RS</t>
  </si>
  <si>
    <t>Hora programada</t>
  </si>
  <si>
    <t>Hora de Entrada</t>
  </si>
  <si>
    <t>RP</t>
  </si>
  <si>
    <t>Valores remuneratorios según Decretos PEN  1462/05 y 1460/05</t>
  </si>
  <si>
    <t>TOTAL DE PENALIZACIONES</t>
  </si>
  <si>
    <t xml:space="preserve">P - PROGRAMADA                  </t>
  </si>
  <si>
    <t xml:space="preserve">FM - Fuerza  Mayor                       </t>
  </si>
  <si>
    <t xml:space="preserve">P - PROGRAMADA                   </t>
  </si>
  <si>
    <t>RF</t>
  </si>
  <si>
    <t xml:space="preserve">F - FORZADA                       </t>
  </si>
  <si>
    <t xml:space="preserve">P - PROGRAMADA                 </t>
  </si>
  <si>
    <t xml:space="preserve">P - PROGRAMADA                    </t>
  </si>
  <si>
    <t xml:space="preserve">P - PROGRAMADA                    RP - REDUCCIÓN PROGRAMADA                    </t>
  </si>
  <si>
    <t>F - FORZADA                                          RF - RESTANTE FORZADA ( proveniente de horas anteriores )</t>
  </si>
  <si>
    <t xml:space="preserve">F - FORZADA                    </t>
  </si>
  <si>
    <t xml:space="preserve">F - FORZADA                     </t>
  </si>
  <si>
    <t>Incendio</t>
  </si>
  <si>
    <t>1.2.- Incendio de Campos - Aplicación Punto 6.1.6 del Acta Acuerdo</t>
  </si>
  <si>
    <t>(*)</t>
  </si>
  <si>
    <t>(*) Aplicación de la NOTA S.E. N° 316/08 - 7/4/08</t>
  </si>
  <si>
    <t>RAMALLO - ACINDAR T 1 - ROSARIO OESTE 1</t>
  </si>
  <si>
    <t>RAMALLO - ACINDAR T 2 - ROSARIO OESTE 2</t>
  </si>
  <si>
    <t>2.1.1.- Transformación</t>
  </si>
  <si>
    <t>Art. 25</t>
  </si>
  <si>
    <t>Aplicación límite Art. 25</t>
  </si>
  <si>
    <t>Total según Res. ENRE N° 149/10</t>
  </si>
  <si>
    <t>DIFERENCIA</t>
  </si>
  <si>
    <t/>
  </si>
  <si>
    <t>ANEXO V al Memorandum D.T.E.E. N°  719/2011</t>
  </si>
</sst>
</file>

<file path=xl/styles.xml><?xml version="1.0" encoding="utf-8"?>
<styleSheet xmlns="http://schemas.openxmlformats.org/spreadsheetml/2006/main">
  <numFmts count="6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0_)"/>
    <numFmt numFmtId="165" formatCode="0.0_)"/>
    <numFmt numFmtId="166" formatCode="0.0000000_)"/>
    <numFmt numFmtId="167" formatCode="#,##0.0000"/>
    <numFmt numFmtId="168" formatCode="0.00_)"/>
    <numFmt numFmtId="169" formatCode="#,##0.00000"/>
    <numFmt numFmtId="170" formatCode="0.0"/>
    <numFmt numFmtId="171" formatCode="&quot;$&quot;\ #,##0.000;&quot;$&quot;\ \-#,##0.000"/>
    <numFmt numFmtId="172" formatCode="#,##0.0"/>
    <numFmt numFmtId="173" formatCode="0.000_)"/>
    <numFmt numFmtId="174" formatCode="0.000"/>
    <numFmt numFmtId="175" formatCode="0.0\ \k\V"/>
    <numFmt numFmtId="176" formatCode="0.00\ &quot;km&quot;"/>
    <numFmt numFmtId="177" formatCode="0.00\ &quot;MVA&quot;"/>
    <numFmt numFmtId="178" formatCode="dd/mm/yy"/>
    <numFmt numFmtId="179" formatCode="#,##0;[Red]#,##0"/>
    <numFmt numFmtId="180" formatCode="#,##0.000000"/>
    <numFmt numFmtId="181" formatCode="#&quot;.&quot;#&quot;.-&quot;"/>
    <numFmt numFmtId="182" formatCode="#&quot;.&quot;#&quot;.&quot;#&quot;.-&quot;"/>
    <numFmt numFmtId="183" formatCode="&quot;$&quot;#,##0.00;&quot;$&quot;\-#,##0.00"/>
    <numFmt numFmtId="184" formatCode="&quot;$&quot;#,##0.00"/>
    <numFmt numFmtId="185" formatCode="#,##0.00;[Red]#,##0.00"/>
    <numFmt numFmtId="186" formatCode="&quot;$&quot;\ #,##0.0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mmm\-yyyy"/>
    <numFmt numFmtId="196" formatCode="&quot;$&quot;\ #,##0.0;&quot;$&quot;\ \-#,##0.0"/>
    <numFmt numFmtId="197" formatCode="&quot;$&quot;\ #,##0.0000;&quot;$&quot;\ \-#,##0.0000"/>
    <numFmt numFmtId="198" formatCode="&quot;$&quot;\ #,##0.00000;&quot;$&quot;\ \-#,##0.00000"/>
    <numFmt numFmtId="199" formatCode="&quot;$&quot;\ #,##0.000000;&quot;$&quot;\ \-#,##0.000000"/>
    <numFmt numFmtId="200" formatCode="&quot;$&quot;#,##0.0;&quot;$&quot;\-#,##0.0"/>
    <numFmt numFmtId="201" formatCode="&quot;$&quot;#,##0;&quot;$&quot;\-#,##0"/>
    <numFmt numFmtId="202" formatCode="&quot;$&quot;\ #,##0.0000000;&quot;$&quot;\ \-#,##0.0000000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d\-m"/>
    <numFmt numFmtId="207" formatCode="dd/mm/\a\a\a\a\ hh:\n\n"/>
    <numFmt numFmtId="208" formatCode="d\-m\-yy\ h:mm"/>
    <numFmt numFmtId="209" formatCode="#,##0\ &quot;€&quot;;\-#,##0\ &quot;€&quot;"/>
    <numFmt numFmtId="210" formatCode="#,##0\ &quot;€&quot;;[Red]\-#,##0\ &quot;€&quot;"/>
    <numFmt numFmtId="211" formatCode="#,##0.00\ &quot;€&quot;;\-#,##0.00\ &quot;€&quot;"/>
    <numFmt numFmtId="212" formatCode="#,##0.00\ &quot;€&quot;;[Red]\-#,##0.00\ &quot;€&quot;"/>
    <numFmt numFmtId="213" formatCode="_-* #,##0\ &quot;€&quot;_-;\-* #,##0\ &quot;€&quot;_-;_-* &quot;-&quot;\ &quot;€&quot;_-;_-@_-"/>
    <numFmt numFmtId="214" formatCode="_-* #,##0\ _€_-;\-* #,##0\ _€_-;_-* &quot;-&quot;\ _€_-;_-@_-"/>
    <numFmt numFmtId="215" formatCode="_-* #,##0.00\ &quot;€&quot;_-;\-* #,##0.00\ &quot;€&quot;_-;_-* &quot;-&quot;??\ &quot;€&quot;_-;_-@_-"/>
    <numFmt numFmtId="216" formatCode="_-* #,##0.00\ _€_-;\-* #,##0.00\ _€_-;_-* &quot;-&quot;??\ _€_-;_-@_-"/>
    <numFmt numFmtId="217" formatCode="#,##0.000_);[Red]\(#,##0.000\)"/>
    <numFmt numFmtId="218" formatCode="#,##0.0000_);[Red]\(#,##0.0000\)"/>
    <numFmt numFmtId="219" formatCode="#,##0.00000_);[Red]\(#,##0.00000\)"/>
    <numFmt numFmtId="220" formatCode="#,##0.000000_);[Red]\(#,##0.000000\)"/>
    <numFmt numFmtId="221" formatCode="0.0000"/>
    <numFmt numFmtId="222" formatCode="[$€-2]\ #,##0.00_);[Red]\([$€-2]\ #,##0.00\)"/>
    <numFmt numFmtId="223" formatCode="#,##0.000000000"/>
  </numFmts>
  <fonts count="11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0"/>
      <name val="Times New Roman"/>
      <family val="1"/>
    </font>
    <font>
      <b/>
      <u val="single"/>
      <sz val="14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b/>
      <u val="single"/>
      <sz val="16"/>
      <name val="Times New Roman"/>
      <family val="1"/>
    </font>
    <font>
      <sz val="10"/>
      <color indexed="18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20"/>
      <name val="MS Sans Serif"/>
      <family val="0"/>
    </font>
    <font>
      <sz val="8"/>
      <name val="Times New Roman"/>
      <family val="1"/>
    </font>
    <font>
      <b/>
      <sz val="20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4"/>
      <name val="Times New Roman"/>
      <family val="1"/>
    </font>
    <font>
      <b/>
      <i/>
      <u val="single"/>
      <sz val="10"/>
      <name val="Times New Roman"/>
      <family val="1"/>
    </font>
    <font>
      <sz val="11"/>
      <name val="MS Sans Serif"/>
      <family val="2"/>
    </font>
    <font>
      <sz val="11"/>
      <color indexed="13"/>
      <name val="Times New Roman"/>
      <family val="1"/>
    </font>
    <font>
      <sz val="11"/>
      <color indexed="8"/>
      <name val="Times New Roman"/>
      <family val="1"/>
    </font>
    <font>
      <sz val="14"/>
      <name val="MS Sans Serif"/>
      <family val="0"/>
    </font>
    <font>
      <sz val="10"/>
      <name val="Wingdings"/>
      <family val="0"/>
    </font>
    <font>
      <sz val="7"/>
      <name val="Times New Roman"/>
      <family val="1"/>
    </font>
    <font>
      <sz val="7"/>
      <name val="Wingdings"/>
      <family val="0"/>
    </font>
    <font>
      <sz val="7"/>
      <name val="Courier New"/>
      <family val="3"/>
    </font>
    <font>
      <b/>
      <sz val="7"/>
      <name val="Times New Roman"/>
      <family val="1"/>
    </font>
    <font>
      <sz val="11"/>
      <color indexed="48"/>
      <name val="MS Sans Serif"/>
      <family val="2"/>
    </font>
    <font>
      <sz val="10"/>
      <color indexed="48"/>
      <name val="Times New Roman"/>
      <family val="1"/>
    </font>
    <font>
      <b/>
      <sz val="10"/>
      <color indexed="10"/>
      <name val="Times New Roman"/>
      <family val="0"/>
    </font>
    <font>
      <sz val="11"/>
      <color indexed="10"/>
      <name val="MS Sans Serif"/>
      <family val="2"/>
    </font>
    <font>
      <sz val="10"/>
      <color indexed="10"/>
      <name val="MS Sans Serif"/>
      <family val="2"/>
    </font>
    <font>
      <sz val="11"/>
      <color indexed="56"/>
      <name val="MS Sans Serif"/>
      <family val="2"/>
    </font>
    <font>
      <sz val="11"/>
      <color indexed="58"/>
      <name val="MS Sans Serif"/>
      <family val="2"/>
    </font>
    <font>
      <sz val="11"/>
      <color indexed="9"/>
      <name val="MS Sans Serif"/>
      <family val="2"/>
    </font>
    <font>
      <sz val="10"/>
      <color indexed="9"/>
      <name val="Times New Roman"/>
      <family val="1"/>
    </font>
    <font>
      <sz val="11"/>
      <color indexed="26"/>
      <name val="MS Sans Serif"/>
      <family val="2"/>
    </font>
    <font>
      <b/>
      <sz val="10"/>
      <color indexed="26"/>
      <name val="Times New Roman"/>
      <family val="1"/>
    </font>
    <font>
      <b/>
      <sz val="10"/>
      <color indexed="9"/>
      <name val="Times New Roman"/>
      <family val="0"/>
    </font>
    <font>
      <sz val="11"/>
      <color indexed="8"/>
      <name val="MS Sans Serif"/>
      <family val="2"/>
    </font>
    <font>
      <b/>
      <sz val="10"/>
      <color indexed="8"/>
      <name val="Times New Roman"/>
      <family val="0"/>
    </font>
    <font>
      <sz val="11"/>
      <color indexed="62"/>
      <name val="MS Sans Serif"/>
      <family val="2"/>
    </font>
    <font>
      <b/>
      <sz val="10"/>
      <color indexed="62"/>
      <name val="Times New Roman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6"/>
      <name val="MS Sans Serif"/>
      <family val="0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7"/>
      <name val="MS Sans Serif"/>
      <family val="2"/>
    </font>
    <font>
      <sz val="10"/>
      <color indexed="47"/>
      <name val="Times New Roman"/>
      <family val="1"/>
    </font>
    <font>
      <sz val="10"/>
      <color indexed="14"/>
      <name val="Times New Roman"/>
      <family val="1"/>
    </font>
    <font>
      <i/>
      <sz val="10"/>
      <name val="Times New Roman"/>
      <family val="1"/>
    </font>
    <font>
      <sz val="11"/>
      <color indexed="50"/>
      <name val="MS Sans Serif"/>
      <family val="2"/>
    </font>
    <font>
      <sz val="10"/>
      <color indexed="50"/>
      <name val="Times New Roman"/>
      <family val="1"/>
    </font>
    <font>
      <b/>
      <sz val="10"/>
      <color indexed="50"/>
      <name val="Times New Roman"/>
      <family val="0"/>
    </font>
    <font>
      <sz val="10"/>
      <color indexed="13"/>
      <name val="Times New Roman"/>
      <family val="1"/>
    </font>
    <font>
      <sz val="7"/>
      <name val="MS Sans Serif"/>
      <family val="0"/>
    </font>
    <font>
      <sz val="7"/>
      <color indexed="14"/>
      <name val="Times New Roman"/>
      <family val="1"/>
    </font>
    <font>
      <sz val="7"/>
      <color indexed="10"/>
      <name val="Times New Roman"/>
      <family val="1"/>
    </font>
    <font>
      <sz val="11"/>
      <color indexed="60"/>
      <name val="MS Sans Serif"/>
      <family val="2"/>
    </font>
    <font>
      <sz val="11"/>
      <color indexed="11"/>
      <name val="MS Sans Serif"/>
      <family val="2"/>
    </font>
    <font>
      <sz val="10"/>
      <color indexed="60"/>
      <name val="Times New Roman"/>
      <family val="1"/>
    </font>
    <font>
      <sz val="10"/>
      <color indexed="11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11"/>
      <name val="Times New Roman"/>
      <family val="1"/>
    </font>
    <font>
      <b/>
      <i/>
      <sz val="14"/>
      <name val="Times New Roman"/>
      <family val="1"/>
    </font>
    <font>
      <sz val="11"/>
      <color indexed="61"/>
      <name val="MS Sans Serif"/>
      <family val="2"/>
    </font>
    <font>
      <sz val="11"/>
      <color indexed="54"/>
      <name val="MS Sans Serif"/>
      <family val="2"/>
    </font>
    <font>
      <b/>
      <sz val="10"/>
      <color indexed="61"/>
      <name val="Times New Roman"/>
      <family val="0"/>
    </font>
    <font>
      <b/>
      <sz val="10"/>
      <color indexed="54"/>
      <name val="Times New Roman"/>
      <family val="0"/>
    </font>
    <font>
      <b/>
      <sz val="10"/>
      <color indexed="56"/>
      <name val="Times New Roman"/>
      <family val="1"/>
    </font>
    <font>
      <b/>
      <sz val="10"/>
      <color indexed="58"/>
      <name val="Times New Roman"/>
      <family val="1"/>
    </font>
    <font>
      <b/>
      <sz val="12"/>
      <color indexed="8"/>
      <name val="Times New Roman"/>
      <family val="1"/>
    </font>
    <font>
      <b/>
      <u val="single"/>
      <sz val="7"/>
      <name val="Times New Roman"/>
      <family val="1"/>
    </font>
    <font>
      <b/>
      <sz val="7"/>
      <color indexed="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0"/>
      <color indexed="18"/>
      <name val="Times New Roman"/>
      <family val="1"/>
    </font>
    <font>
      <sz val="12"/>
      <name val="MS Sans Serif"/>
      <family val="0"/>
    </font>
    <font>
      <sz val="11"/>
      <color indexed="27"/>
      <name val="MS Sans Serif"/>
      <family val="2"/>
    </font>
    <font>
      <sz val="10"/>
      <color indexed="27"/>
      <name val="Times New Roman"/>
      <family val="1"/>
    </font>
    <font>
      <sz val="24"/>
      <name val="Times New Roman"/>
      <family val="1"/>
    </font>
    <font>
      <b/>
      <u val="single"/>
      <sz val="24"/>
      <name val="Times New Roman"/>
      <family val="1"/>
    </font>
    <font>
      <b/>
      <i/>
      <u val="single"/>
      <sz val="12"/>
      <name val="Arial"/>
      <family val="0"/>
    </font>
    <font>
      <b/>
      <i/>
      <u val="single"/>
      <sz val="12"/>
      <name val="Times New Roman"/>
      <family val="1"/>
    </font>
    <font>
      <b/>
      <sz val="12"/>
      <color indexed="9"/>
      <name val="Times New Roman"/>
      <family val="0"/>
    </font>
    <font>
      <sz val="12"/>
      <color indexed="10"/>
      <name val="Times New Roman"/>
      <family val="1"/>
    </font>
    <font>
      <b/>
      <sz val="12"/>
      <color indexed="34"/>
      <name val="Times New Roman"/>
      <family val="0"/>
    </font>
    <font>
      <b/>
      <sz val="10"/>
      <color indexed="48"/>
      <name val="Times New Roman"/>
      <family val="0"/>
    </font>
    <font>
      <b/>
      <u val="single"/>
      <sz val="12"/>
      <color indexed="8"/>
      <name val="Times New Roman"/>
      <family val="1"/>
    </font>
    <font>
      <sz val="12"/>
      <color indexed="14"/>
      <name val="Times New Roman"/>
      <family val="1"/>
    </font>
    <font>
      <b/>
      <sz val="14"/>
      <color indexed="8"/>
      <name val="Times New Roman"/>
      <family val="0"/>
    </font>
    <font>
      <sz val="14"/>
      <color indexed="14"/>
      <name val="Times New Roman"/>
      <family val="1"/>
    </font>
    <font>
      <sz val="14"/>
      <color indexed="10"/>
      <name val="Times New Roman"/>
      <family val="1"/>
    </font>
    <font>
      <sz val="10"/>
      <color indexed="62"/>
      <name val="MS Sans Serif"/>
      <family val="2"/>
    </font>
    <font>
      <sz val="10"/>
      <color indexed="26"/>
      <name val="Times New Roman"/>
      <family val="1"/>
    </font>
    <font>
      <sz val="10"/>
      <color indexed="62"/>
      <name val="Times New Roman"/>
      <family val="1"/>
    </font>
    <font>
      <sz val="8"/>
      <name val="MS Sans Serif"/>
      <family val="2"/>
    </font>
    <font>
      <b/>
      <sz val="8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double"/>
      <right style="double"/>
      <top>
        <color indexed="63"/>
      </top>
      <bottom style="thick"/>
    </border>
    <border>
      <left>
        <color indexed="63"/>
      </left>
      <right style="thick"/>
      <top style="double"/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thick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thin"/>
    </border>
    <border>
      <left style="double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6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/>
    </xf>
    <xf numFmtId="0" fontId="7" fillId="0" borderId="2" xfId="0" applyFont="1" applyBorder="1" applyAlignment="1">
      <alignment horizontal="center"/>
    </xf>
    <xf numFmtId="168" fontId="7" fillId="0" borderId="2" xfId="0" applyNumberFormat="1" applyFont="1" applyBorder="1" applyAlignment="1" applyProtection="1" quotePrefix="1">
      <alignment horizontal="center"/>
      <protection/>
    </xf>
    <xf numFmtId="168" fontId="7" fillId="0" borderId="3" xfId="0" applyNumberFormat="1" applyFont="1" applyBorder="1" applyAlignment="1" applyProtection="1">
      <alignment horizontal="center"/>
      <protection/>
    </xf>
    <xf numFmtId="0" fontId="7" fillId="0" borderId="2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168" fontId="7" fillId="0" borderId="2" xfId="0" applyNumberFormat="1" applyFont="1" applyFill="1" applyBorder="1" applyAlignment="1" applyProtection="1">
      <alignment horizontal="center"/>
      <protection/>
    </xf>
    <xf numFmtId="3" fontId="7" fillId="0" borderId="2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4" fontId="10" fillId="0" borderId="2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14" fillId="0" borderId="0" xfId="0" applyFont="1" applyFill="1" applyBorder="1" applyAlignment="1" applyProtection="1">
      <alignment horizontal="centerContinuous"/>
      <protection/>
    </xf>
    <xf numFmtId="0" fontId="18" fillId="0" borderId="0" xfId="0" applyNumberFormat="1" applyFont="1" applyAlignment="1">
      <alignment horizontal="left"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Fill="1" applyBorder="1" applyAlignment="1" applyProtection="1">
      <alignment horizontal="left"/>
      <protection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5" xfId="0" applyFont="1" applyBorder="1" applyAlignment="1">
      <alignment/>
    </xf>
    <xf numFmtId="0" fontId="22" fillId="0" borderId="6" xfId="0" applyFont="1" applyBorder="1" applyAlignment="1">
      <alignment/>
    </xf>
    <xf numFmtId="0" fontId="23" fillId="0" borderId="0" xfId="0" applyFont="1" applyAlignment="1">
      <alignment/>
    </xf>
    <xf numFmtId="0" fontId="24" fillId="0" borderId="7" xfId="0" applyFont="1" applyBorder="1" applyAlignment="1">
      <alignment horizontal="centerContinuous"/>
    </xf>
    <xf numFmtId="0" fontId="0" fillId="0" borderId="0" xfId="0" applyNumberFormat="1" applyAlignment="1">
      <alignment horizontal="centerContinuous"/>
    </xf>
    <xf numFmtId="0" fontId="23" fillId="0" borderId="0" xfId="0" applyNumberFormat="1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0" fontId="23" fillId="0" borderId="1" xfId="0" applyFont="1" applyBorder="1" applyAlignment="1">
      <alignment horizontal="centerContinuous"/>
    </xf>
    <xf numFmtId="0" fontId="23" fillId="0" borderId="0" xfId="0" applyFont="1" applyBorder="1" applyAlignment="1">
      <alignment/>
    </xf>
    <xf numFmtId="0" fontId="23" fillId="0" borderId="7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/>
    </xf>
    <xf numFmtId="0" fontId="23" fillId="0" borderId="1" xfId="0" applyFont="1" applyBorder="1" applyAlignment="1">
      <alignment/>
    </xf>
    <xf numFmtId="0" fontId="25" fillId="0" borderId="0" xfId="0" applyNumberFormat="1" applyFont="1" applyBorder="1" applyAlignment="1">
      <alignment horizontal="right"/>
    </xf>
    <xf numFmtId="7" fontId="25" fillId="0" borderId="0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0" fontId="5" fillId="0" borderId="0" xfId="0" applyNumberFormat="1" applyFont="1" applyBorder="1" applyAlignment="1">
      <alignment horizontal="right"/>
    </xf>
    <xf numFmtId="0" fontId="26" fillId="0" borderId="0" xfId="0" applyFont="1" applyBorder="1" applyAlignment="1">
      <alignment/>
    </xf>
    <xf numFmtId="7" fontId="5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/>
    </xf>
    <xf numFmtId="0" fontId="25" fillId="0" borderId="8" xfId="0" applyFont="1" applyBorder="1" applyAlignment="1">
      <alignment horizontal="center"/>
    </xf>
    <xf numFmtId="7" fontId="25" fillId="0" borderId="9" xfId="0" applyNumberFormat="1" applyFont="1" applyBorder="1" applyAlignment="1">
      <alignment horizontal="center"/>
    </xf>
    <xf numFmtId="0" fontId="22" fillId="0" borderId="10" xfId="0" applyFont="1" applyBorder="1" applyAlignment="1">
      <alignment/>
    </xf>
    <xf numFmtId="0" fontId="22" fillId="0" borderId="11" xfId="0" applyNumberFormat="1" applyFont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0" xfId="0" applyFont="1" applyFill="1" applyBorder="1" applyAlignment="1">
      <alignment/>
    </xf>
    <xf numFmtId="4" fontId="22" fillId="0" borderId="0" xfId="0" applyNumberFormat="1" applyFont="1" applyFill="1" applyBorder="1" applyAlignment="1">
      <alignment/>
    </xf>
    <xf numFmtId="7" fontId="22" fillId="0" borderId="0" xfId="0" applyNumberFormat="1" applyFont="1" applyBorder="1" applyAlignment="1">
      <alignment/>
    </xf>
    <xf numFmtId="168" fontId="22" fillId="0" borderId="0" xfId="0" applyNumberFormat="1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0" fillId="0" borderId="7" xfId="0" applyFont="1" applyBorder="1" applyAlignment="1">
      <alignment/>
    </xf>
    <xf numFmtId="0" fontId="20" fillId="0" borderId="1" xfId="0" applyFont="1" applyBorder="1" applyAlignment="1">
      <alignment/>
    </xf>
    <xf numFmtId="0" fontId="20" fillId="0" borderId="0" xfId="0" applyFont="1" applyBorder="1" applyAlignment="1" applyProtection="1">
      <alignment/>
      <protection/>
    </xf>
    <xf numFmtId="0" fontId="0" fillId="0" borderId="8" xfId="0" applyFont="1" applyBorder="1" applyAlignment="1" applyProtection="1">
      <alignment horizontal="center"/>
      <protection/>
    </xf>
    <xf numFmtId="0" fontId="8" fillId="0" borderId="0" xfId="0" applyFont="1" applyBorder="1" applyAlignment="1">
      <alignment horizontal="centerContinuous"/>
    </xf>
    <xf numFmtId="0" fontId="27" fillId="0" borderId="14" xfId="0" applyFont="1" applyBorder="1" applyAlignment="1">
      <alignment horizontal="center" vertical="center"/>
    </xf>
    <xf numFmtId="0" fontId="27" fillId="0" borderId="14" xfId="0" applyFont="1" applyBorder="1" applyAlignment="1" applyProtection="1">
      <alignment horizontal="center" vertical="center"/>
      <protection/>
    </xf>
    <xf numFmtId="0" fontId="27" fillId="0" borderId="14" xfId="0" applyFont="1" applyBorder="1" applyAlignment="1" applyProtection="1">
      <alignment horizontal="center" vertical="center" wrapText="1"/>
      <protection/>
    </xf>
    <xf numFmtId="0" fontId="27" fillId="0" borderId="8" xfId="0" applyFont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7" fillId="0" borderId="13" xfId="0" applyFont="1" applyFill="1" applyBorder="1" applyAlignment="1">
      <alignment/>
    </xf>
    <xf numFmtId="0" fontId="7" fillId="0" borderId="5" xfId="0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>
      <alignment horizontal="center"/>
    </xf>
    <xf numFmtId="22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0" fillId="0" borderId="7" xfId="0" applyFont="1" applyFill="1" applyBorder="1" applyAlignment="1">
      <alignment/>
    </xf>
    <xf numFmtId="0" fontId="20" fillId="0" borderId="1" xfId="0" applyFont="1" applyFill="1" applyBorder="1" applyAlignment="1">
      <alignment/>
    </xf>
    <xf numFmtId="0" fontId="20" fillId="0" borderId="0" xfId="0" applyFont="1" applyFill="1" applyBorder="1" applyAlignment="1" applyProtection="1">
      <alignment/>
      <protection/>
    </xf>
    <xf numFmtId="0" fontId="23" fillId="0" borderId="0" xfId="0" applyFont="1" applyFill="1" applyAlignment="1">
      <alignment/>
    </xf>
    <xf numFmtId="0" fontId="0" fillId="0" borderId="8" xfId="0" applyFont="1" applyFill="1" applyBorder="1" applyAlignment="1" applyProtection="1" quotePrefix="1">
      <alignment horizontal="left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24" fillId="0" borderId="0" xfId="0" applyFont="1" applyFill="1" applyBorder="1" applyAlignment="1">
      <alignment horizontal="centerContinuous"/>
    </xf>
    <xf numFmtId="0" fontId="11" fillId="0" borderId="0" xfId="0" applyFont="1" applyFill="1" applyAlignment="1">
      <alignment/>
    </xf>
    <xf numFmtId="0" fontId="18" fillId="0" borderId="0" xfId="0" applyFont="1" applyFill="1" applyAlignment="1">
      <alignment horizontal="centerContinuous"/>
    </xf>
    <xf numFmtId="22" fontId="7" fillId="0" borderId="0" xfId="0" applyNumberFormat="1" applyFont="1" applyBorder="1" applyAlignment="1">
      <alignment/>
    </xf>
    <xf numFmtId="0" fontId="7" fillId="0" borderId="0" xfId="0" applyFont="1" applyBorder="1" applyAlignment="1" quotePrefix="1">
      <alignment horizontal="center"/>
    </xf>
    <xf numFmtId="0" fontId="0" fillId="0" borderId="8" xfId="0" applyFont="1" applyBorder="1" applyAlignment="1" applyProtection="1">
      <alignment horizontal="left"/>
      <protection/>
    </xf>
    <xf numFmtId="0" fontId="0" fillId="0" borderId="14" xfId="0" applyFont="1" applyBorder="1" applyAlignment="1">
      <alignment horizontal="center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 wrapText="1"/>
      <protection/>
    </xf>
    <xf numFmtId="0" fontId="27" fillId="0" borderId="14" xfId="0" applyFont="1" applyFill="1" applyBorder="1" applyAlignment="1" applyProtection="1" quotePrefix="1">
      <alignment horizontal="center" vertical="center" wrapText="1"/>
      <protection/>
    </xf>
    <xf numFmtId="0" fontId="27" fillId="0" borderId="14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>
      <alignment horizontal="center" vertical="center"/>
    </xf>
    <xf numFmtId="0" fontId="18" fillId="0" borderId="0" xfId="0" applyFont="1" applyAlignment="1">
      <alignment horizontal="centerContinuous"/>
    </xf>
    <xf numFmtId="7" fontId="25" fillId="0" borderId="0" xfId="0" applyNumberFormat="1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32" fillId="0" borderId="16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/>
      <protection/>
    </xf>
    <xf numFmtId="0" fontId="32" fillId="0" borderId="0" xfId="0" applyFont="1" applyBorder="1" applyAlignment="1">
      <alignment horizontal="center"/>
    </xf>
    <xf numFmtId="0" fontId="34" fillId="0" borderId="0" xfId="0" applyFont="1" applyBorder="1" applyAlignment="1" applyProtection="1">
      <alignment horizontal="left" vertical="top"/>
      <protection/>
    </xf>
    <xf numFmtId="0" fontId="32" fillId="0" borderId="0" xfId="0" applyFont="1" applyBorder="1" applyAlignment="1">
      <alignment/>
    </xf>
    <xf numFmtId="0" fontId="32" fillId="0" borderId="7" xfId="0" applyFont="1" applyBorder="1" applyAlignment="1">
      <alignment/>
    </xf>
    <xf numFmtId="0" fontId="32" fillId="0" borderId="0" xfId="0" applyFont="1" applyAlignment="1">
      <alignment/>
    </xf>
    <xf numFmtId="0" fontId="32" fillId="0" borderId="1" xfId="0" applyFont="1" applyFill="1" applyBorder="1" applyAlignment="1">
      <alignment/>
    </xf>
    <xf numFmtId="0" fontId="36" fillId="2" borderId="14" xfId="0" applyFont="1" applyFill="1" applyBorder="1" applyAlignment="1" applyProtection="1">
      <alignment horizontal="center" vertical="center"/>
      <protection/>
    </xf>
    <xf numFmtId="168" fontId="37" fillId="2" borderId="2" xfId="0" applyNumberFormat="1" applyFont="1" applyFill="1" applyBorder="1" applyAlignment="1" applyProtection="1">
      <alignment horizontal="center"/>
      <protection/>
    </xf>
    <xf numFmtId="168" fontId="37" fillId="2" borderId="3" xfId="0" applyNumberFormat="1" applyFont="1" applyFill="1" applyBorder="1" applyAlignment="1" applyProtection="1">
      <alignment horizontal="center"/>
      <protection/>
    </xf>
    <xf numFmtId="0" fontId="27" fillId="0" borderId="14" xfId="0" applyFont="1" applyBorder="1" applyAlignment="1">
      <alignment horizontal="center" vertical="center" wrapText="1"/>
    </xf>
    <xf numFmtId="0" fontId="37" fillId="2" borderId="17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 vertical="center" wrapText="1"/>
    </xf>
    <xf numFmtId="0" fontId="43" fillId="4" borderId="14" xfId="0" applyFont="1" applyFill="1" applyBorder="1" applyAlignment="1" applyProtection="1">
      <alignment horizontal="center" vertical="center"/>
      <protection/>
    </xf>
    <xf numFmtId="0" fontId="45" fillId="3" borderId="14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Continuous"/>
    </xf>
    <xf numFmtId="168" fontId="10" fillId="0" borderId="0" xfId="0" applyNumberFormat="1" applyFont="1" applyBorder="1" applyAlignment="1" applyProtection="1">
      <alignment horizontal="left"/>
      <protection/>
    </xf>
    <xf numFmtId="0" fontId="56" fillId="0" borderId="0" xfId="0" applyFont="1" applyAlignment="1">
      <alignment horizontal="right" vertical="top"/>
    </xf>
    <xf numFmtId="0" fontId="56" fillId="0" borderId="0" xfId="0" applyFont="1" applyFill="1" applyAlignment="1">
      <alignment horizontal="right" vertical="top"/>
    </xf>
    <xf numFmtId="0" fontId="7" fillId="0" borderId="2" xfId="0" applyFont="1" applyBorder="1" applyAlignment="1" applyProtection="1">
      <alignment horizontal="center"/>
      <protection locked="0"/>
    </xf>
    <xf numFmtId="0" fontId="12" fillId="0" borderId="18" xfId="0" applyFont="1" applyBorder="1" applyAlignment="1" applyProtection="1">
      <alignment horizontal="center"/>
      <protection locked="0"/>
    </xf>
    <xf numFmtId="164" fontId="7" fillId="0" borderId="2" xfId="0" applyNumberFormat="1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22" fontId="7" fillId="0" borderId="2" xfId="0" applyNumberFormat="1" applyFont="1" applyBorder="1" applyAlignment="1" applyProtection="1">
      <alignment horizontal="center"/>
      <protection locked="0"/>
    </xf>
    <xf numFmtId="168" fontId="7" fillId="0" borderId="3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>
      <alignment horizontal="center"/>
      <protection locked="0"/>
    </xf>
    <xf numFmtId="168" fontId="7" fillId="0" borderId="2" xfId="0" applyNumberFormat="1" applyFont="1" applyBorder="1" applyAlignment="1" applyProtection="1" quotePrefix="1">
      <alignment horizontal="center"/>
      <protection locked="0"/>
    </xf>
    <xf numFmtId="0" fontId="7" fillId="0" borderId="4" xfId="0" applyFont="1" applyBorder="1" applyAlignment="1" applyProtection="1">
      <alignment horizontal="center"/>
      <protection locked="0"/>
    </xf>
    <xf numFmtId="0" fontId="7" fillId="0" borderId="2" xfId="0" applyFont="1" applyFill="1" applyBorder="1" applyAlignment="1" applyProtection="1">
      <alignment horizontal="center"/>
      <protection locked="0"/>
    </xf>
    <xf numFmtId="22" fontId="7" fillId="0" borderId="2" xfId="0" applyNumberFormat="1" applyFont="1" applyFill="1" applyBorder="1" applyAlignment="1" applyProtection="1">
      <alignment horizontal="center"/>
      <protection locked="0"/>
    </xf>
    <xf numFmtId="168" fontId="7" fillId="0" borderId="2" xfId="0" applyNumberFormat="1" applyFont="1" applyFill="1" applyBorder="1" applyAlignment="1" applyProtection="1">
      <alignment horizontal="center"/>
      <protection locked="0"/>
    </xf>
    <xf numFmtId="0" fontId="7" fillId="0" borderId="3" xfId="0" applyFont="1" applyFill="1" applyBorder="1" applyAlignment="1" applyProtection="1">
      <alignment horizontal="center"/>
      <protection locked="0"/>
    </xf>
    <xf numFmtId="168" fontId="47" fillId="3" borderId="2" xfId="0" applyNumberFormat="1" applyFont="1" applyFill="1" applyBorder="1" applyAlignment="1" applyProtection="1" quotePrefix="1">
      <alignment horizontal="center"/>
      <protection locked="0"/>
    </xf>
    <xf numFmtId="168" fontId="7" fillId="0" borderId="20" xfId="0" applyNumberFormat="1" applyFont="1" applyFill="1" applyBorder="1" applyAlignment="1" applyProtection="1">
      <alignment horizontal="center"/>
      <protection locked="0"/>
    </xf>
    <xf numFmtId="168" fontId="47" fillId="3" borderId="3" xfId="0" applyNumberFormat="1" applyFont="1" applyFill="1" applyBorder="1" applyAlignment="1" applyProtection="1" quotePrefix="1">
      <alignment horizontal="center"/>
      <protection locked="0"/>
    </xf>
    <xf numFmtId="168" fontId="7" fillId="0" borderId="3" xfId="0" applyNumberFormat="1" applyFont="1" applyFill="1" applyBorder="1" applyAlignment="1" applyProtection="1">
      <alignment horizontal="center"/>
      <protection locked="0"/>
    </xf>
    <xf numFmtId="0" fontId="25" fillId="0" borderId="0" xfId="0" applyFont="1" applyBorder="1" applyAlignment="1">
      <alignment horizontal="center"/>
    </xf>
    <xf numFmtId="181" fontId="25" fillId="0" borderId="0" xfId="0" applyNumberFormat="1" applyFont="1" applyBorder="1" applyAlignment="1">
      <alignment horizontal="right"/>
    </xf>
    <xf numFmtId="182" fontId="25" fillId="0" borderId="0" xfId="0" applyNumberFormat="1" applyFont="1" applyBorder="1" applyAlignment="1">
      <alignment/>
    </xf>
    <xf numFmtId="182" fontId="25" fillId="0" borderId="0" xfId="0" applyNumberFormat="1" applyFont="1" applyBorder="1" applyAlignment="1">
      <alignment horizontal="right"/>
    </xf>
    <xf numFmtId="181" fontId="25" fillId="0" borderId="0" xfId="0" applyNumberFormat="1" applyFont="1" applyBorder="1" applyAlignment="1">
      <alignment horizontal="left"/>
    </xf>
    <xf numFmtId="182" fontId="23" fillId="0" borderId="0" xfId="0" applyNumberFormat="1" applyFont="1" applyBorder="1" applyAlignment="1">
      <alignment/>
    </xf>
    <xf numFmtId="0" fontId="64" fillId="0" borderId="0" xfId="0" applyNumberFormat="1" applyFont="1" applyBorder="1" applyAlignment="1">
      <alignment horizontal="left"/>
    </xf>
    <xf numFmtId="0" fontId="54" fillId="0" borderId="0" xfId="0" applyFont="1" applyAlignment="1">
      <alignment horizontal="centerContinuous"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7" xfId="0" applyBorder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1" xfId="0" applyFont="1" applyFill="1" applyBorder="1" applyAlignment="1">
      <alignment horizontal="centerContinuous"/>
    </xf>
    <xf numFmtId="0" fontId="5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8" xfId="0" applyFont="1" applyBorder="1" applyAlignment="1">
      <alignment horizontal="right" vertical="center"/>
    </xf>
    <xf numFmtId="0" fontId="4" fillId="0" borderId="21" xfId="0" applyFont="1" applyBorder="1" applyAlignment="1">
      <alignment/>
    </xf>
    <xf numFmtId="0" fontId="27" fillId="0" borderId="8" xfId="0" applyFont="1" applyBorder="1" applyAlignment="1" applyProtection="1">
      <alignment horizontal="center" vertical="center"/>
      <protection/>
    </xf>
    <xf numFmtId="0" fontId="48" fillId="5" borderId="14" xfId="0" applyFont="1" applyFill="1" applyBorder="1" applyAlignment="1" applyProtection="1">
      <alignment horizontal="center" vertical="center" wrapText="1"/>
      <protection/>
    </xf>
    <xf numFmtId="0" fontId="43" fillId="3" borderId="8" xfId="0" applyFont="1" applyFill="1" applyBorder="1" applyAlignment="1" applyProtection="1">
      <alignment horizontal="centerContinuous" vertical="center" wrapText="1"/>
      <protection/>
    </xf>
    <xf numFmtId="0" fontId="43" fillId="3" borderId="9" xfId="0" applyFont="1" applyFill="1" applyBorder="1" applyAlignment="1" applyProtection="1">
      <alignment horizontal="centerContinuous" vertical="center" wrapText="1"/>
      <protection/>
    </xf>
    <xf numFmtId="0" fontId="65" fillId="6" borderId="8" xfId="0" applyFont="1" applyFill="1" applyBorder="1" applyAlignment="1" applyProtection="1">
      <alignment horizontal="centerContinuous" vertical="center" wrapText="1"/>
      <protection/>
    </xf>
    <xf numFmtId="0" fontId="43" fillId="7" borderId="14" xfId="0" applyFont="1" applyFill="1" applyBorder="1" applyAlignment="1" applyProtection="1">
      <alignment horizontal="centerContinuous" vertical="center" wrapText="1"/>
      <protection/>
    </xf>
    <xf numFmtId="0" fontId="0" fillId="0" borderId="1" xfId="0" applyFill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53" fillId="5" borderId="17" xfId="0" applyFont="1" applyFill="1" applyBorder="1" applyAlignment="1">
      <alignment horizontal="center"/>
    </xf>
    <xf numFmtId="7" fontId="7" fillId="0" borderId="17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53" fillId="5" borderId="2" xfId="0" applyFont="1" applyFill="1" applyBorder="1" applyAlignment="1">
      <alignment horizontal="center"/>
    </xf>
    <xf numFmtId="0" fontId="7" fillId="0" borderId="4" xfId="0" applyFont="1" applyBorder="1" applyAlignment="1" applyProtection="1" quotePrefix="1">
      <alignment horizontal="center"/>
      <protection locked="0"/>
    </xf>
    <xf numFmtId="164" fontId="7" fillId="0" borderId="2" xfId="0" applyNumberFormat="1" applyFont="1" applyFill="1" applyBorder="1" applyAlignment="1" applyProtection="1">
      <alignment horizontal="center"/>
      <protection locked="0"/>
    </xf>
    <xf numFmtId="22" fontId="7" fillId="0" borderId="4" xfId="0" applyNumberFormat="1" applyFont="1" applyBorder="1" applyAlignment="1" applyProtection="1">
      <alignment horizontal="center"/>
      <protection locked="0"/>
    </xf>
    <xf numFmtId="22" fontId="7" fillId="0" borderId="24" xfId="0" applyNumberFormat="1" applyFont="1" applyBorder="1" applyAlignment="1" applyProtection="1">
      <alignment horizontal="center"/>
      <protection locked="0"/>
    </xf>
    <xf numFmtId="4" fontId="7" fillId="8" borderId="2" xfId="0" applyNumberFormat="1" applyFont="1" applyFill="1" applyBorder="1" applyAlignment="1" applyProtection="1" quotePrefix="1">
      <alignment horizontal="center"/>
      <protection/>
    </xf>
    <xf numFmtId="164" fontId="7" fillId="8" borderId="2" xfId="0" applyNumberFormat="1" applyFont="1" applyFill="1" applyBorder="1" applyAlignment="1" applyProtection="1" quotePrefix="1">
      <alignment horizontal="center"/>
      <protection/>
    </xf>
    <xf numFmtId="173" fontId="7" fillId="0" borderId="2" xfId="0" applyNumberFormat="1" applyFont="1" applyBorder="1" applyAlignment="1" applyProtection="1" quotePrefix="1">
      <alignment horizontal="center"/>
      <protection locked="0"/>
    </xf>
    <xf numFmtId="168" fontId="67" fillId="6" borderId="25" xfId="0" applyNumberFormat="1" applyFont="1" applyFill="1" applyBorder="1" applyAlignment="1" applyProtection="1" quotePrefix="1">
      <alignment horizontal="center"/>
      <protection/>
    </xf>
    <xf numFmtId="4" fontId="0" fillId="0" borderId="1" xfId="0" applyNumberFormat="1" applyFont="1" applyFill="1" applyBorder="1" applyAlignment="1">
      <alignment horizontal="center"/>
    </xf>
    <xf numFmtId="0" fontId="7" fillId="0" borderId="20" xfId="0" applyFont="1" applyBorder="1" applyAlignment="1" applyProtection="1" quotePrefix="1">
      <alignment horizontal="center"/>
      <protection locked="0"/>
    </xf>
    <xf numFmtId="168" fontId="7" fillId="8" borderId="3" xfId="0" applyNumberFormat="1" applyFont="1" applyFill="1" applyBorder="1" applyAlignment="1" applyProtection="1">
      <alignment horizontal="center"/>
      <protection/>
    </xf>
    <xf numFmtId="173" fontId="7" fillId="0" borderId="3" xfId="0" applyNumberFormat="1" applyFont="1" applyBorder="1" applyAlignment="1" applyProtection="1" quotePrefix="1">
      <alignment horizontal="center"/>
      <protection locked="0"/>
    </xf>
    <xf numFmtId="168" fontId="7" fillId="0" borderId="0" xfId="0" applyNumberFormat="1" applyFont="1" applyBorder="1" applyAlignment="1" applyProtection="1">
      <alignment horizontal="center"/>
      <protection/>
    </xf>
    <xf numFmtId="168" fontId="47" fillId="3" borderId="14" xfId="0" applyNumberFormat="1" applyFont="1" applyFill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>
      <alignment horizontal="center"/>
    </xf>
    <xf numFmtId="0" fontId="69" fillId="0" borderId="0" xfId="0" applyFont="1" applyAlignment="1">
      <alignment/>
    </xf>
    <xf numFmtId="0" fontId="69" fillId="0" borderId="7" xfId="0" applyFont="1" applyBorder="1" applyAlignment="1">
      <alignment/>
    </xf>
    <xf numFmtId="0" fontId="32" fillId="0" borderId="0" xfId="0" applyFont="1" applyBorder="1" applyAlignment="1" quotePrefix="1">
      <alignment horizontal="center"/>
    </xf>
    <xf numFmtId="168" fontId="32" fillId="0" borderId="0" xfId="0" applyNumberFormat="1" applyFont="1" applyBorder="1" applyAlignment="1" applyProtection="1">
      <alignment horizontal="center"/>
      <protection/>
    </xf>
    <xf numFmtId="2" fontId="70" fillId="0" borderId="0" xfId="0" applyNumberFormat="1" applyFont="1" applyBorder="1" applyAlignment="1" applyProtection="1">
      <alignment horizontal="center"/>
      <protection/>
    </xf>
    <xf numFmtId="168" fontId="71" fillId="0" borderId="0" xfId="0" applyNumberFormat="1" applyFont="1" applyBorder="1" applyAlignment="1" applyProtection="1" quotePrefix="1">
      <alignment horizontal="center"/>
      <protection/>
    </xf>
    <xf numFmtId="168" fontId="32" fillId="0" borderId="0" xfId="0" applyNumberFormat="1" applyFont="1" applyFill="1" applyBorder="1" applyAlignment="1">
      <alignment horizontal="center"/>
    </xf>
    <xf numFmtId="7" fontId="35" fillId="0" borderId="0" xfId="0" applyNumberFormat="1" applyFont="1" applyFill="1" applyBorder="1" applyAlignment="1">
      <alignment horizontal="right"/>
    </xf>
    <xf numFmtId="4" fontId="69" fillId="0" borderId="1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7" fillId="0" borderId="5" xfId="0" applyFont="1" applyBorder="1" applyAlignment="1" applyProtection="1">
      <alignment horizontal="left"/>
      <protection/>
    </xf>
    <xf numFmtId="0" fontId="8" fillId="0" borderId="0" xfId="0" applyFont="1" applyBorder="1" applyAlignment="1">
      <alignment/>
    </xf>
    <xf numFmtId="0" fontId="23" fillId="0" borderId="1" xfId="0" applyFont="1" applyFill="1" applyBorder="1" applyAlignment="1">
      <alignment/>
    </xf>
    <xf numFmtId="0" fontId="24" fillId="0" borderId="0" xfId="0" applyFont="1" applyAlignment="1">
      <alignment horizontal="centerContinuous"/>
    </xf>
    <xf numFmtId="0" fontId="26" fillId="0" borderId="0" xfId="0" applyFont="1" applyBorder="1" applyAlignment="1">
      <alignment horizontal="left"/>
    </xf>
    <xf numFmtId="0" fontId="0" fillId="0" borderId="9" xfId="0" applyBorder="1" applyAlignment="1">
      <alignment horizontal="centerContinuous"/>
    </xf>
    <xf numFmtId="0" fontId="0" fillId="0" borderId="0" xfId="0" applyFont="1" applyBorder="1" applyAlignment="1" applyProtection="1">
      <alignment horizontal="center"/>
      <protection/>
    </xf>
    <xf numFmtId="174" fontId="0" fillId="0" borderId="0" xfId="0" applyNumberFormat="1" applyFont="1" applyBorder="1" applyAlignment="1">
      <alignment horizontal="centerContinuous"/>
    </xf>
    <xf numFmtId="0" fontId="7" fillId="0" borderId="0" xfId="0" applyFont="1" applyBorder="1" applyAlignment="1" applyProtection="1">
      <alignment horizontal="center"/>
      <protection/>
    </xf>
    <xf numFmtId="0" fontId="7" fillId="0" borderId="21" xfId="0" applyFont="1" applyBorder="1" applyAlignment="1">
      <alignment/>
    </xf>
    <xf numFmtId="168" fontId="27" fillId="0" borderId="14" xfId="0" applyNumberFormat="1" applyFont="1" applyBorder="1" applyAlignment="1" applyProtection="1">
      <alignment horizontal="center" vertical="center"/>
      <protection/>
    </xf>
    <xf numFmtId="0" fontId="39" fillId="2" borderId="8" xfId="0" applyFont="1" applyFill="1" applyBorder="1" applyAlignment="1" applyProtection="1">
      <alignment horizontal="centerContinuous" vertical="center" wrapText="1"/>
      <protection/>
    </xf>
    <xf numFmtId="0" fontId="40" fillId="2" borderId="15" xfId="0" applyFont="1" applyFill="1" applyBorder="1" applyAlignment="1">
      <alignment horizontal="centerContinuous"/>
    </xf>
    <xf numFmtId="0" fontId="39" fillId="2" borderId="9" xfId="0" applyFont="1" applyFill="1" applyBorder="1" applyAlignment="1">
      <alignment horizontal="centerContinuous" vertical="center"/>
    </xf>
    <xf numFmtId="0" fontId="72" fillId="7" borderId="14" xfId="0" applyFont="1" applyFill="1" applyBorder="1" applyAlignment="1">
      <alignment horizontal="center" vertical="center" wrapText="1"/>
    </xf>
    <xf numFmtId="0" fontId="73" fillId="9" borderId="1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22" fontId="7" fillId="0" borderId="4" xfId="0" applyNumberFormat="1" applyFont="1" applyBorder="1" applyAlignment="1">
      <alignment horizontal="center"/>
    </xf>
    <xf numFmtId="4" fontId="74" fillId="7" borderId="2" xfId="0" applyNumberFormat="1" applyFont="1" applyFill="1" applyBorder="1" applyAlignment="1" applyProtection="1">
      <alignment horizontal="center"/>
      <protection/>
    </xf>
    <xf numFmtId="4" fontId="75" fillId="9" borderId="2" xfId="0" applyNumberFormat="1" applyFont="1" applyFill="1" applyBorder="1" applyAlignment="1" applyProtection="1">
      <alignment horizontal="center"/>
      <protection/>
    </xf>
    <xf numFmtId="0" fontId="10" fillId="0" borderId="4" xfId="0" applyFont="1" applyBorder="1" applyAlignment="1">
      <alignment/>
    </xf>
    <xf numFmtId="0" fontId="37" fillId="2" borderId="2" xfId="0" applyFont="1" applyFill="1" applyBorder="1" applyAlignment="1" applyProtection="1">
      <alignment horizontal="center"/>
      <protection/>
    </xf>
    <xf numFmtId="22" fontId="7" fillId="0" borderId="26" xfId="0" applyNumberFormat="1" applyFont="1" applyBorder="1" applyAlignment="1" applyProtection="1">
      <alignment horizontal="center"/>
      <protection locked="0"/>
    </xf>
    <xf numFmtId="168" fontId="7" fillId="0" borderId="4" xfId="0" applyNumberFormat="1" applyFont="1" applyBorder="1" applyAlignment="1" applyProtection="1">
      <alignment horizontal="center"/>
      <protection locked="0"/>
    </xf>
    <xf numFmtId="173" fontId="7" fillId="0" borderId="4" xfId="0" applyNumberFormat="1" applyFont="1" applyBorder="1" applyAlignment="1" applyProtection="1" quotePrefix="1">
      <alignment horizontal="center"/>
      <protection locked="0"/>
    </xf>
    <xf numFmtId="168" fontId="38" fillId="2" borderId="25" xfId="0" applyNumberFormat="1" applyFont="1" applyFill="1" applyBorder="1" applyAlignment="1" applyProtection="1" quotePrefix="1">
      <alignment horizontal="center"/>
      <protection locked="0"/>
    </xf>
    <xf numFmtId="168" fontId="38" fillId="2" borderId="27" xfId="0" applyNumberFormat="1" applyFont="1" applyFill="1" applyBorder="1" applyAlignment="1" applyProtection="1" quotePrefix="1">
      <alignment horizontal="center"/>
      <protection locked="0"/>
    </xf>
    <xf numFmtId="4" fontId="38" fillId="2" borderId="4" xfId="0" applyNumberFormat="1" applyFont="1" applyFill="1" applyBorder="1" applyAlignment="1" applyProtection="1">
      <alignment horizontal="center"/>
      <protection locked="0"/>
    </xf>
    <xf numFmtId="4" fontId="76" fillId="7" borderId="2" xfId="0" applyNumberFormat="1" applyFont="1" applyFill="1" applyBorder="1" applyAlignment="1" applyProtection="1">
      <alignment horizontal="center"/>
      <protection locked="0"/>
    </xf>
    <xf numFmtId="4" fontId="77" fillId="9" borderId="2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>
      <alignment horizontal="center"/>
    </xf>
    <xf numFmtId="164" fontId="9" fillId="0" borderId="3" xfId="0" applyNumberFormat="1" applyFont="1" applyBorder="1" applyAlignment="1" applyProtection="1">
      <alignment horizontal="center"/>
      <protection locked="0"/>
    </xf>
    <xf numFmtId="165" fontId="7" fillId="0" borderId="3" xfId="0" applyNumberFormat="1" applyFont="1" applyBorder="1" applyAlignment="1" applyProtection="1">
      <alignment horizontal="center"/>
      <protection locked="0"/>
    </xf>
    <xf numFmtId="168" fontId="38" fillId="2" borderId="28" xfId="0" applyNumberFormat="1" applyFont="1" applyFill="1" applyBorder="1" applyAlignment="1" applyProtection="1" quotePrefix="1">
      <alignment horizontal="center"/>
      <protection locked="0"/>
    </xf>
    <xf numFmtId="168" fontId="38" fillId="2" borderId="29" xfId="0" applyNumberFormat="1" applyFont="1" applyFill="1" applyBorder="1" applyAlignment="1" applyProtection="1" quotePrefix="1">
      <alignment horizontal="center"/>
      <protection locked="0"/>
    </xf>
    <xf numFmtId="4" fontId="38" fillId="2" borderId="30" xfId="0" applyNumberFormat="1" applyFont="1" applyFill="1" applyBorder="1" applyAlignment="1" applyProtection="1">
      <alignment horizontal="center"/>
      <protection locked="0"/>
    </xf>
    <xf numFmtId="4" fontId="76" fillId="7" borderId="3" xfId="0" applyNumberFormat="1" applyFont="1" applyFill="1" applyBorder="1" applyAlignment="1" applyProtection="1">
      <alignment horizontal="center"/>
      <protection locked="0"/>
    </xf>
    <xf numFmtId="4" fontId="77" fillId="9" borderId="3" xfId="0" applyNumberFormat="1" applyFont="1" applyFill="1" applyBorder="1" applyAlignment="1" applyProtection="1">
      <alignment horizontal="center"/>
      <protection locked="0"/>
    </xf>
    <xf numFmtId="2" fontId="10" fillId="0" borderId="31" xfId="0" applyNumberFormat="1" applyFont="1" applyFill="1" applyBorder="1" applyAlignment="1">
      <alignment horizontal="right"/>
    </xf>
    <xf numFmtId="164" fontId="9" fillId="0" borderId="0" xfId="0" applyNumberFormat="1" applyFont="1" applyBorder="1" applyAlignment="1" applyProtection="1">
      <alignment horizontal="center"/>
      <protection/>
    </xf>
    <xf numFmtId="165" fontId="7" fillId="0" borderId="0" xfId="0" applyNumberFormat="1" applyFont="1" applyBorder="1" applyAlignment="1" applyProtection="1">
      <alignment horizontal="center"/>
      <protection/>
    </xf>
    <xf numFmtId="173" fontId="7" fillId="0" borderId="0" xfId="0" applyNumberFormat="1" applyFont="1" applyBorder="1" applyAlignment="1" applyProtection="1" quotePrefix="1">
      <alignment horizontal="center"/>
      <protection/>
    </xf>
    <xf numFmtId="2" fontId="76" fillId="7" borderId="14" xfId="0" applyNumberFormat="1" applyFont="1" applyFill="1" applyBorder="1" applyAlignment="1" applyProtection="1">
      <alignment horizontal="center"/>
      <protection/>
    </xf>
    <xf numFmtId="2" fontId="77" fillId="9" borderId="14" xfId="0" applyNumberFormat="1" applyFont="1" applyFill="1" applyBorder="1" applyAlignment="1" applyProtection="1">
      <alignment horizontal="center"/>
      <protection/>
    </xf>
    <xf numFmtId="2" fontId="63" fillId="0" borderId="32" xfId="0" applyNumberFormat="1" applyFont="1" applyBorder="1" applyAlignment="1" applyProtection="1">
      <alignment horizontal="center"/>
      <protection/>
    </xf>
    <xf numFmtId="7" fontId="13" fillId="0" borderId="14" xfId="0" applyNumberFormat="1" applyFont="1" applyFill="1" applyBorder="1" applyAlignment="1" applyProtection="1">
      <alignment horizontal="right"/>
      <protection/>
    </xf>
    <xf numFmtId="164" fontId="71" fillId="0" borderId="0" xfId="0" applyNumberFormat="1" applyFont="1" applyBorder="1" applyAlignment="1" applyProtection="1">
      <alignment horizontal="center"/>
      <protection/>
    </xf>
    <xf numFmtId="0" fontId="32" fillId="0" borderId="0" xfId="0" applyFont="1" applyBorder="1" applyAlignment="1" applyProtection="1">
      <alignment horizontal="center"/>
      <protection/>
    </xf>
    <xf numFmtId="165" fontId="32" fillId="0" borderId="0" xfId="0" applyNumberFormat="1" applyFont="1" applyBorder="1" applyAlignment="1" applyProtection="1">
      <alignment horizontal="center"/>
      <protection/>
    </xf>
    <xf numFmtId="173" fontId="32" fillId="0" borderId="0" xfId="0" applyNumberFormat="1" applyFont="1" applyBorder="1" applyAlignment="1" applyProtection="1" quotePrefix="1">
      <alignment horizontal="center"/>
      <protection/>
    </xf>
    <xf numFmtId="7" fontId="35" fillId="0" borderId="0" xfId="0" applyNumberFormat="1" applyFont="1" applyFill="1" applyBorder="1" applyAlignment="1" applyProtection="1">
      <alignment horizontal="right"/>
      <protection/>
    </xf>
    <xf numFmtId="4" fontId="32" fillId="0" borderId="1" xfId="0" applyNumberFormat="1" applyFont="1" applyFill="1" applyBorder="1" applyAlignment="1">
      <alignment horizontal="center"/>
    </xf>
    <xf numFmtId="0" fontId="16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0" fontId="11" fillId="0" borderId="0" xfId="0" applyFont="1" applyFill="1" applyBorder="1" applyAlignment="1">
      <alignment horizontal="left"/>
    </xf>
    <xf numFmtId="0" fontId="20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centerContinuous"/>
    </xf>
    <xf numFmtId="0" fontId="78" fillId="0" borderId="1" xfId="0" applyFont="1" applyFill="1" applyBorder="1" applyAlignment="1">
      <alignment horizontal="centerContinuous"/>
    </xf>
    <xf numFmtId="0" fontId="7" fillId="0" borderId="8" xfId="0" applyFont="1" applyFill="1" applyBorder="1" applyAlignment="1" applyProtection="1">
      <alignment horizontal="left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>
      <alignment horizontal="center"/>
    </xf>
    <xf numFmtId="0" fontId="43" fillId="10" borderId="14" xfId="0" applyFont="1" applyFill="1" applyBorder="1" applyAlignment="1" applyProtection="1">
      <alignment horizontal="center" vertical="center"/>
      <protection/>
    </xf>
    <xf numFmtId="0" fontId="79" fillId="7" borderId="14" xfId="0" applyFont="1" applyFill="1" applyBorder="1" applyAlignment="1">
      <alignment horizontal="center" vertical="center" wrapText="1"/>
    </xf>
    <xf numFmtId="0" fontId="80" fillId="6" borderId="14" xfId="0" applyFont="1" applyFill="1" applyBorder="1" applyAlignment="1">
      <alignment horizontal="center" vertical="center" wrapText="1"/>
    </xf>
    <xf numFmtId="0" fontId="41" fillId="5" borderId="8" xfId="0" applyFont="1" applyFill="1" applyBorder="1" applyAlignment="1" applyProtection="1">
      <alignment horizontal="centerContinuous" vertical="center" wrapText="1"/>
      <protection/>
    </xf>
    <xf numFmtId="0" fontId="41" fillId="5" borderId="9" xfId="0" applyFont="1" applyFill="1" applyBorder="1" applyAlignment="1">
      <alignment horizontal="centerContinuous" vertical="center"/>
    </xf>
    <xf numFmtId="0" fontId="45" fillId="11" borderId="14" xfId="0" applyFont="1" applyFill="1" applyBorder="1" applyAlignment="1">
      <alignment horizontal="center" vertical="center" wrapText="1"/>
    </xf>
    <xf numFmtId="0" fontId="42" fillId="7" borderId="14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/>
    </xf>
    <xf numFmtId="164" fontId="7" fillId="0" borderId="33" xfId="0" applyNumberFormat="1" applyFont="1" applyFill="1" applyBorder="1" applyAlignment="1" applyProtection="1">
      <alignment horizontal="center"/>
      <protection/>
    </xf>
    <xf numFmtId="0" fontId="37" fillId="2" borderId="33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44" fillId="10" borderId="33" xfId="0" applyFont="1" applyFill="1" applyBorder="1" applyAlignment="1">
      <alignment horizontal="center"/>
    </xf>
    <xf numFmtId="0" fontId="81" fillId="7" borderId="33" xfId="0" applyFont="1" applyFill="1" applyBorder="1" applyAlignment="1">
      <alignment horizontal="center"/>
    </xf>
    <xf numFmtId="0" fontId="82" fillId="6" borderId="33" xfId="0" applyFont="1" applyFill="1" applyBorder="1" applyAlignment="1">
      <alignment horizontal="center"/>
    </xf>
    <xf numFmtId="0" fontId="38" fillId="2" borderId="35" xfId="0" applyFont="1" applyFill="1" applyBorder="1" applyAlignment="1">
      <alignment horizontal="center"/>
    </xf>
    <xf numFmtId="0" fontId="38" fillId="2" borderId="36" xfId="0" applyFont="1" applyFill="1" applyBorder="1" applyAlignment="1">
      <alignment horizontal="center"/>
    </xf>
    <xf numFmtId="0" fontId="83" fillId="5" borderId="37" xfId="0" applyFont="1" applyFill="1" applyBorder="1" applyAlignment="1">
      <alignment horizontal="center"/>
    </xf>
    <xf numFmtId="0" fontId="83" fillId="5" borderId="38" xfId="0" applyFont="1" applyFill="1" applyBorder="1" applyAlignment="1">
      <alignment horizontal="center"/>
    </xf>
    <xf numFmtId="0" fontId="46" fillId="11" borderId="33" xfId="0" applyFont="1" applyFill="1" applyBorder="1" applyAlignment="1">
      <alignment horizontal="center"/>
    </xf>
    <xf numFmtId="0" fontId="84" fillId="7" borderId="33" xfId="0" applyFont="1" applyFill="1" applyBorder="1" applyAlignment="1">
      <alignment horizontal="center"/>
    </xf>
    <xf numFmtId="7" fontId="10" fillId="0" borderId="34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/>
    </xf>
    <xf numFmtId="0" fontId="7" fillId="0" borderId="26" xfId="0" applyFont="1" applyBorder="1" applyAlignment="1" applyProtection="1">
      <alignment horizontal="center"/>
      <protection locked="0"/>
    </xf>
    <xf numFmtId="164" fontId="7" fillId="0" borderId="19" xfId="0" applyNumberFormat="1" applyFont="1" applyBorder="1" applyAlignment="1" applyProtection="1">
      <alignment horizontal="center"/>
      <protection locked="0"/>
    </xf>
    <xf numFmtId="1" fontId="7" fillId="0" borderId="39" xfId="0" applyNumberFormat="1" applyFont="1" applyBorder="1" applyAlignment="1" applyProtection="1" quotePrefix="1">
      <alignment horizontal="center"/>
      <protection locked="0"/>
    </xf>
    <xf numFmtId="174" fontId="37" fillId="2" borderId="2" xfId="0" applyNumberFormat="1" applyFont="1" applyFill="1" applyBorder="1" applyAlignment="1" applyProtection="1">
      <alignment horizontal="center"/>
      <protection/>
    </xf>
    <xf numFmtId="4" fontId="7" fillId="0" borderId="2" xfId="0" applyNumberFormat="1" applyFont="1" applyFill="1" applyBorder="1" applyAlignment="1" applyProtection="1">
      <alignment horizontal="center"/>
      <protection/>
    </xf>
    <xf numFmtId="164" fontId="44" fillId="10" borderId="2" xfId="0" applyNumberFormat="1" applyFont="1" applyFill="1" applyBorder="1" applyAlignment="1" applyProtection="1">
      <alignment horizontal="center"/>
      <protection/>
    </xf>
    <xf numFmtId="2" fontId="81" fillId="7" borderId="2" xfId="0" applyNumberFormat="1" applyFont="1" applyFill="1" applyBorder="1" applyAlignment="1">
      <alignment horizontal="center"/>
    </xf>
    <xf numFmtId="2" fontId="82" fillId="6" borderId="2" xfId="0" applyNumberFormat="1" applyFont="1" applyFill="1" applyBorder="1" applyAlignment="1">
      <alignment horizontal="center"/>
    </xf>
    <xf numFmtId="168" fontId="38" fillId="2" borderId="40" xfId="0" applyNumberFormat="1" applyFont="1" applyFill="1" applyBorder="1" applyAlignment="1" applyProtection="1" quotePrefix="1">
      <alignment horizontal="center"/>
      <protection/>
    </xf>
    <xf numFmtId="168" fontId="38" fillId="2" borderId="39" xfId="0" applyNumberFormat="1" applyFont="1" applyFill="1" applyBorder="1" applyAlignment="1" applyProtection="1" quotePrefix="1">
      <alignment horizontal="center"/>
      <protection/>
    </xf>
    <xf numFmtId="168" fontId="83" fillId="5" borderId="40" xfId="0" applyNumberFormat="1" applyFont="1" applyFill="1" applyBorder="1" applyAlignment="1" applyProtection="1" quotePrefix="1">
      <alignment horizontal="center"/>
      <protection/>
    </xf>
    <xf numFmtId="168" fontId="83" fillId="5" borderId="39" xfId="0" applyNumberFormat="1" applyFont="1" applyFill="1" applyBorder="1" applyAlignment="1" applyProtection="1" quotePrefix="1">
      <alignment horizontal="center"/>
      <protection/>
    </xf>
    <xf numFmtId="168" fontId="46" fillId="11" borderId="2" xfId="0" applyNumberFormat="1" applyFont="1" applyFill="1" applyBorder="1" applyAlignment="1" applyProtection="1" quotePrefix="1">
      <alignment horizontal="center"/>
      <protection/>
    </xf>
    <xf numFmtId="168" fontId="84" fillId="7" borderId="19" xfId="0" applyNumberFormat="1" applyFont="1" applyFill="1" applyBorder="1" applyAlignment="1" applyProtection="1" quotePrefix="1">
      <alignment horizontal="center"/>
      <protection/>
    </xf>
    <xf numFmtId="168" fontId="7" fillId="0" borderId="4" xfId="0" applyNumberFormat="1" applyFont="1" applyFill="1" applyBorder="1" applyAlignment="1">
      <alignment horizontal="center"/>
    </xf>
    <xf numFmtId="4" fontId="29" fillId="0" borderId="4" xfId="0" applyNumberFormat="1" applyFont="1" applyFill="1" applyBorder="1" applyAlignment="1">
      <alignment horizontal="right"/>
    </xf>
    <xf numFmtId="0" fontId="7" fillId="0" borderId="41" xfId="0" applyFont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>
      <alignment horizontal="center"/>
      <protection locked="0"/>
    </xf>
    <xf numFmtId="0" fontId="12" fillId="0" borderId="3" xfId="0" applyFont="1" applyFill="1" applyBorder="1" applyAlignment="1" applyProtection="1" quotePrefix="1">
      <alignment horizontal="center"/>
      <protection locked="0"/>
    </xf>
    <xf numFmtId="164" fontId="9" fillId="0" borderId="42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 locked="0"/>
    </xf>
    <xf numFmtId="38" fontId="7" fillId="0" borderId="3" xfId="0" applyNumberFormat="1" applyFont="1" applyFill="1" applyBorder="1" applyAlignment="1" applyProtection="1">
      <alignment horizontal="center"/>
      <protection/>
    </xf>
    <xf numFmtId="164" fontId="7" fillId="0" borderId="3" xfId="0" applyNumberFormat="1" applyFont="1" applyFill="1" applyBorder="1" applyAlignment="1" applyProtection="1" quotePrefix="1">
      <alignment horizontal="center"/>
      <protection/>
    </xf>
    <xf numFmtId="164" fontId="44" fillId="10" borderId="3" xfId="0" applyNumberFormat="1" applyFont="1" applyFill="1" applyBorder="1" applyAlignment="1" applyProtection="1">
      <alignment horizontal="center"/>
      <protection/>
    </xf>
    <xf numFmtId="2" fontId="81" fillId="7" borderId="3" xfId="0" applyNumberFormat="1" applyFont="1" applyFill="1" applyBorder="1" applyAlignment="1">
      <alignment horizontal="center"/>
    </xf>
    <xf numFmtId="2" fontId="82" fillId="6" borderId="3" xfId="0" applyNumberFormat="1" applyFont="1" applyFill="1" applyBorder="1" applyAlignment="1">
      <alignment horizontal="center"/>
    </xf>
    <xf numFmtId="168" fontId="38" fillId="2" borderId="43" xfId="0" applyNumberFormat="1" applyFont="1" applyFill="1" applyBorder="1" applyAlignment="1" applyProtection="1" quotePrefix="1">
      <alignment horizontal="center"/>
      <protection/>
    </xf>
    <xf numFmtId="168" fontId="38" fillId="2" borderId="44" xfId="0" applyNumberFormat="1" applyFont="1" applyFill="1" applyBorder="1" applyAlignment="1" applyProtection="1" quotePrefix="1">
      <alignment horizontal="center"/>
      <protection/>
    </xf>
    <xf numFmtId="168" fontId="83" fillId="5" borderId="28" xfId="0" applyNumberFormat="1" applyFont="1" applyFill="1" applyBorder="1" applyAlignment="1" applyProtection="1" quotePrefix="1">
      <alignment horizontal="center"/>
      <protection/>
    </xf>
    <xf numFmtId="168" fontId="83" fillId="5" borderId="30" xfId="0" applyNumberFormat="1" applyFont="1" applyFill="1" applyBorder="1" applyAlignment="1" applyProtection="1" quotePrefix="1">
      <alignment horizontal="center"/>
      <protection/>
    </xf>
    <xf numFmtId="168" fontId="46" fillId="11" borderId="3" xfId="0" applyNumberFormat="1" applyFont="1" applyFill="1" applyBorder="1" applyAlignment="1" applyProtection="1" quotePrefix="1">
      <alignment horizontal="center"/>
      <protection/>
    </xf>
    <xf numFmtId="168" fontId="84" fillId="7" borderId="3" xfId="0" applyNumberFormat="1" applyFont="1" applyFill="1" applyBorder="1" applyAlignment="1" applyProtection="1" quotePrefix="1">
      <alignment horizontal="center"/>
      <protection/>
    </xf>
    <xf numFmtId="168" fontId="68" fillId="0" borderId="20" xfId="0" applyNumberFormat="1" applyFont="1" applyFill="1" applyBorder="1" applyAlignment="1">
      <alignment horizontal="center"/>
    </xf>
    <xf numFmtId="168" fontId="28" fillId="0" borderId="45" xfId="0" applyNumberFormat="1" applyFont="1" applyFill="1" applyBorder="1" applyAlignment="1">
      <alignment horizontal="center"/>
    </xf>
    <xf numFmtId="4" fontId="81" fillId="7" borderId="14" xfId="0" applyNumberFormat="1" applyFont="1" applyFill="1" applyBorder="1" applyAlignment="1">
      <alignment horizontal="center"/>
    </xf>
    <xf numFmtId="4" fontId="82" fillId="6" borderId="14" xfId="0" applyNumberFormat="1" applyFont="1" applyFill="1" applyBorder="1" applyAlignment="1">
      <alignment horizontal="center"/>
    </xf>
    <xf numFmtId="4" fontId="38" fillId="2" borderId="46" xfId="0" applyNumberFormat="1" applyFont="1" applyFill="1" applyBorder="1" applyAlignment="1">
      <alignment horizontal="center"/>
    </xf>
    <xf numFmtId="4" fontId="38" fillId="2" borderId="9" xfId="0" applyNumberFormat="1" applyFont="1" applyFill="1" applyBorder="1" applyAlignment="1">
      <alignment horizontal="center"/>
    </xf>
    <xf numFmtId="4" fontId="83" fillId="5" borderId="46" xfId="0" applyNumberFormat="1" applyFont="1" applyFill="1" applyBorder="1" applyAlignment="1">
      <alignment horizontal="center"/>
    </xf>
    <xf numFmtId="4" fontId="83" fillId="5" borderId="47" xfId="0" applyNumberFormat="1" applyFont="1" applyFill="1" applyBorder="1" applyAlignment="1">
      <alignment horizontal="center"/>
    </xf>
    <xf numFmtId="4" fontId="46" fillId="11" borderId="14" xfId="0" applyNumberFormat="1" applyFont="1" applyFill="1" applyBorder="1" applyAlignment="1">
      <alignment horizontal="center"/>
    </xf>
    <xf numFmtId="4" fontId="84" fillId="7" borderId="14" xfId="0" applyNumberFormat="1" applyFont="1" applyFill="1" applyBorder="1" applyAlignment="1">
      <alignment horizontal="center"/>
    </xf>
    <xf numFmtId="7" fontId="85" fillId="0" borderId="14" xfId="0" applyNumberFormat="1" applyFont="1" applyFill="1" applyBorder="1" applyAlignment="1">
      <alignment horizontal="right"/>
    </xf>
    <xf numFmtId="0" fontId="32" fillId="0" borderId="0" xfId="0" applyFont="1" applyFill="1" applyAlignment="1">
      <alignment/>
    </xf>
    <xf numFmtId="0" fontId="32" fillId="0" borderId="7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22" fontId="32" fillId="0" borderId="0" xfId="0" applyNumberFormat="1" applyFont="1" applyFill="1" applyBorder="1" applyAlignment="1">
      <alignment/>
    </xf>
    <xf numFmtId="4" fontId="86" fillId="0" borderId="0" xfId="0" applyNumberFormat="1" applyFont="1" applyFill="1" applyBorder="1" applyAlignment="1">
      <alignment horizontal="center"/>
    </xf>
    <xf numFmtId="7" fontId="87" fillId="0" borderId="0" xfId="0" applyNumberFormat="1" applyFont="1" applyFill="1" applyBorder="1" applyAlignment="1">
      <alignment horizontal="right"/>
    </xf>
    <xf numFmtId="0" fontId="37" fillId="2" borderId="48" xfId="0" applyFont="1" applyFill="1" applyBorder="1" applyAlignment="1">
      <alignment horizontal="center"/>
    </xf>
    <xf numFmtId="168" fontId="7" fillId="0" borderId="19" xfId="0" applyNumberFormat="1" applyFont="1" applyBorder="1" applyAlignment="1" applyProtection="1">
      <alignment horizontal="center"/>
      <protection locked="0"/>
    </xf>
    <xf numFmtId="4" fontId="29" fillId="0" borderId="19" xfId="0" applyNumberFormat="1" applyFont="1" applyFill="1" applyBorder="1" applyAlignment="1">
      <alignment horizontal="right"/>
    </xf>
    <xf numFmtId="0" fontId="5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26" fillId="0" borderId="7" xfId="0" applyFont="1" applyBorder="1" applyAlignment="1">
      <alignment horizontal="centerContinuous"/>
    </xf>
    <xf numFmtId="0" fontId="26" fillId="0" borderId="0" xfId="0" applyFont="1" applyBorder="1" applyAlignment="1">
      <alignment horizontal="centerContinuous"/>
    </xf>
    <xf numFmtId="0" fontId="26" fillId="0" borderId="0" xfId="0" applyFont="1" applyBorder="1" applyAlignment="1" applyProtection="1">
      <alignment horizontal="centerContinuous"/>
      <protection/>
    </xf>
    <xf numFmtId="0" fontId="26" fillId="0" borderId="1" xfId="0" applyFont="1" applyBorder="1" applyAlignment="1">
      <alignment horizontal="centerContinuous"/>
    </xf>
    <xf numFmtId="0" fontId="0" fillId="0" borderId="0" xfId="0" applyFont="1" applyBorder="1" applyAlignment="1">
      <alignment/>
    </xf>
    <xf numFmtId="0" fontId="0" fillId="0" borderId="8" xfId="0" applyFont="1" applyBorder="1" applyAlignment="1" applyProtection="1">
      <alignment horizontal="left" vertical="center"/>
      <protection/>
    </xf>
    <xf numFmtId="174" fontId="0" fillId="0" borderId="9" xfId="0" applyNumberFormat="1" applyFont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174" fontId="0" fillId="0" borderId="9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7" fillId="0" borderId="49" xfId="0" applyFont="1" applyBorder="1" applyAlignment="1">
      <alignment horizontal="center"/>
    </xf>
    <xf numFmtId="0" fontId="12" fillId="0" borderId="49" xfId="0" applyFont="1" applyBorder="1" applyAlignment="1" applyProtection="1">
      <alignment horizontal="center"/>
      <protection/>
    </xf>
    <xf numFmtId="164" fontId="9" fillId="0" borderId="49" xfId="0" applyNumberFormat="1" applyFont="1" applyBorder="1" applyAlignment="1" applyProtection="1">
      <alignment horizontal="center"/>
      <protection/>
    </xf>
    <xf numFmtId="168" fontId="7" fillId="0" borderId="49" xfId="0" applyNumberFormat="1" applyFont="1" applyBorder="1" applyAlignment="1" applyProtection="1">
      <alignment horizontal="center"/>
      <protection/>
    </xf>
    <xf numFmtId="164" fontId="7" fillId="0" borderId="49" xfId="0" applyNumberFormat="1" applyFont="1" applyBorder="1" applyAlignment="1" applyProtection="1">
      <alignment horizontal="center"/>
      <protection/>
    </xf>
    <xf numFmtId="2" fontId="63" fillId="0" borderId="49" xfId="0" applyNumberFormat="1" applyFont="1" applyBorder="1" applyAlignment="1">
      <alignment horizontal="center"/>
    </xf>
    <xf numFmtId="168" fontId="9" fillId="0" borderId="49" xfId="0" applyNumberFormat="1" applyFont="1" applyBorder="1" applyAlignment="1" applyProtection="1" quotePrefix="1">
      <alignment horizontal="center"/>
      <protection/>
    </xf>
    <xf numFmtId="168" fontId="7" fillId="0" borderId="49" xfId="0" applyNumberFormat="1" applyFont="1" applyBorder="1" applyAlignment="1">
      <alignment horizontal="center"/>
    </xf>
    <xf numFmtId="168" fontId="68" fillId="0" borderId="49" xfId="0" applyNumberFormat="1" applyFont="1" applyFill="1" applyBorder="1" applyAlignment="1">
      <alignment horizontal="center"/>
    </xf>
    <xf numFmtId="0" fontId="27" fillId="0" borderId="9" xfId="0" applyFont="1" applyBorder="1" applyAlignment="1" applyProtection="1">
      <alignment horizontal="center" vertical="center"/>
      <protection/>
    </xf>
    <xf numFmtId="0" fontId="27" fillId="0" borderId="15" xfId="0" applyFont="1" applyBorder="1" applyAlignment="1">
      <alignment horizontal="center" vertical="center" wrapText="1"/>
    </xf>
    <xf numFmtId="0" fontId="27" fillId="0" borderId="9" xfId="0" applyFont="1" applyBorder="1" applyAlignment="1" applyProtection="1">
      <alignment horizontal="center" vertical="center" wrapText="1"/>
      <protection/>
    </xf>
    <xf numFmtId="0" fontId="41" fillId="5" borderId="14" xfId="0" applyFont="1" applyFill="1" applyBorder="1" applyAlignment="1">
      <alignment horizontal="center" vertical="center" wrapText="1"/>
    </xf>
    <xf numFmtId="0" fontId="65" fillId="6" borderId="9" xfId="0" applyFont="1" applyFill="1" applyBorder="1" applyAlignment="1">
      <alignment horizontal="centerContinuous" vertical="center"/>
    </xf>
    <xf numFmtId="0" fontId="12" fillId="0" borderId="2" xfId="0" applyFont="1" applyBorder="1" applyAlignment="1" applyProtection="1">
      <alignment horizontal="center"/>
      <protection/>
    </xf>
    <xf numFmtId="0" fontId="44" fillId="4" borderId="17" xfId="0" applyFont="1" applyFill="1" applyBorder="1" applyAlignment="1" applyProtection="1">
      <alignment horizontal="center"/>
      <protection/>
    </xf>
    <xf numFmtId="0" fontId="83" fillId="5" borderId="17" xfId="0" applyFont="1" applyFill="1" applyBorder="1" applyAlignment="1" applyProtection="1">
      <alignment horizontal="center"/>
      <protection/>
    </xf>
    <xf numFmtId="168" fontId="67" fillId="6" borderId="35" xfId="0" applyNumberFormat="1" applyFont="1" applyFill="1" applyBorder="1" applyAlignment="1" applyProtection="1" quotePrefix="1">
      <alignment horizontal="center"/>
      <protection/>
    </xf>
    <xf numFmtId="168" fontId="67" fillId="6" borderId="36" xfId="0" applyNumberFormat="1" applyFont="1" applyFill="1" applyBorder="1" applyAlignment="1" applyProtection="1" quotePrefix="1">
      <alignment horizontal="center"/>
      <protection/>
    </xf>
    <xf numFmtId="168" fontId="47" fillId="3" borderId="17" xfId="0" applyNumberFormat="1" applyFont="1" applyFill="1" applyBorder="1" applyAlignment="1" applyProtection="1" quotePrefix="1">
      <alignment horizontal="center"/>
      <protection/>
    </xf>
    <xf numFmtId="7" fontId="88" fillId="0" borderId="2" xfId="0" applyNumberFormat="1" applyFont="1" applyBorder="1" applyAlignment="1" applyProtection="1">
      <alignment/>
      <protection/>
    </xf>
    <xf numFmtId="0" fontId="12" fillId="0" borderId="24" xfId="0" applyFont="1" applyBorder="1" applyAlignment="1" applyProtection="1">
      <alignment horizontal="center"/>
      <protection/>
    </xf>
    <xf numFmtId="0" fontId="37" fillId="2" borderId="24" xfId="0" applyFont="1" applyFill="1" applyBorder="1" applyAlignment="1" applyProtection="1">
      <alignment horizontal="center"/>
      <protection/>
    </xf>
    <xf numFmtId="0" fontId="44" fillId="4" borderId="2" xfId="0" applyFont="1" applyFill="1" applyBorder="1" applyAlignment="1" applyProtection="1">
      <alignment horizontal="center"/>
      <protection/>
    </xf>
    <xf numFmtId="0" fontId="83" fillId="5" borderId="2" xfId="0" applyFont="1" applyFill="1" applyBorder="1" applyAlignment="1" applyProtection="1">
      <alignment horizontal="center"/>
      <protection/>
    </xf>
    <xf numFmtId="168" fontId="67" fillId="6" borderId="50" xfId="0" applyNumberFormat="1" applyFont="1" applyFill="1" applyBorder="1" applyAlignment="1" applyProtection="1" quotePrefix="1">
      <alignment horizontal="center"/>
      <protection/>
    </xf>
    <xf numFmtId="168" fontId="47" fillId="3" borderId="2" xfId="0" applyNumberFormat="1" applyFont="1" applyFill="1" applyBorder="1" applyAlignment="1" applyProtection="1" quotePrefix="1">
      <alignment horizontal="center"/>
      <protection/>
    </xf>
    <xf numFmtId="168" fontId="29" fillId="0" borderId="2" xfId="0" applyNumberFormat="1" applyFont="1" applyFill="1" applyBorder="1" applyAlignment="1">
      <alignment horizontal="center"/>
    </xf>
    <xf numFmtId="0" fontId="12" fillId="0" borderId="24" xfId="0" applyFont="1" applyBorder="1" applyAlignment="1" applyProtection="1">
      <alignment horizontal="center"/>
      <protection locked="0"/>
    </xf>
    <xf numFmtId="164" fontId="9" fillId="0" borderId="2" xfId="0" applyNumberFormat="1" applyFont="1" applyBorder="1" applyAlignment="1" applyProtection="1" quotePrefix="1">
      <alignment horizontal="center"/>
      <protection locked="0"/>
    </xf>
    <xf numFmtId="22" fontId="7" fillId="0" borderId="25" xfId="0" applyNumberFormat="1" applyFont="1" applyBorder="1" applyAlignment="1" applyProtection="1">
      <alignment horizontal="center"/>
      <protection locked="0"/>
    </xf>
    <xf numFmtId="2" fontId="7" fillId="0" borderId="2" xfId="0" applyNumberFormat="1" applyFont="1" applyFill="1" applyBorder="1" applyAlignment="1" applyProtection="1" quotePrefix="1">
      <alignment horizontal="center"/>
      <protection/>
    </xf>
    <xf numFmtId="164" fontId="7" fillId="0" borderId="2" xfId="0" applyNumberFormat="1" applyFont="1" applyFill="1" applyBorder="1" applyAlignment="1" applyProtection="1" quotePrefix="1">
      <alignment horizontal="center"/>
      <protection/>
    </xf>
    <xf numFmtId="164" fontId="44" fillId="4" borderId="2" xfId="0" applyNumberFormat="1" applyFont="1" applyFill="1" applyBorder="1" applyAlignment="1" applyProtection="1">
      <alignment horizontal="center"/>
      <protection locked="0"/>
    </xf>
    <xf numFmtId="2" fontId="83" fillId="5" borderId="2" xfId="0" applyNumberFormat="1" applyFont="1" applyFill="1" applyBorder="1" applyAlignment="1" applyProtection="1">
      <alignment horizontal="center"/>
      <protection locked="0"/>
    </xf>
    <xf numFmtId="168" fontId="67" fillId="6" borderId="25" xfId="0" applyNumberFormat="1" applyFont="1" applyFill="1" applyBorder="1" applyAlignment="1" applyProtection="1" quotePrefix="1">
      <alignment horizontal="center"/>
      <protection locked="0"/>
    </xf>
    <xf numFmtId="168" fontId="67" fillId="6" borderId="50" xfId="0" applyNumberFormat="1" applyFont="1" applyFill="1" applyBorder="1" applyAlignment="1" applyProtection="1" quotePrefix="1">
      <alignment horizontal="center"/>
      <protection locked="0"/>
    </xf>
    <xf numFmtId="4" fontId="29" fillId="0" borderId="2" xfId="0" applyNumberFormat="1" applyFont="1" applyFill="1" applyBorder="1" applyAlignment="1">
      <alignment horizontal="right"/>
    </xf>
    <xf numFmtId="168" fontId="7" fillId="0" borderId="20" xfId="0" applyNumberFormat="1" applyFont="1" applyBorder="1" applyAlignment="1" applyProtection="1">
      <alignment horizontal="center"/>
      <protection locked="0"/>
    </xf>
    <xf numFmtId="168" fontId="7" fillId="0" borderId="20" xfId="0" applyNumberFormat="1" applyFont="1" applyBorder="1" applyAlignment="1" applyProtection="1">
      <alignment horizontal="center"/>
      <protection/>
    </xf>
    <xf numFmtId="164" fontId="44" fillId="4" borderId="3" xfId="0" applyNumberFormat="1" applyFont="1" applyFill="1" applyBorder="1" applyAlignment="1" applyProtection="1">
      <alignment horizontal="center"/>
      <protection locked="0"/>
    </xf>
    <xf numFmtId="2" fontId="83" fillId="5" borderId="3" xfId="0" applyNumberFormat="1" applyFont="1" applyFill="1" applyBorder="1" applyAlignment="1" applyProtection="1">
      <alignment horizontal="center"/>
      <protection locked="0"/>
    </xf>
    <xf numFmtId="168" fontId="67" fillId="6" borderId="28" xfId="0" applyNumberFormat="1" applyFont="1" applyFill="1" applyBorder="1" applyAlignment="1" applyProtection="1" quotePrefix="1">
      <alignment horizontal="center"/>
      <protection locked="0"/>
    </xf>
    <xf numFmtId="168" fontId="67" fillId="6" borderId="30" xfId="0" applyNumberFormat="1" applyFont="1" applyFill="1" applyBorder="1" applyAlignment="1" applyProtection="1" quotePrefix="1">
      <alignment horizontal="center"/>
      <protection locked="0"/>
    </xf>
    <xf numFmtId="7" fontId="28" fillId="0" borderId="31" xfId="0" applyNumberFormat="1" applyFont="1" applyFill="1" applyBorder="1" applyAlignment="1">
      <alignment horizontal="right"/>
    </xf>
    <xf numFmtId="4" fontId="83" fillId="5" borderId="14" xfId="0" applyNumberFormat="1" applyFont="1" applyFill="1" applyBorder="1" applyAlignment="1">
      <alignment horizontal="center"/>
    </xf>
    <xf numFmtId="4" fontId="67" fillId="6" borderId="46" xfId="0" applyNumberFormat="1" applyFont="1" applyFill="1" applyBorder="1" applyAlignment="1">
      <alignment horizontal="center"/>
    </xf>
    <xf numFmtId="4" fontId="67" fillId="6" borderId="47" xfId="0" applyNumberFormat="1" applyFont="1" applyFill="1" applyBorder="1" applyAlignment="1">
      <alignment horizontal="center"/>
    </xf>
    <xf numFmtId="4" fontId="47" fillId="3" borderId="14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32" fillId="0" borderId="1" xfId="0" applyFont="1" applyBorder="1" applyAlignment="1">
      <alignment/>
    </xf>
    <xf numFmtId="0" fontId="16" fillId="0" borderId="0" xfId="0" applyFont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20" fillId="0" borderId="1" xfId="0" applyFont="1" applyBorder="1" applyAlignment="1">
      <alignment horizontal="centerContinuous"/>
    </xf>
    <xf numFmtId="0" fontId="11" fillId="0" borderId="0" xfId="0" applyFont="1" applyAlignment="1">
      <alignment/>
    </xf>
    <xf numFmtId="0" fontId="24" fillId="0" borderId="0" xfId="0" applyFont="1" applyBorder="1" applyAlignment="1">
      <alignment horizontal="centerContinuous"/>
    </xf>
    <xf numFmtId="0" fontId="24" fillId="0" borderId="0" xfId="0" applyFont="1" applyBorder="1" applyAlignment="1" applyProtection="1">
      <alignment horizontal="centerContinuous"/>
      <protection/>
    </xf>
    <xf numFmtId="0" fontId="24" fillId="0" borderId="1" xfId="0" applyFont="1" applyBorder="1" applyAlignment="1">
      <alignment horizontal="centerContinuous"/>
    </xf>
    <xf numFmtId="0" fontId="0" fillId="0" borderId="16" xfId="0" applyFont="1" applyBorder="1" applyAlignment="1" applyProtection="1">
      <alignment horizontal="center"/>
      <protection/>
    </xf>
    <xf numFmtId="0" fontId="0" fillId="0" borderId="8" xfId="0" applyFont="1" applyBorder="1" applyAlignment="1" applyProtection="1" quotePrefix="1">
      <alignment horizontal="left"/>
      <protection/>
    </xf>
    <xf numFmtId="0" fontId="0" fillId="0" borderId="15" xfId="0" applyFont="1" applyBorder="1" applyAlignment="1" applyProtection="1">
      <alignment horizontal="center"/>
      <protection/>
    </xf>
    <xf numFmtId="0" fontId="89" fillId="0" borderId="0" xfId="0" applyFont="1" applyBorder="1" applyAlignment="1" applyProtection="1">
      <alignment horizontal="left"/>
      <protection/>
    </xf>
    <xf numFmtId="0" fontId="12" fillId="0" borderId="0" xfId="0" applyFont="1" applyBorder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center"/>
      <protection/>
    </xf>
    <xf numFmtId="2" fontId="63" fillId="0" borderId="0" xfId="0" applyNumberFormat="1" applyFont="1" applyBorder="1" applyAlignment="1">
      <alignment horizontal="center"/>
    </xf>
    <xf numFmtId="168" fontId="9" fillId="0" borderId="0" xfId="0" applyNumberFormat="1" applyFont="1" applyBorder="1" applyAlignment="1" applyProtection="1" quotePrefix="1">
      <alignment horizontal="center"/>
      <protection/>
    </xf>
    <xf numFmtId="168" fontId="9" fillId="0" borderId="0" xfId="0" applyNumberFormat="1" applyFont="1" applyBorder="1" applyAlignment="1" applyProtection="1">
      <alignment horizontal="center"/>
      <protection/>
    </xf>
    <xf numFmtId="168" fontId="53" fillId="0" borderId="0" xfId="0" applyNumberFormat="1" applyFont="1" applyFill="1" applyBorder="1" applyAlignment="1">
      <alignment horizontal="center"/>
    </xf>
    <xf numFmtId="0" fontId="27" fillId="0" borderId="14" xfId="0" applyFont="1" applyBorder="1" applyAlignment="1" applyProtection="1" quotePrefix="1">
      <alignment horizontal="center" vertical="center" wrapText="1"/>
      <protection/>
    </xf>
    <xf numFmtId="0" fontId="48" fillId="7" borderId="14" xfId="0" applyFont="1" applyFill="1" applyBorder="1" applyAlignment="1">
      <alignment horizontal="center" vertical="center" wrapText="1"/>
    </xf>
    <xf numFmtId="0" fontId="45" fillId="12" borderId="8" xfId="0" applyFont="1" applyFill="1" applyBorder="1" applyAlignment="1" applyProtection="1">
      <alignment horizontal="centerContinuous" vertical="center" wrapText="1"/>
      <protection/>
    </xf>
    <xf numFmtId="0" fontId="45" fillId="12" borderId="9" xfId="0" applyFont="1" applyFill="1" applyBorder="1" applyAlignment="1">
      <alignment horizontal="centerContinuous" vertical="center"/>
    </xf>
    <xf numFmtId="0" fontId="50" fillId="6" borderId="14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7" fillId="0" borderId="48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37" fillId="2" borderId="0" xfId="0" applyFont="1" applyFill="1" applyBorder="1" applyAlignment="1">
      <alignment horizontal="center"/>
    </xf>
    <xf numFmtId="0" fontId="49" fillId="7" borderId="33" xfId="0" applyFont="1" applyFill="1" applyBorder="1" applyAlignment="1">
      <alignment horizontal="center"/>
    </xf>
    <xf numFmtId="0" fontId="46" fillId="12" borderId="35" xfId="0" applyFont="1" applyFill="1" applyBorder="1" applyAlignment="1">
      <alignment horizontal="center"/>
    </xf>
    <xf numFmtId="0" fontId="46" fillId="12" borderId="36" xfId="0" applyFont="1" applyFill="1" applyBorder="1" applyAlignment="1">
      <alignment horizontal="center"/>
    </xf>
    <xf numFmtId="0" fontId="51" fillId="6" borderId="33" xfId="0" applyFont="1" applyFill="1" applyBorder="1" applyAlignment="1">
      <alignment horizontal="center"/>
    </xf>
    <xf numFmtId="0" fontId="7" fillId="0" borderId="33" xfId="0" applyFont="1" applyBorder="1" applyAlignment="1">
      <alignment horizontal="center"/>
    </xf>
    <xf numFmtId="7" fontId="29" fillId="0" borderId="33" xfId="0" applyNumberFormat="1" applyFont="1" applyFill="1" applyBorder="1" applyAlignment="1">
      <alignment horizontal="center"/>
    </xf>
    <xf numFmtId="0" fontId="12" fillId="0" borderId="26" xfId="0" applyFont="1" applyBorder="1" applyAlignment="1" applyProtection="1">
      <alignment horizontal="center"/>
      <protection/>
    </xf>
    <xf numFmtId="0" fontId="12" fillId="0" borderId="53" xfId="0" applyFont="1" applyBorder="1" applyAlignment="1" applyProtection="1">
      <alignment horizontal="center"/>
      <protection/>
    </xf>
    <xf numFmtId="0" fontId="12" fillId="0" borderId="19" xfId="0" applyFont="1" applyBorder="1" applyAlignment="1" applyProtection="1">
      <alignment horizontal="center"/>
      <protection/>
    </xf>
    <xf numFmtId="168" fontId="37" fillId="2" borderId="19" xfId="0" applyNumberFormat="1" applyFont="1" applyFill="1" applyBorder="1" applyAlignment="1" applyProtection="1">
      <alignment horizontal="center"/>
      <protection/>
    </xf>
    <xf numFmtId="22" fontId="7" fillId="0" borderId="40" xfId="0" applyNumberFormat="1" applyFont="1" applyBorder="1" applyAlignment="1">
      <alignment horizontal="center"/>
    </xf>
    <xf numFmtId="22" fontId="7" fillId="0" borderId="53" xfId="0" applyNumberFormat="1" applyFont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 quotePrefix="1">
      <alignment horizontal="center"/>
      <protection/>
    </xf>
    <xf numFmtId="164" fontId="7" fillId="0" borderId="19" xfId="0" applyNumberFormat="1" applyFont="1" applyFill="1" applyBorder="1" applyAlignment="1" applyProtection="1" quotePrefix="1">
      <alignment horizontal="center"/>
      <protection/>
    </xf>
    <xf numFmtId="168" fontId="7" fillId="0" borderId="19" xfId="0" applyNumberFormat="1" applyFont="1" applyBorder="1" applyAlignment="1" applyProtection="1">
      <alignment horizontal="center"/>
      <protection/>
    </xf>
    <xf numFmtId="164" fontId="37" fillId="2" borderId="26" xfId="0" applyNumberFormat="1" applyFont="1" applyFill="1" applyBorder="1" applyAlignment="1" applyProtection="1">
      <alignment horizontal="center"/>
      <protection/>
    </xf>
    <xf numFmtId="2" fontId="49" fillId="7" borderId="19" xfId="0" applyNumberFormat="1" applyFont="1" applyFill="1" applyBorder="1" applyAlignment="1">
      <alignment horizontal="center"/>
    </xf>
    <xf numFmtId="168" fontId="46" fillId="12" borderId="40" xfId="0" applyNumberFormat="1" applyFont="1" applyFill="1" applyBorder="1" applyAlignment="1" applyProtection="1" quotePrefix="1">
      <alignment horizontal="center"/>
      <protection/>
    </xf>
    <xf numFmtId="168" fontId="46" fillId="12" borderId="39" xfId="0" applyNumberFormat="1" applyFont="1" applyFill="1" applyBorder="1" applyAlignment="1" applyProtection="1" quotePrefix="1">
      <alignment horizontal="center"/>
      <protection/>
    </xf>
    <xf numFmtId="168" fontId="51" fillId="6" borderId="19" xfId="0" applyNumberFormat="1" applyFont="1" applyFill="1" applyBorder="1" applyAlignment="1" applyProtection="1" quotePrefix="1">
      <alignment horizontal="center"/>
      <protection/>
    </xf>
    <xf numFmtId="164" fontId="37" fillId="2" borderId="49" xfId="0" applyNumberFormat="1" applyFont="1" applyFill="1" applyBorder="1" applyAlignment="1" applyProtection="1">
      <alignment horizontal="center"/>
      <protection locked="0"/>
    </xf>
    <xf numFmtId="2" fontId="49" fillId="7" borderId="2" xfId="0" applyNumberFormat="1" applyFont="1" applyFill="1" applyBorder="1" applyAlignment="1" applyProtection="1">
      <alignment horizontal="center"/>
      <protection locked="0"/>
    </xf>
    <xf numFmtId="168" fontId="46" fillId="12" borderId="40" xfId="0" applyNumberFormat="1" applyFont="1" applyFill="1" applyBorder="1" applyAlignment="1" applyProtection="1" quotePrefix="1">
      <alignment horizontal="center"/>
      <protection locked="0"/>
    </xf>
    <xf numFmtId="168" fontId="46" fillId="12" borderId="39" xfId="0" applyNumberFormat="1" applyFont="1" applyFill="1" applyBorder="1" applyAlignment="1" applyProtection="1" quotePrefix="1">
      <alignment horizontal="center"/>
      <protection locked="0"/>
    </xf>
    <xf numFmtId="168" fontId="51" fillId="6" borderId="19" xfId="0" applyNumberFormat="1" applyFont="1" applyFill="1" applyBorder="1" applyAlignment="1" applyProtection="1" quotePrefix="1">
      <alignment horizontal="center"/>
      <protection locked="0"/>
    </xf>
    <xf numFmtId="2" fontId="7" fillId="0" borderId="54" xfId="0" applyNumberFormat="1" applyFont="1" applyFill="1" applyBorder="1" applyAlignment="1" applyProtection="1" quotePrefix="1">
      <alignment horizontal="center"/>
      <protection/>
    </xf>
    <xf numFmtId="0" fontId="12" fillId="0" borderId="21" xfId="0" applyFont="1" applyBorder="1" applyAlignment="1" applyProtection="1">
      <alignment horizontal="center"/>
      <protection locked="0"/>
    </xf>
    <xf numFmtId="0" fontId="12" fillId="0" borderId="3" xfId="0" applyFont="1" applyBorder="1" applyAlignment="1" applyProtection="1">
      <alignment horizontal="center"/>
      <protection locked="0"/>
    </xf>
    <xf numFmtId="164" fontId="37" fillId="2" borderId="21" xfId="0" applyNumberFormat="1" applyFont="1" applyFill="1" applyBorder="1" applyAlignment="1" applyProtection="1">
      <alignment horizontal="center"/>
      <protection locked="0"/>
    </xf>
    <xf numFmtId="2" fontId="49" fillId="7" borderId="3" xfId="0" applyNumberFormat="1" applyFont="1" applyFill="1" applyBorder="1" applyAlignment="1" applyProtection="1">
      <alignment horizontal="center"/>
      <protection locked="0"/>
    </xf>
    <xf numFmtId="168" fontId="46" fillId="12" borderId="43" xfId="0" applyNumberFormat="1" applyFont="1" applyFill="1" applyBorder="1" applyAlignment="1" applyProtection="1" quotePrefix="1">
      <alignment horizontal="center"/>
      <protection locked="0"/>
    </xf>
    <xf numFmtId="168" fontId="46" fillId="12" borderId="44" xfId="0" applyNumberFormat="1" applyFont="1" applyFill="1" applyBorder="1" applyAlignment="1" applyProtection="1" quotePrefix="1">
      <alignment horizontal="center"/>
      <protection locked="0"/>
    </xf>
    <xf numFmtId="168" fontId="51" fillId="6" borderId="3" xfId="0" applyNumberFormat="1" applyFont="1" applyFill="1" applyBorder="1" applyAlignment="1" applyProtection="1" quotePrefix="1">
      <alignment horizontal="center"/>
      <protection locked="0"/>
    </xf>
    <xf numFmtId="168" fontId="29" fillId="0" borderId="31" xfId="0" applyNumberFormat="1" applyFont="1" applyFill="1" applyBorder="1" applyAlignment="1">
      <alignment horizontal="center"/>
    </xf>
    <xf numFmtId="4" fontId="49" fillId="7" borderId="14" xfId="0" applyNumberFormat="1" applyFont="1" applyFill="1" applyBorder="1" applyAlignment="1">
      <alignment horizontal="center"/>
    </xf>
    <xf numFmtId="4" fontId="46" fillId="12" borderId="46" xfId="0" applyNumberFormat="1" applyFont="1" applyFill="1" applyBorder="1" applyAlignment="1">
      <alignment horizontal="center"/>
    </xf>
    <xf numFmtId="4" fontId="46" fillId="12" borderId="9" xfId="0" applyNumberFormat="1" applyFont="1" applyFill="1" applyBorder="1" applyAlignment="1">
      <alignment horizontal="center"/>
    </xf>
    <xf numFmtId="4" fontId="51" fillId="6" borderId="14" xfId="0" applyNumberFormat="1" applyFont="1" applyFill="1" applyBorder="1" applyAlignment="1">
      <alignment horizontal="center"/>
    </xf>
    <xf numFmtId="0" fontId="7" fillId="0" borderId="55" xfId="0" applyFont="1" applyBorder="1" applyAlignment="1">
      <alignment/>
    </xf>
    <xf numFmtId="7" fontId="4" fillId="0" borderId="9" xfId="0" applyNumberFormat="1" applyFont="1" applyBorder="1" applyAlignment="1">
      <alignment horizontal="centerContinuous" vertical="center"/>
    </xf>
    <xf numFmtId="0" fontId="44" fillId="3" borderId="17" xfId="0" applyFont="1" applyFill="1" applyBorder="1" applyAlignment="1">
      <alignment horizontal="center"/>
    </xf>
    <xf numFmtId="0" fontId="44" fillId="7" borderId="17" xfId="0" applyFont="1" applyFill="1" applyBorder="1" applyAlignment="1">
      <alignment horizontal="center"/>
    </xf>
    <xf numFmtId="0" fontId="44" fillId="3" borderId="2" xfId="0" applyFont="1" applyFill="1" applyBorder="1" applyAlignment="1">
      <alignment horizontal="center"/>
    </xf>
    <xf numFmtId="0" fontId="44" fillId="7" borderId="2" xfId="0" applyFont="1" applyFill="1" applyBorder="1" applyAlignment="1">
      <alignment horizontal="center"/>
    </xf>
    <xf numFmtId="2" fontId="49" fillId="5" borderId="2" xfId="0" applyNumberFormat="1" applyFont="1" applyFill="1" applyBorder="1" applyAlignment="1" applyProtection="1">
      <alignment horizontal="center"/>
      <protection locked="0"/>
    </xf>
    <xf numFmtId="168" fontId="47" fillId="7" borderId="2" xfId="0" applyNumberFormat="1" applyFont="1" applyFill="1" applyBorder="1" applyAlignment="1" applyProtection="1" quotePrefix="1">
      <alignment horizontal="center"/>
      <protection locked="0"/>
    </xf>
    <xf numFmtId="168" fontId="7" fillId="8" borderId="2" xfId="0" applyNumberFormat="1" applyFont="1" applyFill="1" applyBorder="1" applyAlignment="1" applyProtection="1">
      <alignment horizontal="center"/>
      <protection locked="0"/>
    </xf>
    <xf numFmtId="2" fontId="53" fillId="5" borderId="3" xfId="0" applyNumberFormat="1" applyFont="1" applyFill="1" applyBorder="1" applyAlignment="1" applyProtection="1">
      <alignment horizontal="center"/>
      <protection locked="0"/>
    </xf>
    <xf numFmtId="168" fontId="44" fillId="3" borderId="3" xfId="0" applyNumberFormat="1" applyFont="1" applyFill="1" applyBorder="1" applyAlignment="1" applyProtection="1" quotePrefix="1">
      <alignment horizontal="center"/>
      <protection locked="0"/>
    </xf>
    <xf numFmtId="168" fontId="44" fillId="7" borderId="3" xfId="0" applyNumberFormat="1" applyFont="1" applyFill="1" applyBorder="1" applyAlignment="1" applyProtection="1" quotePrefix="1">
      <alignment horizontal="center"/>
      <protection locked="0"/>
    </xf>
    <xf numFmtId="168" fontId="68" fillId="8" borderId="3" xfId="0" applyNumberFormat="1" applyFont="1" applyFill="1" applyBorder="1" applyAlignment="1" applyProtection="1">
      <alignment horizontal="center"/>
      <protection locked="0"/>
    </xf>
    <xf numFmtId="4" fontId="7" fillId="0" borderId="56" xfId="0" applyNumberFormat="1" applyFont="1" applyFill="1" applyBorder="1" applyAlignment="1">
      <alignment horizontal="center"/>
    </xf>
    <xf numFmtId="2" fontId="49" fillId="5" borderId="14" xfId="0" applyNumberFormat="1" applyFont="1" applyFill="1" applyBorder="1" applyAlignment="1" applyProtection="1">
      <alignment horizontal="center"/>
      <protection/>
    </xf>
    <xf numFmtId="168" fontId="47" fillId="7" borderId="14" xfId="0" applyNumberFormat="1" applyFont="1" applyFill="1" applyBorder="1" applyAlignment="1" applyProtection="1" quotePrefix="1">
      <alignment horizontal="center"/>
      <protection/>
    </xf>
    <xf numFmtId="0" fontId="90" fillId="0" borderId="0" xfId="0" applyFont="1" applyAlignment="1">
      <alignment/>
    </xf>
    <xf numFmtId="0" fontId="93" fillId="0" borderId="0" xfId="0" applyFont="1" applyFill="1" applyAlignment="1">
      <alignment/>
    </xf>
    <xf numFmtId="0" fontId="94" fillId="0" borderId="0" xfId="0" applyFont="1" applyAlignment="1">
      <alignment horizontal="centerContinuous"/>
    </xf>
    <xf numFmtId="0" fontId="93" fillId="0" borderId="0" xfId="0" applyFont="1" applyAlignment="1">
      <alignment horizontal="centerContinuous"/>
    </xf>
    <xf numFmtId="0" fontId="93" fillId="0" borderId="0" xfId="0" applyFont="1" applyAlignment="1">
      <alignment/>
    </xf>
    <xf numFmtId="0" fontId="23" fillId="0" borderId="0" xfId="0" applyFont="1" applyAlignment="1">
      <alignment/>
    </xf>
    <xf numFmtId="0" fontId="95" fillId="0" borderId="0" xfId="0" applyFont="1" applyBorder="1" applyAlignment="1" quotePrefix="1">
      <alignment horizontal="left"/>
    </xf>
    <xf numFmtId="0" fontId="22" fillId="0" borderId="7" xfId="0" applyFont="1" applyBorder="1" applyAlignment="1">
      <alignment/>
    </xf>
    <xf numFmtId="0" fontId="22" fillId="0" borderId="0" xfId="0" applyFont="1" applyBorder="1" applyAlignment="1">
      <alignment horizontal="right"/>
    </xf>
    <xf numFmtId="7" fontId="22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96" fillId="0" borderId="0" xfId="0" applyFont="1" applyBorder="1" applyAlignment="1" quotePrefix="1">
      <alignment horizontal="left"/>
    </xf>
    <xf numFmtId="0" fontId="22" fillId="0" borderId="1" xfId="0" applyFont="1" applyFill="1" applyBorder="1" applyAlignment="1">
      <alignment/>
    </xf>
    <xf numFmtId="0" fontId="22" fillId="0" borderId="0" xfId="0" applyFont="1" applyBorder="1" applyAlignment="1" applyProtection="1">
      <alignment horizontal="left"/>
      <protection/>
    </xf>
    <xf numFmtId="168" fontId="22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right"/>
    </xf>
    <xf numFmtId="7" fontId="22" fillId="0" borderId="0" xfId="0" applyNumberFormat="1" applyFont="1" applyBorder="1" applyAlignment="1">
      <alignment horizontal="centerContinuous"/>
    </xf>
    <xf numFmtId="0" fontId="22" fillId="0" borderId="0" xfId="0" applyFont="1" applyBorder="1" applyAlignment="1" applyProtection="1">
      <alignment horizontal="center"/>
      <protection/>
    </xf>
    <xf numFmtId="168" fontId="13" fillId="0" borderId="8" xfId="0" applyNumberFormat="1" applyFont="1" applyBorder="1" applyAlignment="1" applyProtection="1">
      <alignment horizontal="center"/>
      <protection/>
    </xf>
    <xf numFmtId="183" fontId="22" fillId="0" borderId="9" xfId="0" applyNumberFormat="1" applyFont="1" applyBorder="1" applyAlignment="1" applyProtection="1">
      <alignment horizontal="centerContinuous"/>
      <protection/>
    </xf>
    <xf numFmtId="164" fontId="98" fillId="0" borderId="0" xfId="0" applyNumberFormat="1" applyFont="1" applyBorder="1" applyAlignment="1" applyProtection="1">
      <alignment horizontal="center"/>
      <protection/>
    </xf>
    <xf numFmtId="165" fontId="22" fillId="0" borderId="0" xfId="0" applyNumberFormat="1" applyFont="1" applyBorder="1" applyAlignment="1" applyProtection="1">
      <alignment horizontal="center"/>
      <protection/>
    </xf>
    <xf numFmtId="168" fontId="22" fillId="0" borderId="0" xfId="0" applyNumberFormat="1" applyFont="1" applyBorder="1" applyAlignment="1" applyProtection="1">
      <alignment horizontal="center"/>
      <protection/>
    </xf>
    <xf numFmtId="173" fontId="22" fillId="0" borderId="0" xfId="0" applyNumberFormat="1" applyFont="1" applyBorder="1" applyAlignment="1" applyProtection="1" quotePrefix="1">
      <alignment horizontal="center"/>
      <protection/>
    </xf>
    <xf numFmtId="2" fontId="97" fillId="0" borderId="15" xfId="0" applyNumberFormat="1" applyFont="1" applyFill="1" applyBorder="1" applyAlignment="1" applyProtection="1">
      <alignment horizontal="center"/>
      <protection/>
    </xf>
    <xf numFmtId="2" fontId="85" fillId="0" borderId="15" xfId="0" applyNumberFormat="1" applyFont="1" applyFill="1" applyBorder="1" applyAlignment="1" applyProtection="1">
      <alignment horizontal="center"/>
      <protection/>
    </xf>
    <xf numFmtId="2" fontId="99" fillId="0" borderId="15" xfId="0" applyNumberFormat="1" applyFont="1" applyFill="1" applyBorder="1" applyAlignment="1" applyProtection="1">
      <alignment horizontal="center"/>
      <protection/>
    </xf>
    <xf numFmtId="2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Border="1" applyAlignment="1" applyProtection="1">
      <alignment horizontal="center"/>
      <protection/>
    </xf>
    <xf numFmtId="0" fontId="36" fillId="13" borderId="14" xfId="0" applyFont="1" applyFill="1" applyBorder="1" applyAlignment="1" applyProtection="1">
      <alignment horizontal="center" vertical="center"/>
      <protection/>
    </xf>
    <xf numFmtId="0" fontId="27" fillId="0" borderId="8" xfId="0" applyFont="1" applyFill="1" applyBorder="1" applyAlignment="1" applyProtection="1">
      <alignment horizontal="centerContinuous" vertical="center"/>
      <protection/>
    </xf>
    <xf numFmtId="0" fontId="27" fillId="0" borderId="15" xfId="0" applyFont="1" applyFill="1" applyBorder="1" applyAlignment="1" applyProtection="1">
      <alignment horizontal="centerContinuous" vertical="center"/>
      <protection/>
    </xf>
    <xf numFmtId="0" fontId="43" fillId="14" borderId="14" xfId="0" applyFont="1" applyFill="1" applyBorder="1" applyAlignment="1">
      <alignment horizontal="center" vertical="center" wrapText="1"/>
    </xf>
    <xf numFmtId="0" fontId="43" fillId="15" borderId="8" xfId="0" applyFont="1" applyFill="1" applyBorder="1" applyAlignment="1" applyProtection="1">
      <alignment horizontal="centerContinuous" vertical="center" wrapText="1"/>
      <protection/>
    </xf>
    <xf numFmtId="0" fontId="43" fillId="15" borderId="9" xfId="0" applyFont="1" applyFill="1" applyBorder="1" applyAlignment="1">
      <alignment horizontal="centerContinuous" vertical="center"/>
    </xf>
    <xf numFmtId="0" fontId="43" fillId="3" borderId="14" xfId="0" applyFont="1" applyFill="1" applyBorder="1" applyAlignment="1">
      <alignment horizontal="centerContinuous" vertical="center" wrapText="1"/>
    </xf>
    <xf numFmtId="0" fontId="43" fillId="13" borderId="57" xfId="0" applyFont="1" applyFill="1" applyBorder="1" applyAlignment="1">
      <alignment vertical="center" wrapText="1"/>
    </xf>
    <xf numFmtId="0" fontId="43" fillId="13" borderId="16" xfId="0" applyFont="1" applyFill="1" applyBorder="1" applyAlignment="1">
      <alignment vertical="center" wrapText="1"/>
    </xf>
    <xf numFmtId="0" fontId="43" fillId="13" borderId="34" xfId="0" applyFont="1" applyFill="1" applyBorder="1" applyAlignment="1">
      <alignment vertical="center" wrapText="1"/>
    </xf>
    <xf numFmtId="0" fontId="100" fillId="2" borderId="2" xfId="0" applyFont="1" applyFill="1" applyBorder="1" applyAlignment="1">
      <alignment horizontal="center"/>
    </xf>
    <xf numFmtId="0" fontId="100" fillId="13" borderId="2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Continuous"/>
    </xf>
    <xf numFmtId="0" fontId="7" fillId="0" borderId="4" xfId="0" applyFont="1" applyFill="1" applyBorder="1" applyAlignment="1">
      <alignment horizontal="centerContinuous"/>
    </xf>
    <xf numFmtId="0" fontId="44" fillId="14" borderId="17" xfId="0" applyFont="1" applyFill="1" applyBorder="1" applyAlignment="1">
      <alignment horizontal="center"/>
    </xf>
    <xf numFmtId="0" fontId="44" fillId="15" borderId="35" xfId="0" applyFont="1" applyFill="1" applyBorder="1" applyAlignment="1">
      <alignment horizontal="center"/>
    </xf>
    <xf numFmtId="0" fontId="44" fillId="15" borderId="36" xfId="0" applyFont="1" applyFill="1" applyBorder="1" applyAlignment="1">
      <alignment horizontal="left"/>
    </xf>
    <xf numFmtId="0" fontId="44" fillId="3" borderId="17" xfId="0" applyFont="1" applyFill="1" applyBorder="1" applyAlignment="1">
      <alignment horizontal="left"/>
    </xf>
    <xf numFmtId="0" fontId="44" fillId="13" borderId="52" xfId="0" applyFont="1" applyFill="1" applyBorder="1" applyAlignment="1">
      <alignment horizontal="left"/>
    </xf>
    <xf numFmtId="0" fontId="44" fillId="13" borderId="0" xfId="0" applyFont="1" applyFill="1" applyBorder="1" applyAlignment="1">
      <alignment horizontal="left"/>
    </xf>
    <xf numFmtId="0" fontId="44" fillId="13" borderId="51" xfId="0" applyFont="1" applyFill="1" applyBorder="1" applyAlignment="1">
      <alignment horizontal="left"/>
    </xf>
    <xf numFmtId="0" fontId="10" fillId="0" borderId="4" xfId="0" applyFont="1" applyFill="1" applyBorder="1" applyAlignment="1">
      <alignment horizontal="center"/>
    </xf>
    <xf numFmtId="0" fontId="7" fillId="0" borderId="26" xfId="0" applyFont="1" applyBorder="1" applyAlignment="1" applyProtection="1">
      <alignment horizontal="center"/>
      <protection/>
    </xf>
    <xf numFmtId="168" fontId="100" fillId="2" borderId="2" xfId="0" applyNumberFormat="1" applyFont="1" applyFill="1" applyBorder="1" applyAlignment="1" applyProtection="1">
      <alignment horizontal="center"/>
      <protection/>
    </xf>
    <xf numFmtId="168" fontId="100" fillId="13" borderId="2" xfId="0" applyNumberFormat="1" applyFont="1" applyFill="1" applyBorder="1" applyAlignment="1" applyProtection="1">
      <alignment horizontal="center"/>
      <protection/>
    </xf>
    <xf numFmtId="168" fontId="7" fillId="0" borderId="24" xfId="0" applyNumberFormat="1" applyFont="1" applyBorder="1" applyAlignment="1" applyProtection="1">
      <alignment horizontal="centerContinuous"/>
      <protection/>
    </xf>
    <xf numFmtId="168" fontId="7" fillId="0" borderId="4" xfId="0" applyNumberFormat="1" applyFont="1" applyBorder="1" applyAlignment="1" applyProtection="1">
      <alignment horizontal="centerContinuous"/>
      <protection/>
    </xf>
    <xf numFmtId="164" fontId="37" fillId="2" borderId="2" xfId="0" applyNumberFormat="1" applyFont="1" applyFill="1" applyBorder="1" applyAlignment="1" applyProtection="1">
      <alignment horizontal="center"/>
      <protection/>
    </xf>
    <xf numFmtId="2" fontId="47" fillId="14" borderId="2" xfId="0" applyNumberFormat="1" applyFont="1" applyFill="1" applyBorder="1" applyAlignment="1">
      <alignment horizontal="center"/>
    </xf>
    <xf numFmtId="168" fontId="47" fillId="15" borderId="40" xfId="0" applyNumberFormat="1" applyFont="1" applyFill="1" applyBorder="1" applyAlignment="1" applyProtection="1" quotePrefix="1">
      <alignment horizontal="center"/>
      <protection/>
    </xf>
    <xf numFmtId="168" fontId="47" fillId="15" borderId="39" xfId="0" applyNumberFormat="1" applyFont="1" applyFill="1" applyBorder="1" applyAlignment="1" applyProtection="1" quotePrefix="1">
      <alignment horizontal="center"/>
      <protection/>
    </xf>
    <xf numFmtId="168" fontId="47" fillId="13" borderId="52" xfId="0" applyNumberFormat="1" applyFont="1" applyFill="1" applyBorder="1" applyAlignment="1" applyProtection="1" quotePrefix="1">
      <alignment horizontal="center"/>
      <protection/>
    </xf>
    <xf numFmtId="168" fontId="47" fillId="13" borderId="0" xfId="0" applyNumberFormat="1" applyFont="1" applyFill="1" applyBorder="1" applyAlignment="1" applyProtection="1" quotePrefix="1">
      <alignment horizontal="center"/>
      <protection/>
    </xf>
    <xf numFmtId="168" fontId="47" fillId="13" borderId="51" xfId="0" applyNumberFormat="1" applyFont="1" applyFill="1" applyBorder="1" applyAlignment="1" applyProtection="1" quotePrefix="1">
      <alignment horizontal="center"/>
      <protection/>
    </xf>
    <xf numFmtId="1" fontId="7" fillId="0" borderId="0" xfId="0" applyNumberFormat="1" applyFont="1" applyBorder="1" applyAlignment="1" applyProtection="1" quotePrefix="1">
      <alignment horizontal="center"/>
      <protection/>
    </xf>
    <xf numFmtId="168" fontId="7" fillId="0" borderId="0" xfId="0" applyNumberFormat="1" applyFont="1" applyFill="1" applyBorder="1" applyAlignment="1" applyProtection="1">
      <alignment horizontal="center"/>
      <protection/>
    </xf>
    <xf numFmtId="22" fontId="7" fillId="0" borderId="0" xfId="0" applyNumberFormat="1" applyFont="1" applyFill="1" applyBorder="1" applyAlignment="1">
      <alignment horizontal="center"/>
    </xf>
    <xf numFmtId="22" fontId="7" fillId="0" borderId="0" xfId="0" applyNumberFormat="1" applyFont="1" applyFill="1" applyBorder="1" applyAlignment="1" applyProtection="1">
      <alignment horizontal="center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168" fontId="7" fillId="0" borderId="0" xfId="0" applyNumberFormat="1" applyFont="1" applyBorder="1" applyAlignment="1" applyProtection="1" quotePrefix="1">
      <alignment horizontal="center"/>
      <protection/>
    </xf>
    <xf numFmtId="164" fontId="7" fillId="0" borderId="0" xfId="0" applyNumberFormat="1" applyFont="1" applyFill="1" applyBorder="1" applyAlignment="1" applyProtection="1">
      <alignment horizontal="center"/>
      <protection/>
    </xf>
    <xf numFmtId="2" fontId="63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 applyProtection="1" quotePrefix="1">
      <alignment horizontal="center"/>
      <protection/>
    </xf>
    <xf numFmtId="4" fontId="29" fillId="0" borderId="14" xfId="0" applyNumberFormat="1" applyFont="1" applyFill="1" applyBorder="1" applyAlignment="1">
      <alignment horizontal="right"/>
    </xf>
    <xf numFmtId="168" fontId="7" fillId="0" borderId="0" xfId="0" applyNumberFormat="1" applyFont="1" applyBorder="1" applyAlignment="1" applyProtection="1" quotePrefix="1">
      <alignment horizontal="centerContinuous"/>
      <protection/>
    </xf>
    <xf numFmtId="168" fontId="7" fillId="0" borderId="0" xfId="0" applyNumberFormat="1" applyFont="1" applyBorder="1" applyAlignment="1" applyProtection="1">
      <alignment horizontal="centerContinuous"/>
      <protection/>
    </xf>
    <xf numFmtId="4" fontId="29" fillId="0" borderId="0" xfId="0" applyNumberFormat="1" applyFont="1" applyFill="1" applyBorder="1" applyAlignment="1">
      <alignment horizontal="right"/>
    </xf>
    <xf numFmtId="2" fontId="55" fillId="0" borderId="0" xfId="0" applyNumberFormat="1" applyFont="1" applyBorder="1" applyAlignment="1" applyProtection="1">
      <alignment horizontal="left"/>
      <protection/>
    </xf>
    <xf numFmtId="168" fontId="55" fillId="0" borderId="0" xfId="0" applyNumberFormat="1" applyFont="1" applyBorder="1" applyAlignment="1" applyProtection="1">
      <alignment horizontal="center"/>
      <protection/>
    </xf>
    <xf numFmtId="0" fontId="55" fillId="0" borderId="0" xfId="0" applyFont="1" applyBorder="1" applyAlignment="1" applyProtection="1">
      <alignment horizontal="center"/>
      <protection/>
    </xf>
    <xf numFmtId="165" fontId="55" fillId="0" borderId="0" xfId="0" applyNumberFormat="1" applyFont="1" applyBorder="1" applyAlignment="1" applyProtection="1">
      <alignment horizontal="center"/>
      <protection/>
    </xf>
    <xf numFmtId="173" fontId="55" fillId="0" borderId="0" xfId="0" applyNumberFormat="1" applyFont="1" applyBorder="1" applyAlignment="1" applyProtection="1" quotePrefix="1">
      <alignment horizontal="center"/>
      <protection/>
    </xf>
    <xf numFmtId="0" fontId="55" fillId="0" borderId="0" xfId="0" applyFont="1" applyAlignment="1">
      <alignment/>
    </xf>
    <xf numFmtId="2" fontId="55" fillId="0" borderId="0" xfId="0" applyNumberFormat="1" applyFont="1" applyBorder="1" applyAlignment="1" applyProtection="1">
      <alignment horizontal="center"/>
      <protection/>
    </xf>
    <xf numFmtId="168" fontId="55" fillId="0" borderId="0" xfId="0" applyNumberFormat="1" applyFont="1" applyBorder="1" applyAlignment="1" applyProtection="1" quotePrefix="1">
      <alignment horizontal="center"/>
      <protection/>
    </xf>
    <xf numFmtId="4" fontId="22" fillId="0" borderId="1" xfId="0" applyNumberFormat="1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2" fontId="101" fillId="0" borderId="0" xfId="0" applyNumberFormat="1" applyFont="1" applyBorder="1" applyAlignment="1" applyProtection="1">
      <alignment horizontal="left"/>
      <protection/>
    </xf>
    <xf numFmtId="0" fontId="22" fillId="0" borderId="0" xfId="0" applyFont="1" applyAlignment="1">
      <alignment horizontal="center"/>
    </xf>
    <xf numFmtId="173" fontId="13" fillId="0" borderId="0" xfId="0" applyNumberFormat="1" applyFont="1" applyBorder="1" applyAlignment="1" applyProtection="1">
      <alignment horizontal="left"/>
      <protection/>
    </xf>
    <xf numFmtId="168" fontId="13" fillId="0" borderId="0" xfId="0" applyNumberFormat="1" applyFont="1" applyBorder="1" applyAlignment="1" applyProtection="1">
      <alignment horizontal="left"/>
      <protection/>
    </xf>
    <xf numFmtId="2" fontId="102" fillId="0" borderId="0" xfId="0" applyNumberFormat="1" applyFont="1" applyBorder="1" applyAlignment="1" applyProtection="1">
      <alignment horizontal="center"/>
      <protection/>
    </xf>
    <xf numFmtId="168" fontId="98" fillId="0" borderId="0" xfId="0" applyNumberFormat="1" applyFont="1" applyBorder="1" applyAlignment="1" applyProtection="1" quotePrefix="1">
      <alignment horizontal="center"/>
      <protection/>
    </xf>
    <xf numFmtId="4" fontId="98" fillId="0" borderId="0" xfId="0" applyNumberFormat="1" applyFont="1" applyBorder="1" applyAlignment="1" applyProtection="1">
      <alignment horizontal="center"/>
      <protection/>
    </xf>
    <xf numFmtId="7" fontId="13" fillId="0" borderId="0" xfId="0" applyNumberFormat="1" applyFont="1" applyBorder="1" applyAlignment="1">
      <alignment horizontal="centerContinuous"/>
    </xf>
    <xf numFmtId="170" fontId="22" fillId="0" borderId="0" xfId="0" applyNumberFormat="1" applyFont="1" applyBorder="1" applyAlignment="1" applyProtection="1">
      <alignment horizontal="center"/>
      <protection/>
    </xf>
    <xf numFmtId="1" fontId="22" fillId="0" borderId="0" xfId="0" applyNumberFormat="1" applyFont="1" applyBorder="1" applyAlignment="1" applyProtection="1">
      <alignment horizontal="center"/>
      <protection/>
    </xf>
    <xf numFmtId="183" fontId="22" fillId="0" borderId="0" xfId="0" applyNumberFormat="1" applyFont="1" applyBorder="1" applyAlignment="1" applyProtection="1">
      <alignment horizontal="centerContinuous"/>
      <protection/>
    </xf>
    <xf numFmtId="183" fontId="55" fillId="0" borderId="0" xfId="0" applyNumberFormat="1" applyFont="1" applyBorder="1" applyAlignment="1" applyProtection="1">
      <alignment horizontal="centerContinuous"/>
      <protection/>
    </xf>
    <xf numFmtId="168" fontId="22" fillId="0" borderId="0" xfId="0" applyNumberFormat="1" applyFont="1" applyBorder="1" applyAlignment="1">
      <alignment/>
    </xf>
    <xf numFmtId="0" fontId="22" fillId="0" borderId="0" xfId="0" applyFont="1" applyAlignment="1">
      <alignment horizontal="centerContinuous"/>
    </xf>
    <xf numFmtId="168" fontId="22" fillId="0" borderId="0" xfId="0" applyNumberFormat="1" applyFont="1" applyBorder="1" applyAlignment="1" applyProtection="1">
      <alignment horizontal="centerContinuous"/>
      <protection/>
    </xf>
    <xf numFmtId="168" fontId="55" fillId="0" borderId="0" xfId="0" applyNumberFormat="1" applyFont="1" applyBorder="1" applyAlignment="1" applyProtection="1" quotePrefix="1">
      <alignment horizontal="right"/>
      <protection/>
    </xf>
    <xf numFmtId="7" fontId="22" fillId="0" borderId="49" xfId="0" applyNumberFormat="1" applyFont="1" applyBorder="1" applyAlignment="1">
      <alignment horizontal="centerContinuous"/>
    </xf>
    <xf numFmtId="7" fontId="22" fillId="0" borderId="0" xfId="0" applyNumberFormat="1" applyFont="1" applyBorder="1" applyAlignment="1">
      <alignment horizontal="right"/>
    </xf>
    <xf numFmtId="168" fontId="6" fillId="0" borderId="0" xfId="0" applyNumberFormat="1" applyFont="1" applyBorder="1" applyAlignment="1" applyProtection="1">
      <alignment horizontal="left"/>
      <protection/>
    </xf>
    <xf numFmtId="10" fontId="22" fillId="0" borderId="0" xfId="0" applyNumberFormat="1" applyFont="1" applyBorder="1" applyAlignment="1" applyProtection="1">
      <alignment horizontal="center"/>
      <protection/>
    </xf>
    <xf numFmtId="7" fontId="22" fillId="0" borderId="0" xfId="0" applyNumberFormat="1" applyFont="1" applyAlignment="1">
      <alignment horizontal="right"/>
    </xf>
    <xf numFmtId="0" fontId="22" fillId="0" borderId="0" xfId="0" applyFont="1" applyAlignment="1" quotePrefix="1">
      <alignment/>
    </xf>
    <xf numFmtId="168" fontId="22" fillId="0" borderId="0" xfId="0" applyNumberFormat="1" applyFont="1" applyBorder="1" applyAlignment="1" applyProtection="1" quotePrefix="1">
      <alignment horizontal="center"/>
      <protection/>
    </xf>
    <xf numFmtId="7" fontId="22" fillId="0" borderId="0" xfId="0" applyNumberFormat="1" applyFont="1" applyBorder="1" applyAlignment="1" applyProtection="1">
      <alignment horizontal="left"/>
      <protection/>
    </xf>
    <xf numFmtId="0" fontId="90" fillId="0" borderId="0" xfId="0" applyFont="1" applyAlignment="1" quotePrefix="1">
      <alignment/>
    </xf>
    <xf numFmtId="0" fontId="30" fillId="0" borderId="0" xfId="0" applyFont="1" applyAlignment="1">
      <alignment vertical="center"/>
    </xf>
    <xf numFmtId="0" fontId="23" fillId="0" borderId="7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left" vertical="center"/>
      <protection/>
    </xf>
    <xf numFmtId="0" fontId="30" fillId="0" borderId="0" xfId="0" applyFont="1" applyAlignment="1" quotePrefix="1">
      <alignment vertical="center"/>
    </xf>
    <xf numFmtId="0" fontId="23" fillId="0" borderId="0" xfId="0" applyFont="1" applyBorder="1" applyAlignment="1" applyProtection="1">
      <alignment horizontal="center" vertical="center"/>
      <protection/>
    </xf>
    <xf numFmtId="165" fontId="23" fillId="0" borderId="0" xfId="0" applyNumberFormat="1" applyFont="1" applyBorder="1" applyAlignment="1" applyProtection="1">
      <alignment horizontal="center" vertical="center"/>
      <protection/>
    </xf>
    <xf numFmtId="4" fontId="25" fillId="0" borderId="8" xfId="0" applyNumberFormat="1" applyFont="1" applyBorder="1" applyAlignment="1" applyProtection="1">
      <alignment horizontal="center" vertical="center"/>
      <protection/>
    </xf>
    <xf numFmtId="7" fontId="103" fillId="0" borderId="9" xfId="0" applyNumberFormat="1" applyFont="1" applyFill="1" applyBorder="1" applyAlignment="1">
      <alignment horizontal="center" vertical="center"/>
    </xf>
    <xf numFmtId="168" fontId="23" fillId="0" borderId="0" xfId="0" applyNumberFormat="1" applyFont="1" applyBorder="1" applyAlignment="1" applyProtection="1">
      <alignment horizontal="center" vertical="center"/>
      <protection/>
    </xf>
    <xf numFmtId="173" fontId="23" fillId="0" borderId="0" xfId="0" applyNumberFormat="1" applyFont="1" applyBorder="1" applyAlignment="1" applyProtection="1" quotePrefix="1">
      <alignment horizontal="center" vertical="center"/>
      <protection/>
    </xf>
    <xf numFmtId="2" fontId="104" fillId="0" borderId="0" xfId="0" applyNumberFormat="1" applyFont="1" applyBorder="1" applyAlignment="1" applyProtection="1">
      <alignment horizontal="center" vertical="center"/>
      <protection/>
    </xf>
    <xf numFmtId="168" fontId="105" fillId="0" borderId="0" xfId="0" applyNumberFormat="1" applyFont="1" applyBorder="1" applyAlignment="1" applyProtection="1" quotePrefix="1">
      <alignment horizontal="center" vertical="center"/>
      <protection/>
    </xf>
    <xf numFmtId="4" fontId="23" fillId="0" borderId="1" xfId="0" applyNumberFormat="1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/>
    </xf>
    <xf numFmtId="164" fontId="27" fillId="0" borderId="14" xfId="0" applyNumberFormat="1" applyFont="1" applyBorder="1" applyAlignment="1" applyProtection="1">
      <alignment horizontal="center" vertical="center" wrapText="1"/>
      <protection/>
    </xf>
    <xf numFmtId="168" fontId="91" fillId="16" borderId="14" xfId="0" applyNumberFormat="1" applyFont="1" applyFill="1" applyBorder="1" applyAlignment="1" applyProtection="1">
      <alignment horizontal="center" vertical="center"/>
      <protection/>
    </xf>
    <xf numFmtId="0" fontId="61" fillId="4" borderId="14" xfId="0" applyFont="1" applyFill="1" applyBorder="1" applyAlignment="1" applyProtection="1">
      <alignment horizontal="center" vertical="center"/>
      <protection/>
    </xf>
    <xf numFmtId="0" fontId="65" fillId="6" borderId="14" xfId="0" applyFont="1" applyFill="1" applyBorder="1" applyAlignment="1">
      <alignment horizontal="center" vertical="center" wrapText="1"/>
    </xf>
    <xf numFmtId="0" fontId="50" fillId="17" borderId="8" xfId="0" applyFont="1" applyFill="1" applyBorder="1" applyAlignment="1">
      <alignment horizontal="centerContinuous" vertical="center" wrapText="1"/>
    </xf>
    <xf numFmtId="0" fontId="106" fillId="17" borderId="15" xfId="0" applyFont="1" applyFill="1" applyBorder="1" applyAlignment="1">
      <alignment horizontal="centerContinuous"/>
    </xf>
    <xf numFmtId="0" fontId="50" fillId="17" borderId="9" xfId="0" applyFont="1" applyFill="1" applyBorder="1" applyAlignment="1">
      <alignment horizontal="centerContinuous" vertical="center"/>
    </xf>
    <xf numFmtId="7" fontId="10" fillId="0" borderId="17" xfId="0" applyNumberFormat="1" applyFont="1" applyBorder="1" applyAlignment="1">
      <alignment/>
    </xf>
    <xf numFmtId="0" fontId="92" fillId="16" borderId="2" xfId="0" applyFont="1" applyFill="1" applyBorder="1" applyAlignment="1">
      <alignment/>
    </xf>
    <xf numFmtId="0" fontId="62" fillId="4" borderId="2" xfId="0" applyFont="1" applyFill="1" applyBorder="1" applyAlignment="1">
      <alignment/>
    </xf>
    <xf numFmtId="0" fontId="107" fillId="3" borderId="2" xfId="0" applyFont="1" applyFill="1" applyBorder="1" applyAlignment="1">
      <alignment/>
    </xf>
    <xf numFmtId="0" fontId="66" fillId="6" borderId="4" xfId="0" applyFont="1" applyFill="1" applyBorder="1" applyAlignment="1">
      <alignment/>
    </xf>
    <xf numFmtId="168" fontId="9" fillId="2" borderId="25" xfId="0" applyNumberFormat="1" applyFont="1" applyFill="1" applyBorder="1" applyAlignment="1" applyProtection="1" quotePrefix="1">
      <alignment horizontal="center"/>
      <protection/>
    </xf>
    <xf numFmtId="168" fontId="9" fillId="2" borderId="27" xfId="0" applyNumberFormat="1" applyFont="1" applyFill="1" applyBorder="1" applyAlignment="1" applyProtection="1" quotePrefix="1">
      <alignment horizontal="center"/>
      <protection/>
    </xf>
    <xf numFmtId="4" fontId="9" fillId="2" borderId="4" xfId="0" applyNumberFormat="1" applyFont="1" applyFill="1" applyBorder="1" applyAlignment="1" applyProtection="1">
      <alignment horizontal="center"/>
      <protection/>
    </xf>
    <xf numFmtId="168" fontId="108" fillId="17" borderId="25" xfId="0" applyNumberFormat="1" applyFont="1" applyFill="1" applyBorder="1" applyAlignment="1" applyProtection="1" quotePrefix="1">
      <alignment horizontal="center"/>
      <protection/>
    </xf>
    <xf numFmtId="168" fontId="108" fillId="17" borderId="27" xfId="0" applyNumberFormat="1" applyFont="1" applyFill="1" applyBorder="1" applyAlignment="1" applyProtection="1" quotePrefix="1">
      <alignment horizontal="center"/>
      <protection/>
    </xf>
    <xf numFmtId="4" fontId="108" fillId="17" borderId="4" xfId="0" applyNumberFormat="1" applyFont="1" applyFill="1" applyBorder="1" applyAlignment="1" applyProtection="1">
      <alignment horizontal="center"/>
      <protection/>
    </xf>
    <xf numFmtId="0" fontId="92" fillId="16" borderId="2" xfId="0" applyFont="1" applyFill="1" applyBorder="1" applyAlignment="1" applyProtection="1">
      <alignment horizontal="center"/>
      <protection/>
    </xf>
    <xf numFmtId="174" fontId="62" fillId="4" borderId="2" xfId="0" applyNumberFormat="1" applyFont="1" applyFill="1" applyBorder="1" applyAlignment="1" applyProtection="1">
      <alignment horizontal="center"/>
      <protection/>
    </xf>
    <xf numFmtId="22" fontId="7" fillId="0" borderId="4" xfId="0" applyNumberFormat="1" applyFont="1" applyFill="1" applyBorder="1" applyAlignment="1" applyProtection="1">
      <alignment horizontal="center"/>
      <protection locked="0"/>
    </xf>
    <xf numFmtId="22" fontId="7" fillId="0" borderId="26" xfId="0" applyNumberFormat="1" applyFont="1" applyFill="1" applyBorder="1" applyAlignment="1" applyProtection="1">
      <alignment horizontal="center"/>
      <protection locked="0"/>
    </xf>
    <xf numFmtId="2" fontId="46" fillId="3" borderId="2" xfId="0" applyNumberFormat="1" applyFont="1" applyFill="1" applyBorder="1" applyAlignment="1" applyProtection="1">
      <alignment horizontal="center"/>
      <protection locked="0"/>
    </xf>
    <xf numFmtId="2" fontId="67" fillId="6" borderId="4" xfId="0" applyNumberFormat="1" applyFont="1" applyFill="1" applyBorder="1" applyAlignment="1" applyProtection="1">
      <alignment horizontal="center"/>
      <protection locked="0"/>
    </xf>
    <xf numFmtId="168" fontId="51" fillId="17" borderId="25" xfId="0" applyNumberFormat="1" applyFont="1" applyFill="1" applyBorder="1" applyAlignment="1" applyProtection="1" quotePrefix="1">
      <alignment horizontal="center"/>
      <protection locked="0"/>
    </xf>
    <xf numFmtId="168" fontId="51" fillId="17" borderId="27" xfId="0" applyNumberFormat="1" applyFont="1" applyFill="1" applyBorder="1" applyAlignment="1" applyProtection="1" quotePrefix="1">
      <alignment horizontal="center"/>
      <protection locked="0"/>
    </xf>
    <xf numFmtId="4" fontId="51" fillId="17" borderId="4" xfId="0" applyNumberFormat="1" applyFont="1" applyFill="1" applyBorder="1" applyAlignment="1" applyProtection="1">
      <alignment horizontal="center"/>
      <protection locked="0"/>
    </xf>
    <xf numFmtId="4" fontId="9" fillId="0" borderId="2" xfId="0" applyNumberFormat="1" applyFont="1" applyBorder="1" applyAlignment="1" applyProtection="1">
      <alignment horizontal="center"/>
      <protection locked="0"/>
    </xf>
    <xf numFmtId="2" fontId="7" fillId="0" borderId="1" xfId="0" applyNumberFormat="1" applyFont="1" applyFill="1" applyBorder="1" applyAlignment="1">
      <alignment horizontal="center"/>
    </xf>
    <xf numFmtId="0" fontId="7" fillId="0" borderId="2" xfId="21" applyFont="1" applyFill="1" applyBorder="1" applyAlignment="1" applyProtection="1">
      <alignment horizontal="center"/>
      <protection locked="0"/>
    </xf>
    <xf numFmtId="164" fontId="7" fillId="0" borderId="2" xfId="21" applyNumberFormat="1" applyFont="1" applyFill="1" applyBorder="1" applyAlignment="1" applyProtection="1">
      <alignment horizontal="center"/>
      <protection locked="0"/>
    </xf>
    <xf numFmtId="22" fontId="7" fillId="0" borderId="4" xfId="21" applyNumberFormat="1" applyFont="1" applyFill="1" applyBorder="1" applyAlignment="1" applyProtection="1">
      <alignment horizontal="center"/>
      <protection locked="0"/>
    </xf>
    <xf numFmtId="22" fontId="7" fillId="0" borderId="24" xfId="21" applyNumberFormat="1" applyFont="1" applyFill="1" applyBorder="1" applyAlignment="1" applyProtection="1">
      <alignment horizontal="center"/>
      <protection locked="0"/>
    </xf>
    <xf numFmtId="0" fontId="92" fillId="16" borderId="3" xfId="0" applyFont="1" applyFill="1" applyBorder="1" applyAlignment="1" applyProtection="1">
      <alignment horizontal="center"/>
      <protection/>
    </xf>
    <xf numFmtId="174" fontId="62" fillId="4" borderId="3" xfId="0" applyNumberFormat="1" applyFont="1" applyFill="1" applyBorder="1" applyAlignment="1" applyProtection="1">
      <alignment horizontal="center"/>
      <protection/>
    </xf>
    <xf numFmtId="2" fontId="107" fillId="3" borderId="3" xfId="0" applyNumberFormat="1" applyFont="1" applyFill="1" applyBorder="1" applyAlignment="1" applyProtection="1">
      <alignment horizontal="center"/>
      <protection locked="0"/>
    </xf>
    <xf numFmtId="2" fontId="67" fillId="6" borderId="3" xfId="0" applyNumberFormat="1" applyFont="1" applyFill="1" applyBorder="1" applyAlignment="1" applyProtection="1">
      <alignment horizontal="center"/>
      <protection locked="0"/>
    </xf>
    <xf numFmtId="168" fontId="51" fillId="17" borderId="28" xfId="0" applyNumberFormat="1" applyFont="1" applyFill="1" applyBorder="1" applyAlignment="1" applyProtection="1" quotePrefix="1">
      <alignment horizontal="center"/>
      <protection locked="0"/>
    </xf>
    <xf numFmtId="168" fontId="51" fillId="17" borderId="29" xfId="0" applyNumberFormat="1" applyFont="1" applyFill="1" applyBorder="1" applyAlignment="1" applyProtection="1" quotePrefix="1">
      <alignment horizontal="center"/>
      <protection locked="0"/>
    </xf>
    <xf numFmtId="4" fontId="51" fillId="17" borderId="30" xfId="0" applyNumberFormat="1" applyFont="1" applyFill="1" applyBorder="1" applyAlignment="1" applyProtection="1">
      <alignment horizontal="center"/>
      <protection locked="0"/>
    </xf>
    <xf numFmtId="4" fontId="9" fillId="0" borderId="3" xfId="0" applyNumberFormat="1" applyFont="1" applyBorder="1" applyAlignment="1" applyProtection="1">
      <alignment horizontal="center"/>
      <protection locked="0"/>
    </xf>
    <xf numFmtId="2" fontId="46" fillId="3" borderId="14" xfId="0" applyNumberFormat="1" applyFont="1" applyFill="1" applyBorder="1" applyAlignment="1" applyProtection="1">
      <alignment horizontal="center"/>
      <protection/>
    </xf>
    <xf numFmtId="2" fontId="67" fillId="6" borderId="14" xfId="0" applyNumberFormat="1" applyFont="1" applyFill="1" applyBorder="1" applyAlignment="1" applyProtection="1">
      <alignment horizontal="center"/>
      <protection/>
    </xf>
    <xf numFmtId="2" fontId="38" fillId="2" borderId="14" xfId="0" applyNumberFormat="1" applyFont="1" applyFill="1" applyBorder="1" applyAlignment="1" applyProtection="1">
      <alignment horizontal="center"/>
      <protection/>
    </xf>
    <xf numFmtId="2" fontId="51" fillId="17" borderId="14" xfId="0" applyNumberFormat="1" applyFont="1" applyFill="1" applyBorder="1" applyAlignment="1" applyProtection="1">
      <alignment horizontal="center"/>
      <protection/>
    </xf>
    <xf numFmtId="0" fontId="22" fillId="0" borderId="13" xfId="0" applyFont="1" applyBorder="1" applyAlignment="1">
      <alignment/>
    </xf>
    <xf numFmtId="182" fontId="22" fillId="0" borderId="5" xfId="0" applyNumberFormat="1" applyFont="1" applyBorder="1" applyAlignment="1">
      <alignment/>
    </xf>
    <xf numFmtId="182" fontId="24" fillId="0" borderId="0" xfId="0" applyNumberFormat="1" applyFont="1" applyBorder="1" applyAlignment="1">
      <alignment horizontal="centerContinuous"/>
    </xf>
    <xf numFmtId="182" fontId="7" fillId="0" borderId="0" xfId="0" applyNumberFormat="1" applyFont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0" fontId="92" fillId="0" borderId="17" xfId="0" applyFont="1" applyFill="1" applyBorder="1" applyAlignment="1">
      <alignment/>
    </xf>
    <xf numFmtId="0" fontId="62" fillId="0" borderId="17" xfId="0" applyFont="1" applyFill="1" applyBorder="1" applyAlignment="1">
      <alignment/>
    </xf>
    <xf numFmtId="0" fontId="107" fillId="0" borderId="17" xfId="0" applyFont="1" applyFill="1" applyBorder="1" applyAlignment="1">
      <alignment/>
    </xf>
    <xf numFmtId="0" fontId="66" fillId="0" borderId="17" xfId="0" applyFont="1" applyFill="1" applyBorder="1" applyAlignment="1">
      <alignment/>
    </xf>
    <xf numFmtId="0" fontId="7" fillId="0" borderId="35" xfId="0" applyFont="1" applyFill="1" applyBorder="1" applyAlignment="1">
      <alignment/>
    </xf>
    <xf numFmtId="0" fontId="7" fillId="0" borderId="58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0" fontId="108" fillId="0" borderId="35" xfId="0" applyFont="1" applyFill="1" applyBorder="1" applyAlignment="1">
      <alignment/>
    </xf>
    <xf numFmtId="0" fontId="108" fillId="0" borderId="58" xfId="0" applyFont="1" applyFill="1" applyBorder="1" applyAlignment="1">
      <alignment/>
    </xf>
    <xf numFmtId="0" fontId="108" fillId="0" borderId="36" xfId="0" applyFont="1" applyFill="1" applyBorder="1" applyAlignment="1">
      <alignment/>
    </xf>
    <xf numFmtId="0" fontId="74" fillId="0" borderId="17" xfId="0" applyFont="1" applyFill="1" applyBorder="1" applyAlignment="1">
      <alignment/>
    </xf>
    <xf numFmtId="0" fontId="75" fillId="0" borderId="17" xfId="0" applyFont="1" applyFill="1" applyBorder="1" applyAlignment="1">
      <alignment/>
    </xf>
    <xf numFmtId="22" fontId="7" fillId="0" borderId="17" xfId="0" applyNumberFormat="1" applyFont="1" applyFill="1" applyBorder="1" applyAlignment="1">
      <alignment/>
    </xf>
    <xf numFmtId="22" fontId="7" fillId="0" borderId="3" xfId="0" applyNumberFormat="1" applyFont="1" applyBorder="1" applyAlignment="1" applyProtection="1">
      <alignment horizontal="center"/>
      <protection locked="0"/>
    </xf>
    <xf numFmtId="0" fontId="15" fillId="0" borderId="0" xfId="0" applyFont="1" applyAlignment="1" quotePrefix="1">
      <alignment/>
    </xf>
    <xf numFmtId="170" fontId="7" fillId="0" borderId="3" xfId="0" applyNumberFormat="1" applyFont="1" applyBorder="1" applyAlignment="1" applyProtection="1">
      <alignment horizontal="center"/>
      <protection locked="0"/>
    </xf>
    <xf numFmtId="174" fontId="4" fillId="0" borderId="8" xfId="0" applyNumberFormat="1" applyFont="1" applyBorder="1" applyAlignment="1">
      <alignment horizontal="centerContinuous"/>
    </xf>
    <xf numFmtId="170" fontId="7" fillId="0" borderId="17" xfId="0" applyNumberFormat="1" applyFont="1" applyFill="1" applyBorder="1" applyAlignment="1">
      <alignment/>
    </xf>
    <xf numFmtId="170" fontId="7" fillId="0" borderId="2" xfId="0" applyNumberFormat="1" applyFont="1" applyBorder="1" applyAlignment="1">
      <alignment/>
    </xf>
    <xf numFmtId="170" fontId="7" fillId="0" borderId="2" xfId="0" applyNumberFormat="1" applyFont="1" applyFill="1" applyBorder="1" applyAlignment="1" applyProtection="1">
      <alignment horizontal="center"/>
      <protection locked="0"/>
    </xf>
    <xf numFmtId="170" fontId="7" fillId="0" borderId="2" xfId="21" applyNumberFormat="1" applyFont="1" applyFill="1" applyBorder="1" applyAlignment="1" applyProtection="1">
      <alignment horizontal="center"/>
      <protection locked="0"/>
    </xf>
    <xf numFmtId="170" fontId="7" fillId="0" borderId="2" xfId="0" applyNumberFormat="1" applyFont="1" applyBorder="1" applyAlignment="1" applyProtection="1">
      <alignment horizontal="center"/>
      <protection locked="0"/>
    </xf>
    <xf numFmtId="164" fontId="0" fillId="0" borderId="14" xfId="0" applyNumberFormat="1" applyFont="1" applyFill="1" applyBorder="1" applyAlignment="1" applyProtection="1">
      <alignment horizontal="center"/>
      <protection/>
    </xf>
    <xf numFmtId="174" fontId="0" fillId="0" borderId="14" xfId="0" applyNumberFormat="1" applyFont="1" applyBorder="1" applyAlignment="1">
      <alignment horizontal="center"/>
    </xf>
    <xf numFmtId="164" fontId="0" fillId="0" borderId="14" xfId="0" applyNumberFormat="1" applyFont="1" applyBorder="1" applyAlignment="1" applyProtection="1">
      <alignment horizontal="center"/>
      <protection/>
    </xf>
    <xf numFmtId="0" fontId="22" fillId="0" borderId="15" xfId="0" applyFont="1" applyBorder="1" applyAlignment="1">
      <alignment/>
    </xf>
    <xf numFmtId="0" fontId="7" fillId="0" borderId="9" xfId="0" applyFont="1" applyFill="1" applyBorder="1" applyAlignment="1" applyProtection="1">
      <alignment horizontal="center"/>
      <protection/>
    </xf>
    <xf numFmtId="0" fontId="22" fillId="0" borderId="9" xfId="0" applyFont="1" applyBorder="1" applyAlignment="1">
      <alignment horizontal="left"/>
    </xf>
    <xf numFmtId="4" fontId="7" fillId="0" borderId="14" xfId="0" applyNumberFormat="1" applyFont="1" applyFill="1" applyBorder="1" applyAlignment="1">
      <alignment horizontal="center"/>
    </xf>
    <xf numFmtId="0" fontId="27" fillId="0" borderId="14" xfId="0" applyFont="1" applyFill="1" applyBorder="1" applyAlignment="1" applyProtection="1" quotePrefix="1">
      <alignment horizontal="centerContinuous" vertical="center" wrapText="1"/>
      <protection/>
    </xf>
    <xf numFmtId="0" fontId="27" fillId="0" borderId="14" xfId="0" applyFont="1" applyFill="1" applyBorder="1" applyAlignment="1">
      <alignment horizontal="centerContinuous" vertical="center" wrapText="1"/>
    </xf>
    <xf numFmtId="164" fontId="7" fillId="0" borderId="22" xfId="0" applyNumberFormat="1" applyFont="1" applyFill="1" applyBorder="1" applyAlignment="1" applyProtection="1">
      <alignment horizontal="centerContinuous"/>
      <protection/>
    </xf>
    <xf numFmtId="168" fontId="55" fillId="0" borderId="0" xfId="0" applyNumberFormat="1" applyFont="1" applyBorder="1" applyAlignment="1" applyProtection="1">
      <alignment horizontal="left"/>
      <protection/>
    </xf>
    <xf numFmtId="183" fontId="0" fillId="0" borderId="0" xfId="0" applyNumberFormat="1" applyAlignment="1">
      <alignment/>
    </xf>
    <xf numFmtId="0" fontId="7" fillId="0" borderId="49" xfId="0" applyFont="1" applyFill="1" applyBorder="1" applyAlignment="1">
      <alignment horizontal="center"/>
    </xf>
    <xf numFmtId="164" fontId="7" fillId="0" borderId="4" xfId="0" applyNumberFormat="1" applyFont="1" applyFill="1" applyBorder="1" applyAlignment="1" applyProtection="1">
      <alignment horizontal="centerContinuous"/>
      <protection/>
    </xf>
    <xf numFmtId="0" fontId="7" fillId="0" borderId="24" xfId="0" applyFont="1" applyFill="1" applyBorder="1" applyAlignment="1">
      <alignment horizontal="center"/>
    </xf>
    <xf numFmtId="0" fontId="37" fillId="2" borderId="2" xfId="0" applyFont="1" applyFill="1" applyBorder="1" applyAlignment="1">
      <alignment horizontal="center"/>
    </xf>
    <xf numFmtId="0" fontId="44" fillId="14" borderId="2" xfId="0" applyFont="1" applyFill="1" applyBorder="1" applyAlignment="1">
      <alignment horizontal="center"/>
    </xf>
    <xf numFmtId="0" fontId="44" fillId="15" borderId="25" xfId="0" applyFont="1" applyFill="1" applyBorder="1" applyAlignment="1">
      <alignment horizontal="center"/>
    </xf>
    <xf numFmtId="0" fontId="44" fillId="15" borderId="50" xfId="0" applyFont="1" applyFill="1" applyBorder="1" applyAlignment="1">
      <alignment horizontal="left"/>
    </xf>
    <xf numFmtId="0" fontId="44" fillId="3" borderId="2" xfId="0" applyFont="1" applyFill="1" applyBorder="1" applyAlignment="1">
      <alignment horizontal="left"/>
    </xf>
    <xf numFmtId="183" fontId="22" fillId="0" borderId="0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1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42" xfId="0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/>
    </xf>
    <xf numFmtId="0" fontId="46" fillId="12" borderId="37" xfId="0" applyFont="1" applyFill="1" applyBorder="1" applyAlignment="1">
      <alignment horizontal="center"/>
    </xf>
    <xf numFmtId="0" fontId="46" fillId="12" borderId="38" xfId="0" applyFont="1" applyFill="1" applyBorder="1" applyAlignment="1">
      <alignment horizontal="center"/>
    </xf>
    <xf numFmtId="164" fontId="37" fillId="2" borderId="26" xfId="0" applyNumberFormat="1" applyFont="1" applyFill="1" applyBorder="1" applyAlignment="1" applyProtection="1">
      <alignment horizontal="center"/>
      <protection locked="0"/>
    </xf>
    <xf numFmtId="223" fontId="109" fillId="0" borderId="0" xfId="0" applyNumberFormat="1" applyFont="1" applyAlignment="1">
      <alignment/>
    </xf>
    <xf numFmtId="2" fontId="49" fillId="7" borderId="19" xfId="0" applyNumberFormat="1" applyFont="1" applyFill="1" applyBorder="1" applyAlignment="1" applyProtection="1">
      <alignment horizontal="center"/>
      <protection locked="0"/>
    </xf>
    <xf numFmtId="2" fontId="82" fillId="6" borderId="19" xfId="0" applyNumberFormat="1" applyFont="1" applyFill="1" applyBorder="1" applyAlignment="1">
      <alignment horizontal="center"/>
    </xf>
    <xf numFmtId="168" fontId="68" fillId="0" borderId="0" xfId="0" applyNumberFormat="1" applyFont="1" applyFill="1" applyBorder="1" applyAlignment="1">
      <alignment horizontal="center"/>
    </xf>
    <xf numFmtId="7" fontId="23" fillId="0" borderId="0" xfId="0" applyNumberFormat="1" applyFont="1" applyBorder="1" applyAlignment="1">
      <alignment/>
    </xf>
    <xf numFmtId="0" fontId="25" fillId="0" borderId="8" xfId="0" applyFont="1" applyBorder="1" applyAlignment="1">
      <alignment horizontal="center" vertical="center" wrapText="1"/>
    </xf>
    <xf numFmtId="7" fontId="25" fillId="0" borderId="15" xfId="0" applyNumberFormat="1" applyFont="1" applyBorder="1" applyAlignment="1">
      <alignment horizontal="center"/>
    </xf>
    <xf numFmtId="7" fontId="25" fillId="0" borderId="9" xfId="0" applyNumberFormat="1" applyFont="1" applyBorder="1" applyAlignment="1">
      <alignment horizontal="center" vertical="center"/>
    </xf>
    <xf numFmtId="0" fontId="7" fillId="0" borderId="53" xfId="0" applyFont="1" applyBorder="1" applyAlignment="1" applyProtection="1" quotePrefix="1">
      <alignment horizontal="center"/>
      <protection locked="0"/>
    </xf>
    <xf numFmtId="0" fontId="7" fillId="0" borderId="41" xfId="0" applyFont="1" applyBorder="1" applyAlignment="1" applyProtection="1" quotePrefix="1">
      <alignment horizontal="center"/>
      <protection locked="0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TRAN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533400</xdr:colOff>
      <xdr:row>0</xdr:row>
      <xdr:rowOff>0</xdr:rowOff>
    </xdr:from>
    <xdr:to>
      <xdr:col>0</xdr:col>
      <xdr:colOff>1009650</xdr:colOff>
      <xdr:row>3</xdr:row>
      <xdr:rowOff>19050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476250" cy="84772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9525</xdr:rowOff>
    </xdr:from>
    <xdr:to>
      <xdr:col>1</xdr:col>
      <xdr:colOff>257175</xdr:colOff>
      <xdr:row>2</xdr:row>
      <xdr:rowOff>371475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9525"/>
          <a:ext cx="514350" cy="8763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11</xdr:col>
      <xdr:colOff>47625</xdr:colOff>
      <xdr:row>17</xdr:row>
      <xdr:rowOff>9525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91525" y="3409950"/>
          <a:ext cx="2847975" cy="428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800100</xdr:colOff>
      <xdr:row>0</xdr:row>
      <xdr:rowOff>0</xdr:rowOff>
    </xdr:from>
    <xdr:to>
      <xdr:col>1</xdr:col>
      <xdr:colOff>266700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0"/>
          <a:ext cx="51435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819150</xdr:colOff>
      <xdr:row>0</xdr:row>
      <xdr:rowOff>0</xdr:rowOff>
    </xdr:from>
    <xdr:to>
      <xdr:col>1</xdr:col>
      <xdr:colOff>238125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0"/>
          <a:ext cx="4667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1000125</xdr:colOff>
      <xdr:row>0</xdr:row>
      <xdr:rowOff>0</xdr:rowOff>
    </xdr:from>
    <xdr:to>
      <xdr:col>1</xdr:col>
      <xdr:colOff>123825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" y="0"/>
          <a:ext cx="504825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942975</xdr:colOff>
      <xdr:row>0</xdr:row>
      <xdr:rowOff>0</xdr:rowOff>
    </xdr:from>
    <xdr:to>
      <xdr:col>1</xdr:col>
      <xdr:colOff>57150</xdr:colOff>
      <xdr:row>3</xdr:row>
      <xdr:rowOff>9525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0"/>
          <a:ext cx="495300" cy="8382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790575</xdr:colOff>
      <xdr:row>0</xdr:row>
      <xdr:rowOff>0</xdr:rowOff>
    </xdr:from>
    <xdr:to>
      <xdr:col>1</xdr:col>
      <xdr:colOff>247650</xdr:colOff>
      <xdr:row>3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504825" cy="9048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JIGLES~1\CONFIG~1\Temp\notesB91BDD\F0907NERco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OT-0907"/>
      <sheetName val="LI-09 (1)"/>
      <sheetName val="TR-09 (1)"/>
      <sheetName val="SA-09 (1)"/>
      <sheetName val="RE-09 (3)"/>
      <sheetName val="RE-09 (4)"/>
      <sheetName val="RE-09 (1)"/>
      <sheetName val="RE-09 (2)"/>
      <sheetName val="RE-YACY-09 (1)"/>
      <sheetName val="LI-LITSA-09 (1)"/>
      <sheetName val="TR-LITSA-09 (1)"/>
      <sheetName val="SA-TIBA-09 (1)"/>
      <sheetName val="SA-ENECOR-09 (1)"/>
      <sheetName val="SA-09 (2)"/>
      <sheetName val="SU (YACYLEC)"/>
      <sheetName val="SUP-LITSA"/>
      <sheetName val="SUP-TIBA"/>
      <sheetName val="SUP-ENECOR"/>
      <sheetName val="DATO"/>
    </sheetNames>
    <sheetDataSet>
      <sheetData sheetId="0">
        <row r="14">
          <cell r="B14" t="str">
            <v>Desde el 01 al 30 de septiembre de 2007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T49"/>
  <sheetViews>
    <sheetView tabSelected="1" zoomScale="75" zoomScaleNormal="75" workbookViewId="0" topLeftCell="A1">
      <selection activeCell="C2" sqref="C2"/>
    </sheetView>
  </sheetViews>
  <sheetFormatPr defaultColWidth="11.421875" defaultRowHeight="12.75"/>
  <cols>
    <col min="1" max="1" width="22.7109375" style="5" customWidth="1"/>
    <col min="2" max="2" width="7.7109375" style="5" customWidth="1"/>
    <col min="3" max="3" width="9.140625" style="5" customWidth="1"/>
    <col min="4" max="4" width="10.7109375" style="5" customWidth="1"/>
    <col min="5" max="5" width="9.57421875" style="5" customWidth="1"/>
    <col min="6" max="6" width="17.00390625" style="5" customWidth="1"/>
    <col min="7" max="7" width="19.8515625" style="5" customWidth="1"/>
    <col min="8" max="8" width="36.00390625" style="5" customWidth="1"/>
    <col min="9" max="9" width="20.28125" style="5" customWidth="1"/>
    <col min="10" max="10" width="30.57421875" style="5" bestFit="1" customWidth="1"/>
    <col min="11" max="11" width="12.28125" style="5" customWidth="1"/>
    <col min="12" max="12" width="15.7109375" style="5" customWidth="1"/>
    <col min="13" max="14" width="11.421875" style="5" customWidth="1"/>
    <col min="15" max="15" width="14.140625" style="5" customWidth="1"/>
    <col min="16" max="16" width="11.421875" style="5" customWidth="1"/>
    <col min="17" max="17" width="14.7109375" style="5" customWidth="1"/>
    <col min="18" max="18" width="11.421875" style="5" customWidth="1"/>
    <col min="19" max="19" width="12.00390625" style="5" customWidth="1"/>
    <col min="20" max="16384" width="11.421875" style="5" customWidth="1"/>
  </cols>
  <sheetData>
    <row r="1" spans="1:12" s="19" customFormat="1" ht="26.25">
      <c r="A1" s="719"/>
      <c r="B1" s="20"/>
      <c r="E1" s="55"/>
      <c r="L1" s="147"/>
    </row>
    <row r="2" spans="2:11" s="19" customFormat="1" ht="26.25">
      <c r="B2" s="20" t="s">
        <v>216</v>
      </c>
      <c r="C2" s="21"/>
      <c r="D2" s="22"/>
      <c r="E2" s="22"/>
      <c r="F2" s="22"/>
      <c r="G2" s="22"/>
      <c r="H2" s="22"/>
      <c r="I2" s="22"/>
      <c r="J2" s="22"/>
      <c r="K2" s="22"/>
    </row>
    <row r="3" spans="3:20" ht="12.75">
      <c r="C3"/>
      <c r="D3" s="23"/>
      <c r="E3" s="23"/>
      <c r="F3" s="23"/>
      <c r="G3" s="23"/>
      <c r="H3" s="23"/>
      <c r="I3" s="23"/>
      <c r="J3" s="23"/>
      <c r="K3" s="23"/>
      <c r="Q3" s="4"/>
      <c r="R3" s="4"/>
      <c r="S3" s="4"/>
      <c r="T3" s="4"/>
    </row>
    <row r="4" spans="1:20" s="26" customFormat="1" ht="11.25">
      <c r="A4" s="24" t="s">
        <v>1</v>
      </c>
      <c r="B4" s="25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s="26" customFormat="1" ht="11.25">
      <c r="A5" s="24" t="s">
        <v>2</v>
      </c>
      <c r="B5" s="25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2:20" s="19" customFormat="1" ht="11.25" customHeight="1">
      <c r="B6" s="28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</row>
    <row r="7" spans="2:20" s="30" customFormat="1" ht="21">
      <c r="B7" s="84" t="s">
        <v>47</v>
      </c>
      <c r="C7" s="174"/>
      <c r="D7" s="175"/>
      <c r="E7" s="175"/>
      <c r="F7" s="176"/>
      <c r="G7" s="176"/>
      <c r="H7" s="176"/>
      <c r="I7" s="176"/>
      <c r="J7" s="176"/>
      <c r="K7" s="176"/>
      <c r="L7" s="31"/>
      <c r="M7" s="31"/>
      <c r="N7" s="31"/>
      <c r="O7" s="31"/>
      <c r="P7" s="31"/>
      <c r="Q7" s="31"/>
      <c r="R7" s="31"/>
      <c r="S7" s="31"/>
      <c r="T7" s="31"/>
    </row>
    <row r="8" spans="9:20" ht="12.75"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</row>
    <row r="9" spans="2:20" s="30" customFormat="1" ht="21">
      <c r="B9" s="84" t="s">
        <v>46</v>
      </c>
      <c r="C9" s="174"/>
      <c r="D9" s="175"/>
      <c r="E9" s="175"/>
      <c r="F9" s="175"/>
      <c r="G9" s="175"/>
      <c r="H9" s="175"/>
      <c r="I9" s="176"/>
      <c r="J9" s="176"/>
      <c r="K9" s="176"/>
      <c r="L9" s="31"/>
      <c r="M9" s="31"/>
      <c r="N9" s="31"/>
      <c r="O9" s="31"/>
      <c r="P9" s="31"/>
      <c r="Q9" s="31"/>
      <c r="R9" s="31"/>
      <c r="S9" s="31"/>
      <c r="T9" s="31"/>
    </row>
    <row r="10" spans="4:20" ht="12.75">
      <c r="D10" s="32"/>
      <c r="E10" s="32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</row>
    <row r="11" spans="2:20" s="30" customFormat="1" ht="20.25">
      <c r="B11" s="84" t="s">
        <v>192</v>
      </c>
      <c r="C11" s="177"/>
      <c r="D11" s="178"/>
      <c r="E11" s="178"/>
      <c r="F11" s="175"/>
      <c r="G11" s="175"/>
      <c r="H11" s="175"/>
      <c r="I11" s="176"/>
      <c r="J11" s="176"/>
      <c r="K11" s="176"/>
      <c r="L11" s="31"/>
      <c r="M11" s="31"/>
      <c r="N11" s="31"/>
      <c r="O11" s="31"/>
      <c r="P11" s="31"/>
      <c r="Q11" s="31"/>
      <c r="R11" s="31"/>
      <c r="S11" s="31"/>
      <c r="T11" s="31"/>
    </row>
    <row r="12" spans="4:20" s="33" customFormat="1" ht="16.5" thickBot="1">
      <c r="D12" s="3"/>
      <c r="E12" s="3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</row>
    <row r="13" spans="2:20" s="33" customFormat="1" ht="16.5" thickTop="1">
      <c r="B13" s="699"/>
      <c r="C13" s="35"/>
      <c r="D13" s="35"/>
      <c r="E13" s="700"/>
      <c r="F13" s="35"/>
      <c r="G13" s="35"/>
      <c r="H13" s="35"/>
      <c r="I13" s="35"/>
      <c r="J13" s="35"/>
      <c r="K13" s="36"/>
      <c r="L13" s="34"/>
      <c r="M13" s="34"/>
      <c r="N13" s="34"/>
      <c r="O13" s="34"/>
      <c r="P13" s="34"/>
      <c r="Q13" s="34"/>
      <c r="R13" s="34"/>
      <c r="S13" s="34"/>
      <c r="T13" s="34"/>
    </row>
    <row r="14" spans="2:20" s="37" customFormat="1" ht="19.5">
      <c r="B14" s="38" t="s">
        <v>106</v>
      </c>
      <c r="C14" s="39"/>
      <c r="D14" s="40"/>
      <c r="E14" s="701"/>
      <c r="F14" s="41"/>
      <c r="G14" s="41"/>
      <c r="H14" s="41"/>
      <c r="I14" s="42"/>
      <c r="J14" s="42"/>
      <c r="K14" s="43"/>
      <c r="L14" s="44"/>
      <c r="M14" s="44"/>
      <c r="N14" s="44"/>
      <c r="O14" s="44"/>
      <c r="P14" s="44"/>
      <c r="Q14" s="44"/>
      <c r="R14" s="44"/>
      <c r="S14" s="44"/>
      <c r="T14" s="44"/>
    </row>
    <row r="15" spans="2:20" s="37" customFormat="1" ht="13.5" customHeight="1">
      <c r="B15" s="45"/>
      <c r="C15" s="46"/>
      <c r="D15" s="168"/>
      <c r="E15" s="172"/>
      <c r="F15" s="47"/>
      <c r="G15" s="47"/>
      <c r="H15" s="47"/>
      <c r="I15" s="44"/>
      <c r="J15" s="44"/>
      <c r="K15" s="48"/>
      <c r="L15" s="44"/>
      <c r="M15" s="44"/>
      <c r="N15" s="44"/>
      <c r="O15" s="44"/>
      <c r="P15" s="44"/>
      <c r="Q15" s="44"/>
      <c r="R15" s="44"/>
      <c r="S15" s="44"/>
      <c r="T15" s="44"/>
    </row>
    <row r="16" spans="2:20" s="37" customFormat="1" ht="19.5">
      <c r="B16" s="45"/>
      <c r="C16" s="49" t="s">
        <v>3</v>
      </c>
      <c r="D16" s="168" t="s">
        <v>0</v>
      </c>
      <c r="E16" s="172"/>
      <c r="F16" s="47"/>
      <c r="G16" s="47"/>
      <c r="H16" s="47"/>
      <c r="I16" s="50"/>
      <c r="J16" s="50" t="s">
        <v>212</v>
      </c>
      <c r="K16" s="48"/>
      <c r="L16" s="44"/>
      <c r="M16" s="44"/>
      <c r="N16" s="44"/>
      <c r="O16" s="44"/>
      <c r="P16" s="44"/>
      <c r="Q16" s="44"/>
      <c r="R16" s="44"/>
      <c r="S16" s="44"/>
      <c r="T16" s="44"/>
    </row>
    <row r="17" spans="2:20" s="37" customFormat="1" ht="19.5">
      <c r="B17" s="45"/>
      <c r="C17" s="49"/>
      <c r="D17" s="168">
        <v>11</v>
      </c>
      <c r="E17" s="169" t="s">
        <v>4</v>
      </c>
      <c r="F17" s="47"/>
      <c r="G17" s="47"/>
      <c r="H17" s="47"/>
      <c r="I17" s="50">
        <f>'LI-09 (1)'!AC42</f>
        <v>15391.32</v>
      </c>
      <c r="J17" s="50">
        <f>'LI-09 (1)'!AD42</f>
        <v>10015.75032540361</v>
      </c>
      <c r="K17" s="48"/>
      <c r="L17" s="44"/>
      <c r="M17" s="44"/>
      <c r="N17" s="44"/>
      <c r="O17" s="44"/>
      <c r="P17" s="44"/>
      <c r="Q17" s="44"/>
      <c r="R17" s="44"/>
      <c r="S17" s="44"/>
      <c r="T17" s="44"/>
    </row>
    <row r="18" spans="2:20" s="37" customFormat="1" ht="19.5">
      <c r="B18" s="45"/>
      <c r="C18" s="49"/>
      <c r="D18" s="168">
        <v>12</v>
      </c>
      <c r="E18" s="169" t="s">
        <v>204</v>
      </c>
      <c r="F18" s="47"/>
      <c r="G18" s="47"/>
      <c r="H18" s="47"/>
      <c r="I18" s="50">
        <f>Incendio!AC24</f>
        <v>2753.05</v>
      </c>
      <c r="J18" s="50">
        <f>Incendio!AD24</f>
        <v>1791.5215714267047</v>
      </c>
      <c r="K18" s="48"/>
      <c r="L18" s="44"/>
      <c r="M18" s="44"/>
      <c r="N18" s="44"/>
      <c r="O18" s="44"/>
      <c r="P18" s="44"/>
      <c r="Q18" s="44"/>
      <c r="R18" s="44"/>
      <c r="S18" s="44"/>
      <c r="T18" s="44"/>
    </row>
    <row r="19" spans="2:20" ht="12.75" customHeight="1">
      <c r="B19" s="51"/>
      <c r="C19" s="52"/>
      <c r="D19" s="168"/>
      <c r="E19" s="702"/>
      <c r="F19" s="53"/>
      <c r="G19" s="53"/>
      <c r="H19" s="53"/>
      <c r="I19" s="54"/>
      <c r="J19" s="54"/>
      <c r="K19" s="6"/>
      <c r="L19" s="4"/>
      <c r="M19" s="4"/>
      <c r="N19" s="4"/>
      <c r="O19" s="4"/>
      <c r="P19" s="4"/>
      <c r="Q19" s="4"/>
      <c r="R19" s="4"/>
      <c r="S19" s="4"/>
      <c r="T19" s="4"/>
    </row>
    <row r="20" spans="2:20" s="37" customFormat="1" ht="19.5">
      <c r="B20" s="45"/>
      <c r="C20" s="49" t="s">
        <v>5</v>
      </c>
      <c r="D20" s="171" t="s">
        <v>6</v>
      </c>
      <c r="E20" s="172"/>
      <c r="F20" s="47"/>
      <c r="G20" s="47"/>
      <c r="H20" s="47"/>
      <c r="I20" s="50"/>
      <c r="J20" s="50"/>
      <c r="K20" s="48"/>
      <c r="L20" s="44"/>
      <c r="M20" s="44"/>
      <c r="N20" s="44"/>
      <c r="O20" s="44"/>
      <c r="P20" s="44"/>
      <c r="Q20" s="44"/>
      <c r="R20" s="44"/>
      <c r="S20" s="44"/>
      <c r="T20" s="44"/>
    </row>
    <row r="21" spans="2:20" s="37" customFormat="1" ht="19.5">
      <c r="B21" s="45"/>
      <c r="C21" s="49"/>
      <c r="D21" s="168">
        <v>21</v>
      </c>
      <c r="E21" s="169" t="s">
        <v>7</v>
      </c>
      <c r="F21" s="47"/>
      <c r="G21" s="47"/>
      <c r="H21" s="47"/>
      <c r="I21" s="50"/>
      <c r="J21" s="50"/>
      <c r="K21" s="48"/>
      <c r="L21" s="44"/>
      <c r="M21" s="44"/>
      <c r="N21" s="44"/>
      <c r="O21" s="44"/>
      <c r="P21" s="44"/>
      <c r="Q21" s="44"/>
      <c r="R21" s="44"/>
      <c r="S21" s="44"/>
      <c r="T21" s="44"/>
    </row>
    <row r="22" spans="2:20" s="37" customFormat="1" ht="19.5">
      <c r="B22" s="45"/>
      <c r="C22" s="49"/>
      <c r="D22" s="168"/>
      <c r="E22" s="170">
        <v>211</v>
      </c>
      <c r="F22" s="55" t="s">
        <v>4</v>
      </c>
      <c r="G22" s="47"/>
      <c r="H22" s="47"/>
      <c r="I22" s="50">
        <f>'TR-09 (1)'!AA42</f>
        <v>161631.4</v>
      </c>
      <c r="J22" s="50">
        <f>'TR-09 (1)'!AB42</f>
        <v>105180.07027398699</v>
      </c>
      <c r="K22" s="48"/>
      <c r="L22" s="760"/>
      <c r="M22" s="44"/>
      <c r="N22" s="44"/>
      <c r="O22" s="44"/>
      <c r="P22" s="44"/>
      <c r="Q22" s="44"/>
      <c r="R22" s="44"/>
      <c r="S22" s="44"/>
      <c r="T22" s="44"/>
    </row>
    <row r="23" spans="2:20" s="37" customFormat="1" ht="19.5">
      <c r="B23" s="45"/>
      <c r="C23" s="49"/>
      <c r="D23" s="168">
        <v>22</v>
      </c>
      <c r="E23" s="169" t="s">
        <v>8</v>
      </c>
      <c r="F23" s="47"/>
      <c r="G23" s="47"/>
      <c r="H23" s="47"/>
      <c r="I23" s="50"/>
      <c r="J23" s="50"/>
      <c r="K23" s="48"/>
      <c r="L23" s="44"/>
      <c r="M23" s="44"/>
      <c r="N23" s="44"/>
      <c r="O23" s="44"/>
      <c r="P23" s="44"/>
      <c r="Q23" s="44"/>
      <c r="R23" s="44"/>
      <c r="S23" s="44"/>
      <c r="T23" s="44"/>
    </row>
    <row r="24" spans="2:20" s="37" customFormat="1" ht="19.5">
      <c r="B24" s="45"/>
      <c r="C24" s="49"/>
      <c r="D24" s="168"/>
      <c r="E24" s="170">
        <v>221</v>
      </c>
      <c r="F24" s="55" t="s">
        <v>4</v>
      </c>
      <c r="G24" s="47"/>
      <c r="H24" s="47"/>
      <c r="I24" s="50">
        <f>'SA-09 (2)'!T45</f>
        <v>121016.6</v>
      </c>
      <c r="J24" s="50">
        <f>'SA-09 (2)'!U45</f>
        <v>78750.38079721914</v>
      </c>
      <c r="K24" s="48"/>
      <c r="L24" s="44"/>
      <c r="M24" s="44"/>
      <c r="N24" s="44"/>
      <c r="O24" s="44"/>
      <c r="P24" s="44"/>
      <c r="Q24" s="44"/>
      <c r="R24" s="44"/>
      <c r="S24" s="44"/>
      <c r="T24" s="44"/>
    </row>
    <row r="25" spans="2:20" ht="12.75" customHeight="1">
      <c r="B25" s="51"/>
      <c r="C25" s="52"/>
      <c r="D25" s="168"/>
      <c r="E25" s="702"/>
      <c r="F25" s="53"/>
      <c r="G25" s="53"/>
      <c r="H25" s="53"/>
      <c r="I25" s="54"/>
      <c r="J25" s="54"/>
      <c r="K25" s="6"/>
      <c r="L25" s="4"/>
      <c r="M25" s="4"/>
      <c r="N25" s="4"/>
      <c r="O25" s="4"/>
      <c r="P25" s="4"/>
      <c r="Q25" s="4"/>
      <c r="R25" s="4"/>
      <c r="S25" s="4"/>
      <c r="T25" s="4"/>
    </row>
    <row r="26" spans="2:20" s="37" customFormat="1" ht="19.5">
      <c r="B26" s="45"/>
      <c r="C26" s="49" t="s">
        <v>9</v>
      </c>
      <c r="D26" s="171" t="s">
        <v>49</v>
      </c>
      <c r="E26" s="172"/>
      <c r="F26" s="47"/>
      <c r="G26" s="47"/>
      <c r="H26" s="47"/>
      <c r="I26" s="50"/>
      <c r="J26" s="50"/>
      <c r="K26" s="48"/>
      <c r="L26" s="44"/>
      <c r="M26" s="44"/>
      <c r="N26" s="44"/>
      <c r="O26" s="44"/>
      <c r="P26" s="44"/>
      <c r="Q26" s="44"/>
      <c r="R26" s="44"/>
      <c r="S26" s="44"/>
      <c r="T26" s="44"/>
    </row>
    <row r="27" spans="2:20" s="37" customFormat="1" ht="19.5">
      <c r="B27" s="45"/>
      <c r="C27" s="49"/>
      <c r="D27" s="168">
        <v>31</v>
      </c>
      <c r="E27" s="169" t="s">
        <v>4</v>
      </c>
      <c r="F27" s="47"/>
      <c r="G27" s="47"/>
      <c r="H27" s="47"/>
      <c r="I27" s="50">
        <f>'RE-09 (2)'!V51</f>
        <v>70595.89</v>
      </c>
      <c r="J27" s="50">
        <f>'RE-09 (2)'!W51</f>
        <v>45939.59233612859</v>
      </c>
      <c r="K27" s="48"/>
      <c r="L27" s="44"/>
      <c r="M27" s="44"/>
      <c r="N27" s="44"/>
      <c r="O27" s="44"/>
      <c r="P27" s="44"/>
      <c r="Q27" s="44"/>
      <c r="R27" s="44"/>
      <c r="S27" s="44"/>
      <c r="T27" s="44"/>
    </row>
    <row r="28" spans="2:20" s="37" customFormat="1" ht="19.5">
      <c r="B28" s="45"/>
      <c r="C28" s="49"/>
      <c r="D28" s="168">
        <v>32</v>
      </c>
      <c r="E28" s="169" t="s">
        <v>48</v>
      </c>
      <c r="F28" s="47"/>
      <c r="G28" s="47"/>
      <c r="H28" s="47"/>
      <c r="I28" s="50">
        <f>'RE-YACY-09 (1)'!Q39</f>
        <v>3785.4379999999996</v>
      </c>
      <c r="J28" s="50">
        <f>I28</f>
        <v>3785.4379999999996</v>
      </c>
      <c r="K28" s="48"/>
      <c r="L28" s="44"/>
      <c r="M28" s="44"/>
      <c r="N28" s="44"/>
      <c r="O28" s="44"/>
      <c r="P28" s="44"/>
      <c r="Q28" s="44"/>
      <c r="R28" s="44"/>
      <c r="S28" s="44"/>
      <c r="T28" s="44"/>
    </row>
    <row r="29" spans="2:20" s="37" customFormat="1" ht="12.75" customHeight="1">
      <c r="B29" s="45"/>
      <c r="C29" s="49"/>
      <c r="D29" s="168"/>
      <c r="E29" s="169"/>
      <c r="F29" s="47"/>
      <c r="G29" s="47"/>
      <c r="H29" s="47"/>
      <c r="I29" s="50"/>
      <c r="J29" s="50"/>
      <c r="K29" s="48"/>
      <c r="L29" s="44"/>
      <c r="M29" s="44"/>
      <c r="N29" s="44"/>
      <c r="O29" s="44"/>
      <c r="P29" s="44"/>
      <c r="Q29" s="44"/>
      <c r="R29" s="44"/>
      <c r="S29" s="44"/>
      <c r="T29" s="44"/>
    </row>
    <row r="30" spans="2:20" s="37" customFormat="1" ht="19.5">
      <c r="B30" s="45"/>
      <c r="C30" s="49" t="s">
        <v>50</v>
      </c>
      <c r="D30" s="171" t="s">
        <v>51</v>
      </c>
      <c r="E30" s="172"/>
      <c r="F30" s="47"/>
      <c r="G30" s="47"/>
      <c r="H30" s="47"/>
      <c r="I30" s="50"/>
      <c r="J30" s="50"/>
      <c r="K30" s="48"/>
      <c r="L30" s="44"/>
      <c r="M30" s="44"/>
      <c r="N30" s="44"/>
      <c r="O30" s="44"/>
      <c r="P30" s="44"/>
      <c r="Q30" s="44"/>
      <c r="R30" s="44"/>
      <c r="S30" s="44"/>
      <c r="T30" s="44"/>
    </row>
    <row r="31" spans="2:20" s="37" customFormat="1" ht="19.5">
      <c r="B31" s="45"/>
      <c r="C31" s="49"/>
      <c r="D31" s="168">
        <v>41</v>
      </c>
      <c r="E31" s="169" t="s">
        <v>48</v>
      </c>
      <c r="F31" s="47"/>
      <c r="G31" s="47"/>
      <c r="H31" s="47"/>
      <c r="I31" s="50">
        <f>'SU (YACYLEC)'!K49</f>
        <v>17.268747260257875</v>
      </c>
      <c r="J31" s="50">
        <f>I31</f>
        <v>17.268747260257875</v>
      </c>
      <c r="K31" s="48"/>
      <c r="L31" s="44"/>
      <c r="M31" s="44"/>
      <c r="N31" s="44"/>
      <c r="O31" s="44"/>
      <c r="P31" s="44"/>
      <c r="Q31" s="44"/>
      <c r="R31" s="44"/>
      <c r="S31" s="44"/>
      <c r="T31" s="44"/>
    </row>
    <row r="32" spans="2:20" s="37" customFormat="1" ht="20.25" thickBot="1">
      <c r="B32" s="45"/>
      <c r="C32" s="46"/>
      <c r="D32" s="168"/>
      <c r="E32" s="172"/>
      <c r="F32" s="47"/>
      <c r="G32" s="47"/>
      <c r="H32" s="47"/>
      <c r="I32" s="44"/>
      <c r="J32" s="44"/>
      <c r="K32" s="48"/>
      <c r="L32" s="44"/>
      <c r="M32" s="44"/>
      <c r="N32" s="44"/>
      <c r="O32" s="44"/>
      <c r="P32" s="44"/>
      <c r="Q32" s="44"/>
      <c r="R32" s="44"/>
      <c r="S32" s="44"/>
      <c r="T32" s="44"/>
    </row>
    <row r="33" spans="2:20" s="37" customFormat="1" ht="20.25" thickBot="1" thickTop="1">
      <c r="B33" s="45"/>
      <c r="C33" s="49"/>
      <c r="D33" s="49"/>
      <c r="H33" s="56" t="s">
        <v>10</v>
      </c>
      <c r="I33" s="762">
        <f>SUM(I16:I31)</f>
        <v>375190.9667472603</v>
      </c>
      <c r="J33" s="57">
        <f>SUM(J17:J31)</f>
        <v>245480.02205142527</v>
      </c>
      <c r="K33" s="48"/>
      <c r="L33" s="44"/>
      <c r="M33" s="44"/>
      <c r="N33" s="44"/>
      <c r="O33" s="44"/>
      <c r="P33" s="44"/>
      <c r="Q33" s="44"/>
      <c r="R33" s="44"/>
      <c r="S33" s="44"/>
      <c r="T33" s="44"/>
    </row>
    <row r="34" spans="2:20" s="37" customFormat="1" ht="39" thickBot="1" thickTop="1">
      <c r="B34" s="45"/>
      <c r="C34" s="49"/>
      <c r="D34" s="49"/>
      <c r="H34" s="761" t="s">
        <v>213</v>
      </c>
      <c r="I34" s="762"/>
      <c r="J34" s="763">
        <v>260390.3265887325</v>
      </c>
      <c r="K34" s="48"/>
      <c r="L34" s="44"/>
      <c r="M34" s="44"/>
      <c r="N34" s="44"/>
      <c r="O34" s="44"/>
      <c r="P34" s="44"/>
      <c r="Q34" s="44"/>
      <c r="R34" s="44"/>
      <c r="S34" s="44"/>
      <c r="T34" s="44"/>
    </row>
    <row r="35" spans="2:20" s="37" customFormat="1" ht="20.25" thickBot="1" thickTop="1">
      <c r="B35" s="45"/>
      <c r="C35" s="49"/>
      <c r="D35" s="49"/>
      <c r="H35" s="761" t="s">
        <v>214</v>
      </c>
      <c r="I35" s="762"/>
      <c r="J35" s="57">
        <f>+J33-J34</f>
        <v>-14910.304537307238</v>
      </c>
      <c r="K35" s="48"/>
      <c r="L35" s="44"/>
      <c r="M35" s="44"/>
      <c r="N35" s="44"/>
      <c r="O35" s="44"/>
      <c r="P35" s="44"/>
      <c r="Q35" s="44"/>
      <c r="R35" s="44"/>
      <c r="S35" s="44"/>
      <c r="T35" s="44"/>
    </row>
    <row r="36" spans="2:20" s="37" customFormat="1" ht="9.75" customHeight="1" thickTop="1">
      <c r="B36" s="45"/>
      <c r="C36" s="49"/>
      <c r="D36" s="49"/>
      <c r="F36" s="167"/>
      <c r="G36" s="127"/>
      <c r="H36" s="127"/>
      <c r="K36" s="48"/>
      <c r="L36" s="44"/>
      <c r="M36" s="44"/>
      <c r="N36" s="44"/>
      <c r="O36" s="44"/>
      <c r="P36" s="44"/>
      <c r="Q36" s="44"/>
      <c r="R36" s="44"/>
      <c r="S36" s="44"/>
      <c r="T36" s="44"/>
    </row>
    <row r="37" spans="2:20" s="37" customFormat="1" ht="18.75">
      <c r="B37" s="45"/>
      <c r="C37" s="173" t="s">
        <v>191</v>
      </c>
      <c r="D37" s="49"/>
      <c r="F37" s="167"/>
      <c r="G37" s="127"/>
      <c r="H37" s="127"/>
      <c r="K37" s="48"/>
      <c r="L37" s="44"/>
      <c r="M37" s="44"/>
      <c r="N37" s="44"/>
      <c r="O37" s="44"/>
      <c r="P37" s="44"/>
      <c r="Q37" s="44"/>
      <c r="R37" s="44"/>
      <c r="S37" s="44"/>
      <c r="T37" s="44"/>
    </row>
    <row r="38" spans="2:20" s="33" customFormat="1" ht="10.5" customHeight="1" thickBot="1">
      <c r="B38" s="58"/>
      <c r="C38" s="59"/>
      <c r="D38" s="59"/>
      <c r="E38" s="60"/>
      <c r="F38" s="60"/>
      <c r="G38" s="60"/>
      <c r="H38" s="60"/>
      <c r="I38" s="60"/>
      <c r="J38" s="60"/>
      <c r="K38" s="61"/>
      <c r="L38" s="34"/>
      <c r="M38" s="34"/>
      <c r="N38" s="62"/>
      <c r="O38" s="63"/>
      <c r="P38" s="63"/>
      <c r="Q38" s="64"/>
      <c r="R38" s="65"/>
      <c r="S38" s="34"/>
      <c r="T38" s="34"/>
    </row>
    <row r="39" spans="4:20" ht="13.5" thickTop="1">
      <c r="D39" s="4"/>
      <c r="F39" s="4"/>
      <c r="G39" s="4"/>
      <c r="H39" s="4"/>
      <c r="I39" s="4"/>
      <c r="J39" s="4"/>
      <c r="K39" s="4"/>
      <c r="L39" s="4"/>
      <c r="M39" s="4"/>
      <c r="N39" s="15"/>
      <c r="O39" s="66"/>
      <c r="P39" s="66"/>
      <c r="Q39" s="4"/>
      <c r="R39" s="67"/>
      <c r="S39" s="4"/>
      <c r="T39" s="4"/>
    </row>
    <row r="40" spans="4:20" ht="12.75">
      <c r="D40" s="4"/>
      <c r="F40" s="4"/>
      <c r="G40" s="4"/>
      <c r="H40" s="4"/>
      <c r="I40" s="4"/>
      <c r="J40" s="4"/>
      <c r="K40" s="4"/>
      <c r="L40" s="4"/>
      <c r="M40" s="4"/>
      <c r="N40" s="4"/>
      <c r="O40" s="68"/>
      <c r="P40" s="68"/>
      <c r="Q40" s="69"/>
      <c r="R40" s="67"/>
      <c r="S40" s="4"/>
      <c r="T40" s="4"/>
    </row>
    <row r="41" spans="4:20" ht="12.75"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68"/>
      <c r="P41" s="68"/>
      <c r="Q41" s="69"/>
      <c r="R41" s="67"/>
      <c r="S41" s="4"/>
      <c r="T41" s="4"/>
    </row>
    <row r="42" spans="4:20" ht="12.75">
      <c r="D42" s="4"/>
      <c r="E42" s="4"/>
      <c r="M42" s="4"/>
      <c r="N42" s="4"/>
      <c r="O42" s="4"/>
      <c r="P42" s="4"/>
      <c r="Q42" s="4"/>
      <c r="R42" s="4"/>
      <c r="S42" s="4"/>
      <c r="T42" s="4"/>
    </row>
    <row r="43" spans="4:20" ht="12.75">
      <c r="D43" s="4"/>
      <c r="E43" s="4"/>
      <c r="Q43" s="4"/>
      <c r="R43" s="4"/>
      <c r="S43" s="4"/>
      <c r="T43" s="4"/>
    </row>
    <row r="44" spans="4:20" ht="12.75">
      <c r="D44" s="4"/>
      <c r="E44" s="4"/>
      <c r="Q44" s="4"/>
      <c r="R44" s="4"/>
      <c r="S44" s="4"/>
      <c r="T44" s="4"/>
    </row>
    <row r="45" spans="4:20" ht="12.75">
      <c r="D45" s="4"/>
      <c r="E45" s="4"/>
      <c r="Q45" s="4"/>
      <c r="R45" s="4"/>
      <c r="S45" s="4"/>
      <c r="T45" s="4"/>
    </row>
    <row r="46" spans="4:20" ht="12.75">
      <c r="D46" s="4"/>
      <c r="E46" s="4"/>
      <c r="Q46" s="4"/>
      <c r="R46" s="4"/>
      <c r="S46" s="4"/>
      <c r="T46" s="4"/>
    </row>
    <row r="47" spans="4:20" ht="12.75">
      <c r="D47" s="4"/>
      <c r="E47" s="4"/>
      <c r="Q47" s="4"/>
      <c r="R47" s="4"/>
      <c r="S47" s="4"/>
      <c r="T47" s="4"/>
    </row>
    <row r="48" spans="17:20" ht="12.75">
      <c r="Q48" s="4"/>
      <c r="R48" s="4"/>
      <c r="S48" s="4"/>
      <c r="T48" s="4"/>
    </row>
    <row r="49" spans="17:20" ht="12.75">
      <c r="Q49" s="4"/>
      <c r="R49" s="4"/>
      <c r="S49" s="4"/>
      <c r="T49" s="4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8" r:id="rId2"/>
  <headerFooter alignWithMargins="0">
    <oddFooter>&amp;L&amp;"Times New Roman,Normal"&amp;8&amp;F-&amp;A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26">
    <pageSetUpPr fitToPage="1"/>
  </sheetPr>
  <dimension ref="A1:AG95"/>
  <sheetViews>
    <sheetView zoomScale="75" zoomScaleNormal="75" workbookViewId="0" topLeftCell="C1">
      <selection activeCell="J41" sqref="J4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0.00390625" style="0" customWidth="1"/>
    <col min="5" max="5" width="23.7109375" style="0" customWidth="1"/>
    <col min="6" max="6" width="10.8515625" style="0" customWidth="1"/>
    <col min="7" max="7" width="25.140625" style="0" customWidth="1"/>
    <col min="8" max="8" width="13.8515625" style="0" hidden="1" customWidth="1"/>
    <col min="9" max="9" width="18.7109375" style="0" hidden="1" customWidth="1"/>
    <col min="10" max="10" width="25.57421875" style="0" customWidth="1"/>
    <col min="11" max="11" width="16.421875" style="0" customWidth="1"/>
    <col min="12" max="13" width="10.7109375" style="0" customWidth="1"/>
    <col min="14" max="14" width="9.00390625" style="0" customWidth="1"/>
    <col min="15" max="15" width="9.8515625" style="0" customWidth="1"/>
    <col min="16" max="16" width="6.00390625" style="0" customWidth="1"/>
    <col min="17" max="17" width="6.7109375" style="0" customWidth="1"/>
    <col min="18" max="18" width="13.140625" style="0" hidden="1" customWidth="1"/>
    <col min="19" max="19" width="12.421875" style="0" hidden="1" customWidth="1"/>
    <col min="20" max="20" width="17.57421875" style="0" hidden="1" customWidth="1"/>
    <col min="21" max="21" width="14.8515625" style="0" hidden="1" customWidth="1"/>
    <col min="22" max="22" width="20.7109375" style="0" hidden="1" customWidth="1"/>
    <col min="23" max="23" width="15.7109375" style="0" hidden="1" customWidth="1"/>
    <col min="24" max="24" width="17.7109375" style="0" hidden="1" customWidth="1"/>
    <col min="25" max="25" width="12.8515625" style="0" hidden="1" customWidth="1"/>
    <col min="26" max="26" width="14.28125" style="0" hidden="1" customWidth="1"/>
    <col min="27" max="27" width="24.28125" style="0" hidden="1" customWidth="1"/>
    <col min="28" max="28" width="13.57421875" style="0" customWidth="1"/>
    <col min="29" max="30" width="15.7109375" style="0" customWidth="1"/>
    <col min="31" max="31" width="4.140625" style="0" customWidth="1"/>
    <col min="32" max="32" width="7.140625" style="0" customWidth="1"/>
    <col min="33" max="33" width="5.28125" style="0" customWidth="1"/>
    <col min="34" max="34" width="5.421875" style="0" customWidth="1"/>
    <col min="35" max="35" width="4.7109375" style="0" customWidth="1"/>
    <col min="36" max="36" width="5.28125" style="0" customWidth="1"/>
    <col min="37" max="38" width="13.28125" style="0" customWidth="1"/>
    <col min="39" max="39" width="6.57421875" style="0" customWidth="1"/>
    <col min="40" max="40" width="6.421875" style="0" customWidth="1"/>
    <col min="45" max="45" width="12.7109375" style="0" customWidth="1"/>
    <col min="49" max="49" width="21.00390625" style="0" customWidth="1"/>
  </cols>
  <sheetData>
    <row r="1" spans="1:30" ht="13.5">
      <c r="A1" s="89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AD1" s="147"/>
    </row>
    <row r="2" spans="1:23" ht="27" customHeight="1">
      <c r="A2" s="8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30" s="530" customFormat="1" ht="30.75">
      <c r="A3" s="527"/>
      <c r="B3" s="528" t="str">
        <f>'TOT-0907'!B2</f>
        <v>ANEXO V al Memorandum D.T.E.E. N°  719/2011</v>
      </c>
      <c r="C3" s="529"/>
      <c r="D3" s="529"/>
      <c r="E3" s="529"/>
      <c r="F3" s="529"/>
      <c r="G3" s="529"/>
      <c r="H3" s="529"/>
      <c r="I3" s="529"/>
      <c r="J3" s="529"/>
      <c r="K3" s="529"/>
      <c r="L3" s="529"/>
      <c r="M3" s="529"/>
      <c r="N3" s="529"/>
      <c r="O3" s="529"/>
      <c r="P3" s="529"/>
      <c r="Q3" s="529"/>
      <c r="R3" s="529"/>
      <c r="S3" s="529"/>
      <c r="T3" s="529"/>
      <c r="U3" s="529"/>
      <c r="V3" s="529"/>
      <c r="W3" s="529"/>
      <c r="AB3" s="529"/>
      <c r="AC3" s="529"/>
      <c r="AD3" s="529"/>
    </row>
    <row r="4" spans="1:2" s="26" customFormat="1" ht="11.25">
      <c r="A4" s="24" t="s">
        <v>1</v>
      </c>
      <c r="B4" s="24"/>
    </row>
    <row r="5" spans="1:2" s="26" customFormat="1" ht="11.25">
      <c r="A5" s="24" t="s">
        <v>2</v>
      </c>
      <c r="B5" s="24"/>
    </row>
    <row r="6" s="26" customFormat="1" ht="12" thickBot="1">
      <c r="A6" s="24"/>
    </row>
    <row r="7" spans="1:30" ht="16.5" customHeight="1" thickTop="1">
      <c r="A7" s="5"/>
      <c r="B7" s="70"/>
      <c r="C7" s="71"/>
      <c r="D7" s="71"/>
      <c r="E7" s="243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183"/>
      <c r="X7" s="183"/>
      <c r="Y7" s="183"/>
      <c r="Z7" s="183"/>
      <c r="AA7" s="183"/>
      <c r="AB7" s="183"/>
      <c r="AC7" s="183"/>
      <c r="AD7" s="93"/>
    </row>
    <row r="8" spans="1:30" ht="20.25">
      <c r="A8" s="5"/>
      <c r="B8" s="51"/>
      <c r="C8" s="4"/>
      <c r="D8" s="179" t="s">
        <v>77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8"/>
      <c r="Q8" s="78"/>
      <c r="R8" s="4"/>
      <c r="S8" s="4"/>
      <c r="T8" s="4"/>
      <c r="U8" s="4"/>
      <c r="V8" s="4"/>
      <c r="AD8" s="18"/>
    </row>
    <row r="9" spans="1:30" ht="16.5" customHeight="1">
      <c r="A9" s="5"/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AD9" s="18"/>
    </row>
    <row r="10" spans="2:30" s="37" customFormat="1" ht="20.25">
      <c r="B10" s="45"/>
      <c r="C10" s="44"/>
      <c r="D10" s="179" t="s">
        <v>78</v>
      </c>
      <c r="E10" s="44"/>
      <c r="F10" s="44"/>
      <c r="G10" s="44"/>
      <c r="H10" s="44"/>
      <c r="N10" s="44"/>
      <c r="O10" s="44"/>
      <c r="P10" s="244"/>
      <c r="Q10" s="244"/>
      <c r="R10" s="44"/>
      <c r="S10" s="44"/>
      <c r="T10" s="44"/>
      <c r="U10" s="44"/>
      <c r="V10" s="44"/>
      <c r="W10"/>
      <c r="X10" s="44"/>
      <c r="Y10" s="44"/>
      <c r="Z10" s="44"/>
      <c r="AA10" s="44"/>
      <c r="AB10" s="44"/>
      <c r="AC10"/>
      <c r="AD10" s="245"/>
    </row>
    <row r="11" spans="1:30" ht="16.5" customHeight="1">
      <c r="A11" s="5"/>
      <c r="B11" s="5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AD11" s="18"/>
    </row>
    <row r="12" spans="2:30" s="37" customFormat="1" ht="20.25">
      <c r="B12" s="45"/>
      <c r="C12" s="44"/>
      <c r="D12" s="179" t="s">
        <v>79</v>
      </c>
      <c r="E12" s="44"/>
      <c r="F12" s="44"/>
      <c r="G12" s="44"/>
      <c r="H12" s="44"/>
      <c r="N12" s="44"/>
      <c r="O12" s="44"/>
      <c r="P12" s="244"/>
      <c r="Q12" s="244"/>
      <c r="R12" s="44"/>
      <c r="S12" s="44"/>
      <c r="T12" s="44"/>
      <c r="U12" s="44"/>
      <c r="V12" s="44"/>
      <c r="W12"/>
      <c r="X12" s="44"/>
      <c r="Y12" s="44"/>
      <c r="Z12" s="44"/>
      <c r="AA12" s="44"/>
      <c r="AB12" s="44"/>
      <c r="AC12"/>
      <c r="AD12" s="245"/>
    </row>
    <row r="13" spans="1:30" ht="16.5" customHeight="1">
      <c r="A13" s="5"/>
      <c r="B13" s="51"/>
      <c r="C13" s="4"/>
      <c r="D13" s="4"/>
      <c r="E13" s="5"/>
      <c r="F13" s="5"/>
      <c r="G13" s="5"/>
      <c r="H13" s="5"/>
      <c r="I13" s="73"/>
      <c r="J13" s="73"/>
      <c r="K13" s="73"/>
      <c r="L13" s="73"/>
      <c r="M13" s="73"/>
      <c r="N13" s="73"/>
      <c r="O13" s="73"/>
      <c r="P13" s="73"/>
      <c r="Q13" s="73"/>
      <c r="R13" s="4"/>
      <c r="S13" s="4"/>
      <c r="T13" s="4"/>
      <c r="U13" s="4"/>
      <c r="V13" s="4"/>
      <c r="AD13" s="18"/>
    </row>
    <row r="14" spans="2:30" s="37" customFormat="1" ht="19.5">
      <c r="B14" s="38" t="str">
        <f>'TOT-0907'!B14</f>
        <v>Desde el 01 al 30 de septiembre de 2007</v>
      </c>
      <c r="C14" s="39"/>
      <c r="D14" s="41"/>
      <c r="E14" s="41"/>
      <c r="F14" s="41"/>
      <c r="G14" s="41"/>
      <c r="H14" s="41"/>
      <c r="I14" s="42"/>
      <c r="J14" s="177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128"/>
      <c r="V14" s="128"/>
      <c r="W14"/>
      <c r="X14" s="531"/>
      <c r="Y14" s="531"/>
      <c r="Z14" s="531"/>
      <c r="AA14" s="531"/>
      <c r="AB14" s="128"/>
      <c r="AC14" s="177"/>
      <c r="AD14" s="43"/>
    </row>
    <row r="15" spans="1:30" ht="16.5" customHeight="1">
      <c r="A15" s="5"/>
      <c r="B15" s="51"/>
      <c r="C15" s="4"/>
      <c r="D15" s="4"/>
      <c r="E15" s="67"/>
      <c r="F15" s="67"/>
      <c r="G15" s="4"/>
      <c r="H15" s="4"/>
      <c r="I15" s="4"/>
      <c r="J15" s="532"/>
      <c r="K15" s="4"/>
      <c r="L15" s="4"/>
      <c r="M15" s="4"/>
      <c r="N15" s="5"/>
      <c r="O15" s="5"/>
      <c r="P15" s="4"/>
      <c r="Q15" s="4"/>
      <c r="R15" s="4"/>
      <c r="S15" s="4"/>
      <c r="T15" s="4"/>
      <c r="U15" s="4"/>
      <c r="V15" s="4"/>
      <c r="AD15" s="18"/>
    </row>
    <row r="16" spans="1:30" ht="16.5" customHeight="1">
      <c r="A16" s="5"/>
      <c r="B16" s="51"/>
      <c r="C16" s="4"/>
      <c r="D16" s="4"/>
      <c r="E16" s="67"/>
      <c r="F16" s="67"/>
      <c r="G16" s="4"/>
      <c r="H16" s="4"/>
      <c r="I16" s="146"/>
      <c r="J16" s="4"/>
      <c r="K16" s="1"/>
      <c r="M16" s="4"/>
      <c r="N16" s="5"/>
      <c r="O16" s="5"/>
      <c r="P16" s="4"/>
      <c r="Q16" s="4"/>
      <c r="R16" s="4"/>
      <c r="S16" s="4"/>
      <c r="T16" s="4"/>
      <c r="U16" s="4"/>
      <c r="V16" s="4"/>
      <c r="AD16" s="18"/>
    </row>
    <row r="17" spans="1:30" ht="16.5" customHeight="1">
      <c r="A17" s="5"/>
      <c r="B17" s="51"/>
      <c r="C17" s="4"/>
      <c r="D17" s="4"/>
      <c r="E17" s="67"/>
      <c r="F17" s="67"/>
      <c r="G17" s="4"/>
      <c r="H17" s="4"/>
      <c r="I17" s="146"/>
      <c r="J17" s="4"/>
      <c r="K17" s="1"/>
      <c r="M17" s="4"/>
      <c r="N17" s="5"/>
      <c r="O17" s="5"/>
      <c r="P17" s="4"/>
      <c r="Q17" s="4"/>
      <c r="R17" s="4"/>
      <c r="S17" s="4"/>
      <c r="T17" s="4"/>
      <c r="U17" s="4"/>
      <c r="V17" s="4"/>
      <c r="AD17" s="18"/>
    </row>
    <row r="18" spans="1:30" ht="16.5" customHeight="1" thickBot="1">
      <c r="A18" s="5"/>
      <c r="B18" s="51"/>
      <c r="C18" s="167" t="s">
        <v>80</v>
      </c>
      <c r="D18" s="55" t="s">
        <v>81</v>
      </c>
      <c r="E18" s="67"/>
      <c r="F18" s="67"/>
      <c r="G18" s="4"/>
      <c r="H18" s="4"/>
      <c r="I18" s="4"/>
      <c r="J18" s="532"/>
      <c r="K18" s="4"/>
      <c r="L18" s="4"/>
      <c r="M18" s="4"/>
      <c r="N18" s="5"/>
      <c r="O18" s="5"/>
      <c r="P18" s="4"/>
      <c r="Q18" s="4"/>
      <c r="R18" s="4"/>
      <c r="S18" s="4"/>
      <c r="T18" s="4"/>
      <c r="U18" s="4"/>
      <c r="V18" s="4"/>
      <c r="AD18" s="18"/>
    </row>
    <row r="19" spans="2:30" s="33" customFormat="1" ht="16.5" customHeight="1" thickBot="1" thickTop="1">
      <c r="B19" s="533"/>
      <c r="C19" s="34"/>
      <c r="D19" s="118" t="s">
        <v>182</v>
      </c>
      <c r="E19" s="730"/>
      <c r="F19" s="304">
        <v>89.969</v>
      </c>
      <c r="G19" s="539"/>
      <c r="H19" s="34"/>
      <c r="I19" s="34"/>
      <c r="J19" s="537"/>
      <c r="K19" s="34"/>
      <c r="L19" s="34"/>
      <c r="M19" s="34"/>
      <c r="P19" s="34"/>
      <c r="Q19" s="34"/>
      <c r="R19" s="34"/>
      <c r="S19" s="34"/>
      <c r="T19" s="34"/>
      <c r="U19" s="34"/>
      <c r="V19" s="34"/>
      <c r="W19"/>
      <c r="AD19" s="538"/>
    </row>
    <row r="20" spans="2:30" s="33" customFormat="1" ht="16.5" customHeight="1" thickBot="1" thickTop="1">
      <c r="B20" s="533"/>
      <c r="C20" s="34"/>
      <c r="D20" s="302" t="s">
        <v>60</v>
      </c>
      <c r="E20" s="731"/>
      <c r="F20" s="304">
        <v>0.245</v>
      </c>
      <c r="G20" s="539"/>
      <c r="H20" s="34"/>
      <c r="I20" s="34"/>
      <c r="J20" s="540"/>
      <c r="K20" s="541" t="s">
        <v>39</v>
      </c>
      <c r="L20" s="633">
        <v>0.0065</v>
      </c>
      <c r="R20" s="34"/>
      <c r="S20" s="34"/>
      <c r="T20" s="34"/>
      <c r="U20" s="34"/>
      <c r="V20" s="34"/>
      <c r="W20"/>
      <c r="AD20" s="538"/>
    </row>
    <row r="21" spans="2:30" s="33" customFormat="1" ht="16.5" customHeight="1" thickBot="1" thickTop="1">
      <c r="B21" s="533"/>
      <c r="C21" s="34"/>
      <c r="D21" s="302" t="s">
        <v>183</v>
      </c>
      <c r="E21" s="732"/>
      <c r="F21" s="733">
        <v>5678157</v>
      </c>
      <c r="G21" s="542"/>
      <c r="H21" s="34"/>
      <c r="I21" s="34"/>
      <c r="J21" s="34"/>
      <c r="K21" s="534" t="s">
        <v>37</v>
      </c>
      <c r="L21" s="536">
        <v>720</v>
      </c>
      <c r="M21" s="34" t="s">
        <v>38</v>
      </c>
      <c r="N21" s="34"/>
      <c r="O21" s="249"/>
      <c r="P21" s="250"/>
      <c r="Q21" s="4"/>
      <c r="R21" s="34"/>
      <c r="S21" s="34"/>
      <c r="T21" s="34"/>
      <c r="U21" s="34"/>
      <c r="V21" s="34"/>
      <c r="W21"/>
      <c r="AD21" s="538"/>
    </row>
    <row r="22" spans="2:30" s="33" customFormat="1" ht="16.5" customHeight="1" thickTop="1">
      <c r="B22" s="533"/>
      <c r="C22" s="34"/>
      <c r="D22" s="34"/>
      <c r="E22" s="543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/>
      <c r="AD22" s="538"/>
    </row>
    <row r="23" spans="1:30" ht="16.5" customHeight="1">
      <c r="A23" s="5"/>
      <c r="B23" s="51"/>
      <c r="C23" s="167" t="s">
        <v>82</v>
      </c>
      <c r="D23" s="3" t="s">
        <v>96</v>
      </c>
      <c r="I23" s="4"/>
      <c r="J23" s="33"/>
      <c r="O23" s="4"/>
      <c r="P23" s="4"/>
      <c r="Q23" s="4"/>
      <c r="R23" s="4"/>
      <c r="S23" s="4"/>
      <c r="T23" s="4"/>
      <c r="V23" s="4"/>
      <c r="X23" s="4"/>
      <c r="Y23" s="4"/>
      <c r="Z23" s="4"/>
      <c r="AA23" s="4"/>
      <c r="AB23" s="4"/>
      <c r="AC23" s="4"/>
      <c r="AD23" s="18"/>
    </row>
    <row r="24" spans="1:30" ht="10.5" customHeight="1" thickBot="1">
      <c r="A24" s="5"/>
      <c r="B24" s="51"/>
      <c r="C24" s="67"/>
      <c r="D24" s="3"/>
      <c r="I24" s="4"/>
      <c r="J24" s="33"/>
      <c r="O24" s="4"/>
      <c r="P24" s="4"/>
      <c r="Q24" s="4"/>
      <c r="R24" s="4"/>
      <c r="S24" s="4"/>
      <c r="T24" s="4"/>
      <c r="V24" s="4"/>
      <c r="X24" s="4"/>
      <c r="Y24" s="4"/>
      <c r="Z24" s="4"/>
      <c r="AA24" s="4"/>
      <c r="AB24" s="4"/>
      <c r="AC24" s="4"/>
      <c r="AD24" s="18"/>
    </row>
    <row r="25" spans="2:30" s="33" customFormat="1" ht="16.5" customHeight="1" thickBot="1" thickTop="1">
      <c r="B25" s="533"/>
      <c r="C25" s="536"/>
      <c r="D25"/>
      <c r="E25"/>
      <c r="F25"/>
      <c r="G25"/>
      <c r="H25"/>
      <c r="I25"/>
      <c r="J25" s="544" t="s">
        <v>42</v>
      </c>
      <c r="K25" s="545">
        <f>F21*L20</f>
        <v>36908.0205</v>
      </c>
      <c r="L25"/>
      <c r="S25"/>
      <c r="T25"/>
      <c r="U25"/>
      <c r="W25"/>
      <c r="AD25" s="538"/>
    </row>
    <row r="26" spans="2:30" s="33" customFormat="1" ht="11.25" customHeight="1" thickTop="1">
      <c r="B26" s="533"/>
      <c r="C26" s="536"/>
      <c r="D26" s="34"/>
      <c r="E26" s="543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/>
      <c r="W26"/>
      <c r="AD26" s="538"/>
    </row>
    <row r="27" spans="1:30" ht="16.5" customHeight="1">
      <c r="A27" s="5"/>
      <c r="B27" s="51"/>
      <c r="C27" s="167" t="s">
        <v>83</v>
      </c>
      <c r="D27" s="3" t="s">
        <v>97</v>
      </c>
      <c r="E27" s="251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AD27" s="18"/>
    </row>
    <row r="28" spans="1:30" ht="21.75" customHeight="1" thickBot="1">
      <c r="A28" s="5"/>
      <c r="B28" s="51"/>
      <c r="C28" s="4"/>
      <c r="D28" s="4"/>
      <c r="E28" s="251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AD28" s="18"/>
    </row>
    <row r="29" spans="1:30" ht="13.5" customHeight="1" thickBot="1" thickTop="1">
      <c r="A29" s="33"/>
      <c r="B29" s="51"/>
      <c r="C29" s="536"/>
      <c r="D29" s="536"/>
      <c r="E29" s="546"/>
      <c r="F29" s="543"/>
      <c r="G29" s="547"/>
      <c r="H29" s="547"/>
      <c r="I29" s="548"/>
      <c r="J29" s="548"/>
      <c r="K29" s="548"/>
      <c r="L29" s="548"/>
      <c r="M29" s="548"/>
      <c r="N29" s="548"/>
      <c r="O29" s="549"/>
      <c r="P29" s="548"/>
      <c r="Q29" s="548"/>
      <c r="R29" s="550"/>
      <c r="S29" s="551"/>
      <c r="T29" s="552"/>
      <c r="U29" s="552"/>
      <c r="V29" s="552"/>
      <c r="W29" s="550"/>
      <c r="X29" s="550"/>
      <c r="Y29" s="550"/>
      <c r="Z29" s="550"/>
      <c r="AA29" s="550"/>
      <c r="AB29" s="553"/>
      <c r="AC29" s="554"/>
      <c r="AD29" s="273"/>
    </row>
    <row r="30" spans="1:33" s="5" customFormat="1" ht="33.75" customHeight="1" thickBot="1" thickTop="1">
      <c r="A30" s="89"/>
      <c r="B30" s="94"/>
      <c r="C30" s="125" t="s">
        <v>12</v>
      </c>
      <c r="D30" s="121" t="s">
        <v>26</v>
      </c>
      <c r="E30" s="120" t="s">
        <v>27</v>
      </c>
      <c r="F30" s="734" t="s">
        <v>28</v>
      </c>
      <c r="G30" s="735"/>
      <c r="H30" s="137" t="s">
        <v>15</v>
      </c>
      <c r="I30" s="555"/>
      <c r="J30" s="120" t="s">
        <v>16</v>
      </c>
      <c r="K30" s="120" t="s">
        <v>17</v>
      </c>
      <c r="L30" s="121" t="s">
        <v>29</v>
      </c>
      <c r="M30" s="121" t="s">
        <v>30</v>
      </c>
      <c r="N30" s="88" t="s">
        <v>84</v>
      </c>
      <c r="O30" s="120" t="s">
        <v>31</v>
      </c>
      <c r="P30" s="556" t="s">
        <v>32</v>
      </c>
      <c r="Q30" s="557"/>
      <c r="R30" s="137" t="s">
        <v>33</v>
      </c>
      <c r="S30" s="558" t="s">
        <v>19</v>
      </c>
      <c r="T30" s="559" t="s">
        <v>85</v>
      </c>
      <c r="U30" s="560"/>
      <c r="V30" s="561" t="s">
        <v>21</v>
      </c>
      <c r="W30" s="562"/>
      <c r="X30" s="563"/>
      <c r="Y30" s="563"/>
      <c r="Z30" s="563"/>
      <c r="AA30" s="564"/>
      <c r="AB30" s="140" t="s">
        <v>58</v>
      </c>
      <c r="AC30" s="123" t="s">
        <v>22</v>
      </c>
      <c r="AD30" s="18"/>
      <c r="AF30"/>
      <c r="AG30"/>
    </row>
    <row r="31" spans="1:30" ht="16.5" customHeight="1" thickTop="1">
      <c r="A31" s="5"/>
      <c r="B31" s="51"/>
      <c r="C31" s="10"/>
      <c r="D31" s="10"/>
      <c r="E31" s="10"/>
      <c r="F31" s="568"/>
      <c r="G31" s="736"/>
      <c r="H31" s="565"/>
      <c r="I31" s="566"/>
      <c r="J31" s="10"/>
      <c r="K31" s="10"/>
      <c r="L31" s="10"/>
      <c r="M31" s="10"/>
      <c r="N31" s="10"/>
      <c r="O31" s="567"/>
      <c r="P31" s="568"/>
      <c r="Q31" s="569"/>
      <c r="R31" s="141"/>
      <c r="S31" s="570"/>
      <c r="T31" s="571"/>
      <c r="U31" s="572"/>
      <c r="V31" s="573"/>
      <c r="W31" s="574"/>
      <c r="X31" s="575"/>
      <c r="Y31" s="575"/>
      <c r="Z31" s="575"/>
      <c r="AA31" s="576"/>
      <c r="AB31" s="567"/>
      <c r="AC31" s="577"/>
      <c r="AD31" s="18"/>
    </row>
    <row r="32" spans="1:30" ht="16.5" customHeight="1">
      <c r="A32" s="5"/>
      <c r="B32" s="51"/>
      <c r="C32" s="10"/>
      <c r="D32" s="567"/>
      <c r="E32" s="739"/>
      <c r="F32" s="568"/>
      <c r="G32" s="740"/>
      <c r="H32" s="565"/>
      <c r="I32" s="566"/>
      <c r="J32" s="10"/>
      <c r="K32" s="741"/>
      <c r="L32" s="10"/>
      <c r="M32" s="10"/>
      <c r="N32" s="10"/>
      <c r="O32" s="567"/>
      <c r="P32" s="568"/>
      <c r="Q32" s="569"/>
      <c r="R32" s="742"/>
      <c r="S32" s="743"/>
      <c r="T32" s="744"/>
      <c r="U32" s="745"/>
      <c r="V32" s="746"/>
      <c r="W32" s="574"/>
      <c r="X32" s="575"/>
      <c r="Y32" s="575"/>
      <c r="Z32" s="575"/>
      <c r="AA32" s="576"/>
      <c r="AB32" s="567"/>
      <c r="AC32" s="577"/>
      <c r="AD32" s="18"/>
    </row>
    <row r="33" spans="1:30" ht="16.5" customHeight="1" thickBot="1">
      <c r="A33" s="5"/>
      <c r="B33" s="51"/>
      <c r="C33" s="10" t="s">
        <v>105</v>
      </c>
      <c r="D33" s="158" t="s">
        <v>139</v>
      </c>
      <c r="E33" s="158" t="s">
        <v>187</v>
      </c>
      <c r="F33" s="764">
        <v>80</v>
      </c>
      <c r="G33" s="765"/>
      <c r="H33" s="579">
        <f>F33*$F$20</f>
        <v>19.6</v>
      </c>
      <c r="I33" s="580"/>
      <c r="J33" s="217">
        <v>39345.35486111111</v>
      </c>
      <c r="K33" s="218">
        <v>39345.39861111111</v>
      </c>
      <c r="L33" s="331">
        <f>IF(D33="","",(K33-J33)*24)</f>
        <v>1.0499999999301508</v>
      </c>
      <c r="M33" s="14">
        <f>IF(D33="","",(K33-J33)*24*60)</f>
        <v>62.99999999580905</v>
      </c>
      <c r="N33" s="13" t="s">
        <v>109</v>
      </c>
      <c r="O33" s="8" t="str">
        <f>IF(D33="","",IF(N33="P","--","NO"))</f>
        <v>--</v>
      </c>
      <c r="P33" s="581" t="str">
        <f>IF(D33="","","NO")</f>
        <v>NO</v>
      </c>
      <c r="Q33" s="582"/>
      <c r="R33" s="583">
        <f>200*IF(P33="SI",1,0.1)*IF(N33="P",0.1,1)</f>
        <v>2</v>
      </c>
      <c r="S33" s="584">
        <f>IF(N33="P",H33*R33*ROUND(M33/60,2),"--")</f>
        <v>41.160000000000004</v>
      </c>
      <c r="T33" s="585" t="str">
        <f>IF(AND(N33="F",O33="NO"),H33*R33,"--")</f>
        <v>--</v>
      </c>
      <c r="U33" s="586" t="str">
        <f>IF(N33="F",H33*R33*ROUND(M33/60,2),"--")</f>
        <v>--</v>
      </c>
      <c r="V33" s="420" t="str">
        <f>IF(N33="RF",H33*R33*ROUND(M33/60,2),"--")</f>
        <v>--</v>
      </c>
      <c r="W33" s="587"/>
      <c r="X33" s="588"/>
      <c r="Y33" s="588"/>
      <c r="Z33" s="588"/>
      <c r="AA33" s="589"/>
      <c r="AB33" s="341" t="str">
        <f>IF(D33="","","SI")</f>
        <v>SI</v>
      </c>
      <c r="AC33" s="342">
        <f>IF(D33="","",SUM(S33:V33)*IF(AB33="SI",1,2))</f>
        <v>41.160000000000004</v>
      </c>
      <c r="AD33" s="18"/>
    </row>
    <row r="34" spans="1:30" ht="16.5" customHeight="1" thickBot="1" thickTop="1">
      <c r="A34" s="33"/>
      <c r="B34" s="51"/>
      <c r="C34" s="97"/>
      <c r="D34" s="251"/>
      <c r="E34" s="251"/>
      <c r="F34" s="457"/>
      <c r="G34" s="590"/>
      <c r="H34" s="591"/>
      <c r="I34" s="592"/>
      <c r="J34" s="593"/>
      <c r="K34" s="594"/>
      <c r="L34" s="595"/>
      <c r="M34" s="591"/>
      <c r="N34" s="596"/>
      <c r="O34" s="227"/>
      <c r="P34" s="597"/>
      <c r="Q34" s="598"/>
      <c r="R34" s="599"/>
      <c r="S34" s="599"/>
      <c r="T34" s="599"/>
      <c r="U34" s="229"/>
      <c r="V34" s="229"/>
      <c r="W34" s="229"/>
      <c r="X34" s="229"/>
      <c r="Y34" s="229"/>
      <c r="Z34" s="229"/>
      <c r="AA34" s="229"/>
      <c r="AB34" s="229"/>
      <c r="AC34" s="600">
        <f>SUM(AC31:AC33)</f>
        <v>41.160000000000004</v>
      </c>
      <c r="AD34" s="273"/>
    </row>
    <row r="35" spans="1:30" ht="16.5" customHeight="1" thickBot="1" thickTop="1">
      <c r="A35" s="33"/>
      <c r="B35" s="51"/>
      <c r="C35" s="97"/>
      <c r="D35" s="251"/>
      <c r="E35" s="251"/>
      <c r="F35" s="457"/>
      <c r="G35" s="590"/>
      <c r="H35" s="591"/>
      <c r="I35" s="592"/>
      <c r="J35" s="544" t="s">
        <v>40</v>
      </c>
      <c r="K35" s="545">
        <f>+AC34</f>
        <v>41.160000000000004</v>
      </c>
      <c r="L35" s="595"/>
      <c r="M35" s="591"/>
      <c r="N35" s="601"/>
      <c r="O35" s="602"/>
      <c r="P35" s="597"/>
      <c r="Q35" s="598"/>
      <c r="R35" s="599"/>
      <c r="S35" s="599"/>
      <c r="T35" s="599"/>
      <c r="U35" s="229"/>
      <c r="V35" s="229"/>
      <c r="W35" s="229"/>
      <c r="X35" s="229"/>
      <c r="Y35" s="229"/>
      <c r="Z35" s="229"/>
      <c r="AA35" s="229"/>
      <c r="AB35" s="229"/>
      <c r="AC35" s="603"/>
      <c r="AD35" s="273"/>
    </row>
    <row r="36" spans="1:30" ht="13.5" customHeight="1" thickTop="1">
      <c r="A36" s="33"/>
      <c r="B36" s="533"/>
      <c r="C36" s="536"/>
      <c r="D36" s="604"/>
      <c r="E36" s="605"/>
      <c r="F36" s="606"/>
      <c r="G36" s="607"/>
      <c r="H36" s="607"/>
      <c r="I36" s="605"/>
      <c r="J36" s="526"/>
      <c r="K36" s="526"/>
      <c r="L36" s="605"/>
      <c r="M36" s="605"/>
      <c r="N36" s="605"/>
      <c r="O36" s="608"/>
      <c r="P36" s="605"/>
      <c r="Q36" s="605"/>
      <c r="R36" s="609"/>
      <c r="S36" s="610"/>
      <c r="T36" s="610"/>
      <c r="U36" s="611"/>
      <c r="AC36" s="611"/>
      <c r="AD36" s="612"/>
    </row>
    <row r="37" spans="1:30" ht="16.5" customHeight="1">
      <c r="A37" s="33"/>
      <c r="B37" s="533"/>
      <c r="C37" s="613" t="s">
        <v>86</v>
      </c>
      <c r="D37" s="614" t="s">
        <v>98</v>
      </c>
      <c r="E37" s="605"/>
      <c r="F37" s="606"/>
      <c r="G37" s="607"/>
      <c r="H37" s="607"/>
      <c r="I37" s="605"/>
      <c r="J37" s="526"/>
      <c r="K37" s="526"/>
      <c r="L37" s="605"/>
      <c r="M37" s="605"/>
      <c r="N37" s="605"/>
      <c r="O37" s="608"/>
      <c r="P37" s="605"/>
      <c r="Q37" s="605"/>
      <c r="R37" s="609"/>
      <c r="S37" s="610"/>
      <c r="T37" s="610"/>
      <c r="U37" s="611"/>
      <c r="AC37" s="611"/>
      <c r="AD37" s="612"/>
    </row>
    <row r="38" spans="1:30" ht="16.5" customHeight="1">
      <c r="A38" s="33"/>
      <c r="B38" s="533"/>
      <c r="C38" s="613"/>
      <c r="D38" s="604"/>
      <c r="E38" s="605"/>
      <c r="F38" s="606"/>
      <c r="G38" s="607"/>
      <c r="H38" s="607"/>
      <c r="I38" s="605"/>
      <c r="J38" s="526"/>
      <c r="K38" s="526"/>
      <c r="L38" s="605"/>
      <c r="M38" s="605"/>
      <c r="N38" s="605"/>
      <c r="O38" s="608"/>
      <c r="P38" s="605"/>
      <c r="Q38" s="605"/>
      <c r="R38" s="605"/>
      <c r="S38" s="609"/>
      <c r="T38" s="610"/>
      <c r="AD38" s="612"/>
    </row>
    <row r="39" spans="2:30" s="33" customFormat="1" ht="16.5" customHeight="1">
      <c r="B39" s="533"/>
      <c r="C39" s="536"/>
      <c r="D39" s="615" t="s">
        <v>0</v>
      </c>
      <c r="E39" s="548" t="s">
        <v>87</v>
      </c>
      <c r="F39" s="548" t="s">
        <v>41</v>
      </c>
      <c r="G39" s="616" t="s">
        <v>99</v>
      </c>
      <c r="H39" s="549"/>
      <c r="I39" s="548"/>
      <c r="J39"/>
      <c r="K39" s="617" t="s">
        <v>100</v>
      </c>
      <c r="L39"/>
      <c r="M39"/>
      <c r="O39" s="617" t="s">
        <v>101</v>
      </c>
      <c r="P39" s="618"/>
      <c r="Q39" s="619"/>
      <c r="R39" s="620"/>
      <c r="S39" s="34"/>
      <c r="T39"/>
      <c r="U39"/>
      <c r="V39"/>
      <c r="W39"/>
      <c r="X39" s="34"/>
      <c r="Y39" s="34"/>
      <c r="Z39" s="34"/>
      <c r="AA39" s="34"/>
      <c r="AB39" s="34"/>
      <c r="AC39" s="621" t="s">
        <v>102</v>
      </c>
      <c r="AD39" s="612"/>
    </row>
    <row r="40" spans="2:30" s="33" customFormat="1" ht="16.5" customHeight="1">
      <c r="B40" s="533"/>
      <c r="C40" s="536"/>
      <c r="D40" s="548" t="s">
        <v>88</v>
      </c>
      <c r="E40" s="622">
        <v>267</v>
      </c>
      <c r="F40" s="623">
        <v>500</v>
      </c>
      <c r="G40" s="747">
        <f>E40*$F$19*$L$21/100</f>
        <v>172956.4056</v>
      </c>
      <c r="H40" s="624">
        <f>F40*$F$20*$L$21/100</f>
        <v>882</v>
      </c>
      <c r="I40" s="624">
        <f>G40*$F$20*$L$21/100</f>
        <v>305095.09947839996</v>
      </c>
      <c r="J40" s="624"/>
      <c r="K40" s="624">
        <f>617874+73113</f>
        <v>690987</v>
      </c>
      <c r="L40" s="177"/>
      <c r="M40" s="737" t="s">
        <v>184</v>
      </c>
      <c r="R40" s="620"/>
      <c r="S40" s="34"/>
      <c r="T40"/>
      <c r="U40"/>
      <c r="V40"/>
      <c r="W40"/>
      <c r="X40" s="34"/>
      <c r="Y40" s="34"/>
      <c r="Z40" s="34"/>
      <c r="AA40" s="34"/>
      <c r="AB40" s="626"/>
      <c r="AC40" s="542">
        <f>K40+G40</f>
        <v>863943.4055999999</v>
      </c>
      <c r="AD40" s="612"/>
    </row>
    <row r="41" spans="2:30" s="33" customFormat="1" ht="16.5" customHeight="1">
      <c r="B41" s="533"/>
      <c r="C41" s="536"/>
      <c r="D41" s="548" t="s">
        <v>89</v>
      </c>
      <c r="E41" s="622">
        <f>3*3.6</f>
        <v>10.8</v>
      </c>
      <c r="F41" s="623">
        <v>500</v>
      </c>
      <c r="G41" s="747">
        <f>E41*$F$19*$L$21/100</f>
        <v>6995.98944</v>
      </c>
      <c r="H41" s="627"/>
      <c r="I41" s="628"/>
      <c r="J41" s="624"/>
      <c r="K41" s="624">
        <f>10729+5029</f>
        <v>15758</v>
      </c>
      <c r="L41" s="177"/>
      <c r="M41" s="737" t="s">
        <v>184</v>
      </c>
      <c r="O41" s="629"/>
      <c r="P41"/>
      <c r="Q41" s="620"/>
      <c r="R41" s="620"/>
      <c r="S41" s="34"/>
      <c r="T41"/>
      <c r="U41"/>
      <c r="V41"/>
      <c r="W41"/>
      <c r="X41" s="34"/>
      <c r="Y41" s="34"/>
      <c r="Z41" s="34"/>
      <c r="AA41" s="34"/>
      <c r="AB41" s="34"/>
      <c r="AC41" s="542">
        <f>K41+J41</f>
        <v>15758</v>
      </c>
      <c r="AD41" s="612"/>
    </row>
    <row r="42" spans="2:30" s="33" customFormat="1" ht="16.5" customHeight="1">
      <c r="B42" s="533"/>
      <c r="C42" s="536"/>
      <c r="E42" s="540"/>
      <c r="F42" s="548"/>
      <c r="G42" s="549"/>
      <c r="H42"/>
      <c r="I42" s="548"/>
      <c r="J42" s="548"/>
      <c r="K42" s="738"/>
      <c r="L42" s="542"/>
      <c r="M42" s="619"/>
      <c r="N42" s="619"/>
      <c r="O42" s="625">
        <v>0</v>
      </c>
      <c r="P42" s="177"/>
      <c r="Q42" s="737" t="s">
        <v>184</v>
      </c>
      <c r="R42" s="620"/>
      <c r="S42" s="34"/>
      <c r="T42"/>
      <c r="U42"/>
      <c r="V42"/>
      <c r="W42"/>
      <c r="X42" s="34"/>
      <c r="Y42" s="34"/>
      <c r="Z42" s="34"/>
      <c r="AA42" s="34"/>
      <c r="AB42" s="34"/>
      <c r="AC42" s="630">
        <f>+O42</f>
        <v>0</v>
      </c>
      <c r="AD42" s="612"/>
    </row>
    <row r="43" spans="1:30" ht="16.5" customHeight="1">
      <c r="A43" s="33"/>
      <c r="B43" s="533"/>
      <c r="C43" s="536"/>
      <c r="D43" s="526"/>
      <c r="E43" s="540"/>
      <c r="F43" s="548"/>
      <c r="G43" s="548"/>
      <c r="H43" s="549"/>
      <c r="J43" s="548"/>
      <c r="L43" s="631"/>
      <c r="M43" s="619"/>
      <c r="N43" s="619"/>
      <c r="O43" s="620"/>
      <c r="P43" s="620"/>
      <c r="Q43" s="620"/>
      <c r="R43" s="620"/>
      <c r="S43" s="620"/>
      <c r="AC43" s="535">
        <f>SUM(AC40:AC42)</f>
        <v>879701.4055999999</v>
      </c>
      <c r="AD43" s="612"/>
    </row>
    <row r="44" spans="2:30" ht="16.5" customHeight="1">
      <c r="B44" s="533"/>
      <c r="C44" s="613" t="s">
        <v>90</v>
      </c>
      <c r="D44" s="632" t="s">
        <v>91</v>
      </c>
      <c r="E44" s="548"/>
      <c r="F44" s="633"/>
      <c r="G44" s="547"/>
      <c r="H44" s="526"/>
      <c r="I44" s="526"/>
      <c r="J44" s="526"/>
      <c r="K44" s="548"/>
      <c r="L44" s="548"/>
      <c r="M44" s="526"/>
      <c r="N44" s="548"/>
      <c r="O44" s="526"/>
      <c r="P44" s="526"/>
      <c r="Q44" s="526"/>
      <c r="R44" s="526"/>
      <c r="S44" s="526"/>
      <c r="T44" s="526"/>
      <c r="U44" s="526"/>
      <c r="AC44" s="526"/>
      <c r="AD44" s="612"/>
    </row>
    <row r="45" spans="2:30" s="33" customFormat="1" ht="16.5" customHeight="1">
      <c r="B45" s="533"/>
      <c r="C45" s="536"/>
      <c r="D45" s="615" t="s">
        <v>92</v>
      </c>
      <c r="E45" s="634">
        <f>10*K35*K25/AC43</f>
        <v>17.268747260257875</v>
      </c>
      <c r="G45" s="547"/>
      <c r="L45" s="548"/>
      <c r="N45" s="548"/>
      <c r="O45" s="549"/>
      <c r="V45"/>
      <c r="W45"/>
      <c r="AD45" s="612"/>
    </row>
    <row r="46" spans="2:30" s="33" customFormat="1" ht="16.5" customHeight="1">
      <c r="B46" s="533"/>
      <c r="C46" s="536"/>
      <c r="E46" s="635"/>
      <c r="F46" s="543"/>
      <c r="G46" s="547"/>
      <c r="J46" s="547"/>
      <c r="K46" s="554"/>
      <c r="L46" s="548"/>
      <c r="M46" s="548"/>
      <c r="N46" s="548"/>
      <c r="O46" s="549"/>
      <c r="P46" s="548"/>
      <c r="Q46" s="548"/>
      <c r="R46" s="553"/>
      <c r="S46" s="553"/>
      <c r="T46" s="553"/>
      <c r="U46" s="636"/>
      <c r="V46"/>
      <c r="W46"/>
      <c r="AC46" s="636"/>
      <c r="AD46" s="612"/>
    </row>
    <row r="47" spans="2:30" ht="16.5" customHeight="1">
      <c r="B47" s="533"/>
      <c r="C47" s="536"/>
      <c r="D47" s="637" t="s">
        <v>93</v>
      </c>
      <c r="E47" s="638"/>
      <c r="F47" s="543"/>
      <c r="G47" s="547"/>
      <c r="H47" s="526"/>
      <c r="I47" s="526"/>
      <c r="N47" s="548"/>
      <c r="O47" s="549"/>
      <c r="P47" s="548"/>
      <c r="Q47" s="548"/>
      <c r="R47" s="618"/>
      <c r="S47" s="618"/>
      <c r="T47" s="618"/>
      <c r="U47" s="619"/>
      <c r="AC47" s="619"/>
      <c r="AD47" s="612"/>
    </row>
    <row r="48" spans="2:30" ht="16.5" customHeight="1" thickBot="1">
      <c r="B48" s="533"/>
      <c r="C48" s="536"/>
      <c r="D48" s="637"/>
      <c r="E48" s="638"/>
      <c r="F48" s="543"/>
      <c r="G48" s="547"/>
      <c r="H48" s="526"/>
      <c r="I48" s="526"/>
      <c r="N48" s="548"/>
      <c r="O48" s="549"/>
      <c r="P48" s="548"/>
      <c r="Q48" s="548"/>
      <c r="R48" s="618"/>
      <c r="S48" s="618"/>
      <c r="T48" s="618"/>
      <c r="U48" s="619"/>
      <c r="AC48" s="619"/>
      <c r="AD48" s="612"/>
    </row>
    <row r="49" spans="2:30" s="639" customFormat="1" ht="21" thickBot="1" thickTop="1">
      <c r="B49" s="640"/>
      <c r="C49" s="641"/>
      <c r="D49" s="642"/>
      <c r="E49" s="643"/>
      <c r="F49" s="644"/>
      <c r="G49" s="645"/>
      <c r="I49"/>
      <c r="J49" s="646" t="s">
        <v>94</v>
      </c>
      <c r="K49" s="647">
        <f>IF(E45&gt;3*K25,K25*3,E45)</f>
        <v>17.268747260257875</v>
      </c>
      <c r="M49" s="648"/>
      <c r="N49" s="648"/>
      <c r="O49" s="649"/>
      <c r="P49" s="648"/>
      <c r="Q49" s="648"/>
      <c r="R49" s="650"/>
      <c r="S49" s="650"/>
      <c r="T49" s="650"/>
      <c r="U49" s="651"/>
      <c r="V49"/>
      <c r="W49"/>
      <c r="AC49" s="651"/>
      <c r="AD49" s="652"/>
    </row>
    <row r="50" spans="2:30" ht="16.5" customHeight="1" thickBot="1" thickTop="1">
      <c r="B50" s="58"/>
      <c r="C50" s="60"/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240"/>
      <c r="W50" s="240"/>
      <c r="X50" s="240"/>
      <c r="Y50" s="240"/>
      <c r="Z50" s="240"/>
      <c r="AA50" s="240"/>
      <c r="AB50" s="240"/>
      <c r="AC50" s="60"/>
      <c r="AD50" s="653"/>
    </row>
    <row r="51" spans="2:23" ht="16.5" customHeight="1" thickTop="1">
      <c r="B51" s="1"/>
      <c r="C51" s="74"/>
      <c r="W51" s="1"/>
    </row>
    <row r="95" ht="12.75">
      <c r="T95">
        <v>0</v>
      </c>
    </row>
  </sheetData>
  <sheetProtection password="CC12"/>
  <mergeCells count="1">
    <mergeCell ref="F33:G33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Roman,Normal"&amp;8&amp;F-&amp;A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1:AF45"/>
  <sheetViews>
    <sheetView zoomScale="75" zoomScaleNormal="75" workbookViewId="0" topLeftCell="L1">
      <selection activeCell="J41" sqref="J4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8515625" style="0" customWidth="1"/>
    <col min="8" max="8" width="3.14062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6.00390625" style="0" customWidth="1"/>
    <col min="18" max="19" width="12.28125" style="0" hidden="1" customWidth="1"/>
    <col min="20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9" customFormat="1" ht="26.25">
      <c r="A1"/>
      <c r="C1"/>
      <c r="E1"/>
      <c r="G1"/>
      <c r="I1"/>
      <c r="K1"/>
      <c r="M1"/>
      <c r="O1"/>
      <c r="Q1"/>
      <c r="S1"/>
      <c r="U1"/>
      <c r="W1"/>
      <c r="Y1"/>
      <c r="AE1" s="147"/>
    </row>
    <row r="2" spans="1:31" s="19" customFormat="1" ht="26.25">
      <c r="A2" s="90"/>
      <c r="B2" s="20" t="str">
        <f>+'TOT-0907'!B2</f>
        <v>ANEXO V al Memorandum D.T.E.E. N°  719/2011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="5" customFormat="1" ht="12.75">
      <c r="A3" s="89"/>
    </row>
    <row r="4" spans="1:2" s="26" customFormat="1" ht="11.25">
      <c r="A4" s="24" t="s">
        <v>1</v>
      </c>
      <c r="B4" s="126"/>
    </row>
    <row r="5" spans="1:2" s="26" customFormat="1" ht="11.25">
      <c r="A5" s="24" t="s">
        <v>2</v>
      </c>
      <c r="B5" s="126"/>
    </row>
    <row r="6" s="5" customFormat="1" ht="13.5" thickBot="1"/>
    <row r="7" spans="2:31" s="5" customFormat="1" ht="13.5" thickTop="1">
      <c r="B7" s="70"/>
      <c r="C7" s="71"/>
      <c r="D7" s="71"/>
      <c r="E7" s="243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93"/>
    </row>
    <row r="8" spans="2:31" s="30" customFormat="1" ht="20.25">
      <c r="B8" s="80"/>
      <c r="C8" s="31"/>
      <c r="D8" s="179" t="s">
        <v>52</v>
      </c>
      <c r="E8" s="31"/>
      <c r="F8" s="31"/>
      <c r="G8" s="31"/>
      <c r="H8" s="31"/>
      <c r="N8" s="31"/>
      <c r="O8" s="31"/>
      <c r="P8" s="11"/>
      <c r="Q8" s="1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108"/>
    </row>
    <row r="9" spans="2:31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8"/>
    </row>
    <row r="10" spans="2:31" s="30" customFormat="1" ht="20.25">
      <c r="B10" s="80"/>
      <c r="C10" s="31"/>
      <c r="D10" s="11" t="s">
        <v>11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08"/>
    </row>
    <row r="11" spans="2:31" s="5" customFormat="1" ht="12.75">
      <c r="B11" s="5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8"/>
    </row>
    <row r="12" spans="2:31" s="30" customFormat="1" ht="20.25">
      <c r="B12" s="80"/>
      <c r="C12" s="31"/>
      <c r="D12" s="11" t="s">
        <v>103</v>
      </c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11"/>
      <c r="Q12" s="1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08"/>
    </row>
    <row r="13" spans="2:31" s="5" customFormat="1" ht="12.75">
      <c r="B13" s="51"/>
      <c r="C13" s="4"/>
      <c r="D13" s="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8"/>
    </row>
    <row r="14" spans="2:31" s="37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46"/>
      <c r="O14" s="246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145"/>
    </row>
    <row r="15" spans="2:31" s="5" customFormat="1" ht="16.5" customHeight="1" thickBot="1">
      <c r="B15" s="51"/>
      <c r="C15" s="4"/>
      <c r="D15" s="4"/>
      <c r="E15" s="67"/>
      <c r="F15" s="67"/>
      <c r="G15" s="4"/>
      <c r="H15" s="4"/>
      <c r="I15" s="4"/>
      <c r="J15" s="247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8"/>
    </row>
    <row r="16" spans="2:31" s="5" customFormat="1" ht="16.5" customHeight="1" thickBot="1" thickTop="1">
      <c r="B16" s="51"/>
      <c r="C16" s="4"/>
      <c r="D16" s="83" t="s">
        <v>75</v>
      </c>
      <c r="E16" s="721">
        <v>89.969</v>
      </c>
      <c r="F16" s="24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8"/>
    </row>
    <row r="17" spans="2:31" s="5" customFormat="1" ht="16.5" customHeight="1" thickBot="1" thickTop="1">
      <c r="B17" s="51"/>
      <c r="C17" s="4"/>
      <c r="D17" s="83" t="s">
        <v>76</v>
      </c>
      <c r="E17" s="721">
        <v>74.974</v>
      </c>
      <c r="F17" s="248"/>
      <c r="G17" s="4"/>
      <c r="H17" s="4"/>
      <c r="I17" s="4"/>
      <c r="J17" s="249"/>
      <c r="K17" s="250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E17" s="18"/>
    </row>
    <row r="18" spans="2:31" s="5" customFormat="1" ht="16.5" customHeight="1" thickBot="1" thickTop="1">
      <c r="B18" s="51"/>
      <c r="C18" s="4"/>
      <c r="D18" s="4"/>
      <c r="E18" s="251"/>
      <c r="F18" s="4"/>
      <c r="G18" s="4"/>
      <c r="H18" s="4"/>
      <c r="I18" s="4"/>
      <c r="J18" s="4"/>
      <c r="K18" s="4"/>
      <c r="L18" s="4"/>
      <c r="M18" s="4"/>
      <c r="N18" s="25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8"/>
    </row>
    <row r="19" spans="2:31" s="5" customFormat="1" ht="33.75" customHeight="1" thickBot="1" thickTop="1">
      <c r="B19" s="51"/>
      <c r="C19" s="85" t="s">
        <v>12</v>
      </c>
      <c r="D19" s="86" t="s">
        <v>0</v>
      </c>
      <c r="E19" s="654" t="s">
        <v>13</v>
      </c>
      <c r="F19" s="87" t="s">
        <v>14</v>
      </c>
      <c r="G19" s="253" t="s">
        <v>56</v>
      </c>
      <c r="H19" s="655" t="s">
        <v>36</v>
      </c>
      <c r="I19" s="656" t="s">
        <v>15</v>
      </c>
      <c r="J19" s="86" t="s">
        <v>16</v>
      </c>
      <c r="K19" s="195" t="s">
        <v>17</v>
      </c>
      <c r="L19" s="88" t="s">
        <v>35</v>
      </c>
      <c r="M19" s="87" t="s">
        <v>30</v>
      </c>
      <c r="N19" s="88" t="s">
        <v>18</v>
      </c>
      <c r="O19" s="87" t="s">
        <v>43</v>
      </c>
      <c r="P19" s="195" t="s">
        <v>44</v>
      </c>
      <c r="Q19" s="86" t="s">
        <v>31</v>
      </c>
      <c r="R19" s="144" t="s">
        <v>19</v>
      </c>
      <c r="S19" s="657" t="s">
        <v>20</v>
      </c>
      <c r="T19" s="254" t="s">
        <v>45</v>
      </c>
      <c r="U19" s="255"/>
      <c r="V19" s="256"/>
      <c r="W19" s="658" t="s">
        <v>104</v>
      </c>
      <c r="X19" s="659"/>
      <c r="Y19" s="660"/>
      <c r="Z19" s="257" t="s">
        <v>21</v>
      </c>
      <c r="AA19" s="258" t="s">
        <v>57</v>
      </c>
      <c r="AB19" s="140" t="s">
        <v>58</v>
      </c>
      <c r="AC19" s="140" t="s">
        <v>22</v>
      </c>
      <c r="AD19" s="140" t="s">
        <v>211</v>
      </c>
      <c r="AE19" s="259"/>
    </row>
    <row r="20" spans="2:31" s="5" customFormat="1" ht="16.5" customHeight="1" thickTop="1">
      <c r="B20" s="51"/>
      <c r="C20" s="202"/>
      <c r="D20" s="704"/>
      <c r="E20" s="704"/>
      <c r="F20" s="722"/>
      <c r="G20" s="703"/>
      <c r="H20" s="705"/>
      <c r="I20" s="706"/>
      <c r="J20" s="717"/>
      <c r="K20" s="717"/>
      <c r="L20" s="703"/>
      <c r="M20" s="703"/>
      <c r="N20" s="703"/>
      <c r="O20" s="703"/>
      <c r="P20" s="703"/>
      <c r="Q20" s="703"/>
      <c r="R20" s="707"/>
      <c r="S20" s="708"/>
      <c r="T20" s="709"/>
      <c r="U20" s="710"/>
      <c r="V20" s="711"/>
      <c r="W20" s="712"/>
      <c r="X20" s="713"/>
      <c r="Y20" s="714"/>
      <c r="Z20" s="715"/>
      <c r="AA20" s="716"/>
      <c r="AB20" s="703"/>
      <c r="AC20" s="661"/>
      <c r="AD20" s="661"/>
      <c r="AE20" s="18"/>
    </row>
    <row r="21" spans="2:32" s="5" customFormat="1" ht="16.5" customHeight="1">
      <c r="B21" s="51"/>
      <c r="C21" s="326"/>
      <c r="D21" s="210"/>
      <c r="E21" s="7"/>
      <c r="F21" s="723"/>
      <c r="G21" s="210"/>
      <c r="H21" s="662"/>
      <c r="I21" s="663"/>
      <c r="J21" s="260"/>
      <c r="K21" s="116"/>
      <c r="L21" s="210"/>
      <c r="M21" s="210"/>
      <c r="N21" s="211"/>
      <c r="O21" s="210"/>
      <c r="P21" s="210"/>
      <c r="Q21" s="210"/>
      <c r="R21" s="664"/>
      <c r="S21" s="665"/>
      <c r="T21" s="666"/>
      <c r="U21" s="667"/>
      <c r="V21" s="668"/>
      <c r="W21" s="669"/>
      <c r="X21" s="670"/>
      <c r="Y21" s="671"/>
      <c r="Z21" s="261"/>
      <c r="AA21" s="262"/>
      <c r="AB21" s="210"/>
      <c r="AC21" s="263"/>
      <c r="AD21" s="263"/>
      <c r="AE21" s="18"/>
      <c r="AF21" s="756">
        <v>0.3492596718583952</v>
      </c>
    </row>
    <row r="22" spans="2:31" s="5" customFormat="1" ht="16.5" customHeight="1">
      <c r="B22" s="51"/>
      <c r="C22" s="159">
        <v>1</v>
      </c>
      <c r="D22" s="159" t="s">
        <v>107</v>
      </c>
      <c r="E22" s="216">
        <v>500</v>
      </c>
      <c r="F22" s="724">
        <v>227</v>
      </c>
      <c r="G22" s="216" t="s">
        <v>108</v>
      </c>
      <c r="H22" s="672">
        <f aca="true" t="shared" si="0" ref="H22:H40">IF(G22="A",200,IF(G22="B",60,20))</f>
        <v>200</v>
      </c>
      <c r="I22" s="673">
        <f aca="true" t="shared" si="1" ref="I22:I40">IF(E22=500,IF(F22&lt;100,100*$E$16/100,F22*$E$16/100),IF(F22&lt;100,100*$E$17/100,F22*$E$17/100))</f>
        <v>204.22963</v>
      </c>
      <c r="J22" s="674">
        <v>39326.28958333333</v>
      </c>
      <c r="K22" s="675">
        <v>39326.71597222222</v>
      </c>
      <c r="L22" s="219">
        <f aca="true" t="shared" si="2" ref="L22:L40">IF(D22="","",(K22-J22)*24)</f>
        <v>10.233333333337214</v>
      </c>
      <c r="M22" s="220">
        <f aca="true" t="shared" si="3" ref="M22:M40">IF(D22="","",ROUND((K22-J22)*24*60,0))</f>
        <v>614</v>
      </c>
      <c r="N22" s="266" t="s">
        <v>109</v>
      </c>
      <c r="O22" s="221" t="str">
        <f aca="true" t="shared" si="4" ref="O22:O40">IF(D22="","","--")</f>
        <v>--</v>
      </c>
      <c r="P22" s="156" t="str">
        <f aca="true" t="shared" si="5" ref="P22:P40">IF(D22="","","NO")</f>
        <v>NO</v>
      </c>
      <c r="Q22" s="156" t="str">
        <f aca="true" t="shared" si="6" ref="Q22:Q40">IF(D22="","",IF(OR(N22="P",N22="RP"),"--","NO"))</f>
        <v>--</v>
      </c>
      <c r="R22" s="676">
        <f aca="true" t="shared" si="7" ref="R22:R40">IF(N22="P",I22*H22*ROUND(M22/60,2)*0.01,"--")</f>
        <v>4178.5382298</v>
      </c>
      <c r="S22" s="677" t="str">
        <f aca="true" t="shared" si="8" ref="S22:S40">IF(N22="RP",I22*H22*ROUND(M22/60,2)*0.01*O22/100,"--")</f>
        <v>--</v>
      </c>
      <c r="T22" s="268" t="str">
        <f aca="true" t="shared" si="9" ref="T22:T40">IF(AND(N22="F",Q22="NO"),I22*H22*IF(P22="SI",1.2,1),"--")</f>
        <v>--</v>
      </c>
      <c r="U22" s="269" t="str">
        <f aca="true" t="shared" si="10" ref="U22:U40">IF(AND(N22="F",M22&gt;=10),I22*H22*IF(P22="SI",1.2,1)*IF(M22&lt;=300,ROUND(M22/60,2),5),"--")</f>
        <v>--</v>
      </c>
      <c r="V22" s="270" t="str">
        <f aca="true" t="shared" si="11" ref="V22:V40">IF(AND(N22="F",M22&gt;300),(ROUND(M22/60,2)-5)*I22*H22*0.1*IF(P22="SI",1.2,1),"--")</f>
        <v>--</v>
      </c>
      <c r="W22" s="678" t="str">
        <f aca="true" t="shared" si="12" ref="W22:W40">IF(AND(N22="R",Q22="NO"),I22*H22*O22/100*IF(P22="SI",1.2,1),"--")</f>
        <v>--</v>
      </c>
      <c r="X22" s="679" t="str">
        <f aca="true" t="shared" si="13" ref="X22:X40">IF(AND(N22="R",M22&gt;=10),I22*H22*O22/100*IF(P22="SI",1.2,1)*IF(M22&lt;=300,ROUND(M22/60,2),5),"--")</f>
        <v>--</v>
      </c>
      <c r="Y22" s="680" t="str">
        <f aca="true" t="shared" si="14" ref="Y22:Y40">IF(AND(N22="R",M22&gt;300),(ROUND(M22/60,2)-5)*I22*H22*0.1*O22/100*IF(P22="SI",1.2,1),"--")</f>
        <v>--</v>
      </c>
      <c r="Z22" s="271" t="str">
        <f aca="true" t="shared" si="15" ref="Z22:Z40">IF(N22="RF",ROUND(M22/60,2)*I22*H22*0.1*IF(P22="SI",1.2,1),"--")</f>
        <v>--</v>
      </c>
      <c r="AA22" s="272" t="str">
        <f aca="true" t="shared" si="16" ref="AA22:AA40">IF(N22="RR",ROUND(M22/60,2)*I22*H22*0.1*O22/100*IF(P22="SI",1.2,1),"--")</f>
        <v>--</v>
      </c>
      <c r="AB22" s="681" t="s">
        <v>110</v>
      </c>
      <c r="AC22" s="16">
        <f aca="true" t="shared" si="17" ref="AC22:AC40">IF(D22="","",SUM(R22:AA22)*IF(AB22="SI",1,2))</f>
        <v>4178.5382298</v>
      </c>
      <c r="AD22" s="16">
        <f>AC22*(1-$AF$21)</f>
        <v>2719.143338812293</v>
      </c>
      <c r="AE22" s="682"/>
    </row>
    <row r="23" spans="2:31" s="5" customFormat="1" ht="16.5" customHeight="1">
      <c r="B23" s="51"/>
      <c r="C23" s="326">
        <v>2</v>
      </c>
      <c r="D23" s="159" t="s">
        <v>111</v>
      </c>
      <c r="E23" s="216">
        <v>220</v>
      </c>
      <c r="F23" s="724">
        <v>61</v>
      </c>
      <c r="G23" s="216" t="s">
        <v>112</v>
      </c>
      <c r="H23" s="672">
        <f t="shared" si="0"/>
        <v>20</v>
      </c>
      <c r="I23" s="673">
        <f t="shared" si="1"/>
        <v>74.974</v>
      </c>
      <c r="J23" s="674">
        <v>39327.33541666667</v>
      </c>
      <c r="K23" s="675">
        <v>39327.45486111111</v>
      </c>
      <c r="L23" s="219">
        <f t="shared" si="2"/>
        <v>2.8666666665812954</v>
      </c>
      <c r="M23" s="220">
        <f t="shared" si="3"/>
        <v>172</v>
      </c>
      <c r="N23" s="266" t="s">
        <v>109</v>
      </c>
      <c r="O23" s="221" t="str">
        <f t="shared" si="4"/>
        <v>--</v>
      </c>
      <c r="P23" s="156" t="str">
        <f t="shared" si="5"/>
        <v>NO</v>
      </c>
      <c r="Q23" s="156" t="str">
        <f t="shared" si="6"/>
        <v>--</v>
      </c>
      <c r="R23" s="676">
        <f t="shared" si="7"/>
        <v>43.035076</v>
      </c>
      <c r="S23" s="677" t="str">
        <f t="shared" si="8"/>
        <v>--</v>
      </c>
      <c r="T23" s="268" t="str">
        <f t="shared" si="9"/>
        <v>--</v>
      </c>
      <c r="U23" s="269" t="str">
        <f t="shared" si="10"/>
        <v>--</v>
      </c>
      <c r="V23" s="270" t="str">
        <f t="shared" si="11"/>
        <v>--</v>
      </c>
      <c r="W23" s="678" t="str">
        <f t="shared" si="12"/>
        <v>--</v>
      </c>
      <c r="X23" s="679" t="str">
        <f t="shared" si="13"/>
        <v>--</v>
      </c>
      <c r="Y23" s="680" t="str">
        <f t="shared" si="14"/>
        <v>--</v>
      </c>
      <c r="Z23" s="271" t="str">
        <f t="shared" si="15"/>
        <v>--</v>
      </c>
      <c r="AA23" s="272" t="str">
        <f t="shared" si="16"/>
        <v>--</v>
      </c>
      <c r="AB23" s="681" t="s">
        <v>110</v>
      </c>
      <c r="AC23" s="16">
        <v>0</v>
      </c>
      <c r="AD23" s="16">
        <f aca="true" t="shared" si="18" ref="AD23:AD32">AC23*(1-$AF$21)</f>
        <v>0</v>
      </c>
      <c r="AE23" s="682"/>
    </row>
    <row r="24" spans="2:31" s="5" customFormat="1" ht="16.5" customHeight="1">
      <c r="B24" s="51"/>
      <c r="C24" s="159">
        <v>3</v>
      </c>
      <c r="D24" s="683" t="s">
        <v>113</v>
      </c>
      <c r="E24" s="684">
        <v>500</v>
      </c>
      <c r="F24" s="725">
        <v>58</v>
      </c>
      <c r="G24" s="684" t="s">
        <v>112</v>
      </c>
      <c r="H24" s="672">
        <f t="shared" si="0"/>
        <v>20</v>
      </c>
      <c r="I24" s="673">
        <f t="shared" si="1"/>
        <v>89.969</v>
      </c>
      <c r="J24" s="685">
        <v>39329.40833333333</v>
      </c>
      <c r="K24" s="686">
        <v>39329.73402777778</v>
      </c>
      <c r="L24" s="219">
        <f t="shared" si="2"/>
        <v>7.816666666651145</v>
      </c>
      <c r="M24" s="220">
        <f t="shared" si="3"/>
        <v>469</v>
      </c>
      <c r="N24" s="266" t="s">
        <v>109</v>
      </c>
      <c r="O24" s="221" t="str">
        <f t="shared" si="4"/>
        <v>--</v>
      </c>
      <c r="P24" s="156" t="str">
        <f t="shared" si="5"/>
        <v>NO</v>
      </c>
      <c r="Q24" s="156" t="str">
        <f t="shared" si="6"/>
        <v>--</v>
      </c>
      <c r="R24" s="676">
        <f t="shared" si="7"/>
        <v>140.711516</v>
      </c>
      <c r="S24" s="677" t="str">
        <f t="shared" si="8"/>
        <v>--</v>
      </c>
      <c r="T24" s="268" t="str">
        <f t="shared" si="9"/>
        <v>--</v>
      </c>
      <c r="U24" s="269" t="str">
        <f t="shared" si="10"/>
        <v>--</v>
      </c>
      <c r="V24" s="270" t="str">
        <f t="shared" si="11"/>
        <v>--</v>
      </c>
      <c r="W24" s="678" t="str">
        <f t="shared" si="12"/>
        <v>--</v>
      </c>
      <c r="X24" s="679" t="str">
        <f t="shared" si="13"/>
        <v>--</v>
      </c>
      <c r="Y24" s="680" t="str">
        <f t="shared" si="14"/>
        <v>--</v>
      </c>
      <c r="Z24" s="271" t="str">
        <f t="shared" si="15"/>
        <v>--</v>
      </c>
      <c r="AA24" s="272" t="str">
        <f t="shared" si="16"/>
        <v>--</v>
      </c>
      <c r="AB24" s="681" t="s">
        <v>110</v>
      </c>
      <c r="AC24" s="16">
        <f t="shared" si="17"/>
        <v>140.711516</v>
      </c>
      <c r="AD24" s="16">
        <f t="shared" si="18"/>
        <v>91.56665809514267</v>
      </c>
      <c r="AE24" s="682"/>
    </row>
    <row r="25" spans="2:31" s="5" customFormat="1" ht="16.5" customHeight="1">
      <c r="B25" s="51"/>
      <c r="C25" s="326">
        <v>4</v>
      </c>
      <c r="D25" s="683" t="s">
        <v>114</v>
      </c>
      <c r="E25" s="684">
        <v>500</v>
      </c>
      <c r="F25" s="725">
        <v>30</v>
      </c>
      <c r="G25" s="684" t="s">
        <v>112</v>
      </c>
      <c r="H25" s="672">
        <f t="shared" si="0"/>
        <v>20</v>
      </c>
      <c r="I25" s="673">
        <f t="shared" si="1"/>
        <v>89.969</v>
      </c>
      <c r="J25" s="685">
        <v>39334.291666666664</v>
      </c>
      <c r="K25" s="686">
        <v>39334.74236111111</v>
      </c>
      <c r="L25" s="219">
        <f t="shared" si="2"/>
        <v>10.816666666651145</v>
      </c>
      <c r="M25" s="220">
        <f t="shared" si="3"/>
        <v>649</v>
      </c>
      <c r="N25" s="266" t="s">
        <v>109</v>
      </c>
      <c r="O25" s="221" t="str">
        <f t="shared" si="4"/>
        <v>--</v>
      </c>
      <c r="P25" s="156" t="str">
        <f t="shared" si="5"/>
        <v>NO</v>
      </c>
      <c r="Q25" s="156" t="str">
        <f t="shared" si="6"/>
        <v>--</v>
      </c>
      <c r="R25" s="676">
        <f t="shared" si="7"/>
        <v>194.692916</v>
      </c>
      <c r="S25" s="677" t="str">
        <f t="shared" si="8"/>
        <v>--</v>
      </c>
      <c r="T25" s="268" t="str">
        <f t="shared" si="9"/>
        <v>--</v>
      </c>
      <c r="U25" s="269" t="str">
        <f t="shared" si="10"/>
        <v>--</v>
      </c>
      <c r="V25" s="270" t="str">
        <f t="shared" si="11"/>
        <v>--</v>
      </c>
      <c r="W25" s="678" t="str">
        <f t="shared" si="12"/>
        <v>--</v>
      </c>
      <c r="X25" s="679" t="str">
        <f t="shared" si="13"/>
        <v>--</v>
      </c>
      <c r="Y25" s="680" t="str">
        <f t="shared" si="14"/>
        <v>--</v>
      </c>
      <c r="Z25" s="271" t="str">
        <f t="shared" si="15"/>
        <v>--</v>
      </c>
      <c r="AA25" s="272" t="str">
        <f t="shared" si="16"/>
        <v>--</v>
      </c>
      <c r="AB25" s="681" t="s">
        <v>110</v>
      </c>
      <c r="AC25" s="16">
        <f t="shared" si="17"/>
        <v>194.692916</v>
      </c>
      <c r="AD25" s="16">
        <f t="shared" si="18"/>
        <v>126.69453204468591</v>
      </c>
      <c r="AE25" s="682"/>
    </row>
    <row r="26" spans="2:31" s="5" customFormat="1" ht="16.5" customHeight="1">
      <c r="B26" s="51"/>
      <c r="C26" s="326">
        <v>6</v>
      </c>
      <c r="D26" s="159" t="s">
        <v>118</v>
      </c>
      <c r="E26" s="216">
        <v>500</v>
      </c>
      <c r="F26" s="724">
        <v>313</v>
      </c>
      <c r="G26" s="216" t="s">
        <v>108</v>
      </c>
      <c r="H26" s="672">
        <f t="shared" si="0"/>
        <v>200</v>
      </c>
      <c r="I26" s="673">
        <f t="shared" si="1"/>
        <v>281.60296999999997</v>
      </c>
      <c r="J26" s="674">
        <v>39347.35902777778</v>
      </c>
      <c r="K26" s="675">
        <v>39347.68263888889</v>
      </c>
      <c r="L26" s="219">
        <f t="shared" si="2"/>
        <v>7.766666666662786</v>
      </c>
      <c r="M26" s="220">
        <f t="shared" si="3"/>
        <v>466</v>
      </c>
      <c r="N26" s="266" t="s">
        <v>109</v>
      </c>
      <c r="O26" s="221" t="str">
        <f t="shared" si="4"/>
        <v>--</v>
      </c>
      <c r="P26" s="156" t="str">
        <f t="shared" si="5"/>
        <v>NO</v>
      </c>
      <c r="Q26" s="156" t="str">
        <f t="shared" si="6"/>
        <v>--</v>
      </c>
      <c r="R26" s="676">
        <f t="shared" si="7"/>
        <v>4376.110153799999</v>
      </c>
      <c r="S26" s="677" t="str">
        <f t="shared" si="8"/>
        <v>--</v>
      </c>
      <c r="T26" s="268" t="str">
        <f t="shared" si="9"/>
        <v>--</v>
      </c>
      <c r="U26" s="269" t="str">
        <f t="shared" si="10"/>
        <v>--</v>
      </c>
      <c r="V26" s="270" t="str">
        <f t="shared" si="11"/>
        <v>--</v>
      </c>
      <c r="W26" s="678" t="str">
        <f t="shared" si="12"/>
        <v>--</v>
      </c>
      <c r="X26" s="679" t="str">
        <f t="shared" si="13"/>
        <v>--</v>
      </c>
      <c r="Y26" s="680" t="str">
        <f t="shared" si="14"/>
        <v>--</v>
      </c>
      <c r="Z26" s="271" t="str">
        <f t="shared" si="15"/>
        <v>--</v>
      </c>
      <c r="AA26" s="272" t="str">
        <f t="shared" si="16"/>
        <v>--</v>
      </c>
      <c r="AB26" s="681" t="s">
        <v>110</v>
      </c>
      <c r="AC26" s="16">
        <f t="shared" si="17"/>
        <v>4376.110153799999</v>
      </c>
      <c r="AD26" s="16">
        <f>AC26*(1-$AF$21)</f>
        <v>2847.7113574676205</v>
      </c>
      <c r="AE26" s="682"/>
    </row>
    <row r="27" spans="2:31" s="5" customFormat="1" ht="16.5" customHeight="1">
      <c r="B27" s="51"/>
      <c r="C27" s="159">
        <v>7</v>
      </c>
      <c r="D27" s="149" t="s">
        <v>118</v>
      </c>
      <c r="E27" s="151">
        <v>500</v>
      </c>
      <c r="F27" s="726">
        <v>313</v>
      </c>
      <c r="G27" s="151" t="s">
        <v>108</v>
      </c>
      <c r="H27" s="672">
        <f t="shared" si="0"/>
        <v>200</v>
      </c>
      <c r="I27" s="673">
        <f t="shared" si="1"/>
        <v>281.60296999999997</v>
      </c>
      <c r="J27" s="217">
        <v>39348.34097222222</v>
      </c>
      <c r="K27" s="265">
        <v>39348.74791666667</v>
      </c>
      <c r="L27" s="219">
        <f t="shared" si="2"/>
        <v>9.766666666720994</v>
      </c>
      <c r="M27" s="220">
        <f t="shared" si="3"/>
        <v>586</v>
      </c>
      <c r="N27" s="266" t="s">
        <v>109</v>
      </c>
      <c r="O27" s="221" t="str">
        <f t="shared" si="4"/>
        <v>--</v>
      </c>
      <c r="P27" s="156" t="str">
        <f t="shared" si="5"/>
        <v>NO</v>
      </c>
      <c r="Q27" s="156" t="str">
        <f t="shared" si="6"/>
        <v>--</v>
      </c>
      <c r="R27" s="676">
        <f t="shared" si="7"/>
        <v>5502.5220338</v>
      </c>
      <c r="S27" s="677" t="str">
        <f t="shared" si="8"/>
        <v>--</v>
      </c>
      <c r="T27" s="268" t="str">
        <f t="shared" si="9"/>
        <v>--</v>
      </c>
      <c r="U27" s="269" t="str">
        <f t="shared" si="10"/>
        <v>--</v>
      </c>
      <c r="V27" s="270" t="str">
        <f t="shared" si="11"/>
        <v>--</v>
      </c>
      <c r="W27" s="678" t="str">
        <f t="shared" si="12"/>
        <v>--</v>
      </c>
      <c r="X27" s="679" t="str">
        <f t="shared" si="13"/>
        <v>--</v>
      </c>
      <c r="Y27" s="680" t="str">
        <f t="shared" si="14"/>
        <v>--</v>
      </c>
      <c r="Z27" s="271" t="str">
        <f t="shared" si="15"/>
        <v>--</v>
      </c>
      <c r="AA27" s="272" t="str">
        <f t="shared" si="16"/>
        <v>--</v>
      </c>
      <c r="AB27" s="681" t="s">
        <v>110</v>
      </c>
      <c r="AC27" s="16">
        <f t="shared" si="17"/>
        <v>5502.5220338</v>
      </c>
      <c r="AD27" s="16">
        <f t="shared" si="18"/>
        <v>3580.712993881423</v>
      </c>
      <c r="AE27" s="682"/>
    </row>
    <row r="28" spans="2:31" s="5" customFormat="1" ht="16.5" customHeight="1">
      <c r="B28" s="51"/>
      <c r="C28" s="326">
        <v>8</v>
      </c>
      <c r="D28" s="149" t="s">
        <v>119</v>
      </c>
      <c r="E28" s="151">
        <v>220</v>
      </c>
      <c r="F28" s="726">
        <v>114</v>
      </c>
      <c r="G28" s="151" t="s">
        <v>112</v>
      </c>
      <c r="H28" s="672">
        <f t="shared" si="0"/>
        <v>20</v>
      </c>
      <c r="I28" s="673">
        <f t="shared" si="1"/>
        <v>85.47036</v>
      </c>
      <c r="J28" s="217">
        <v>39350.365277777775</v>
      </c>
      <c r="K28" s="265">
        <v>39350.72361111111</v>
      </c>
      <c r="L28" s="219">
        <f t="shared" si="2"/>
        <v>8.600000000093132</v>
      </c>
      <c r="M28" s="220">
        <f t="shared" si="3"/>
        <v>516</v>
      </c>
      <c r="N28" s="266" t="s">
        <v>109</v>
      </c>
      <c r="O28" s="221" t="str">
        <f t="shared" si="4"/>
        <v>--</v>
      </c>
      <c r="P28" s="156" t="str">
        <f t="shared" si="5"/>
        <v>NO</v>
      </c>
      <c r="Q28" s="156" t="str">
        <f t="shared" si="6"/>
        <v>--</v>
      </c>
      <c r="R28" s="676">
        <f t="shared" si="7"/>
        <v>147.0090192</v>
      </c>
      <c r="S28" s="677" t="str">
        <f t="shared" si="8"/>
        <v>--</v>
      </c>
      <c r="T28" s="268" t="str">
        <f t="shared" si="9"/>
        <v>--</v>
      </c>
      <c r="U28" s="269" t="str">
        <f t="shared" si="10"/>
        <v>--</v>
      </c>
      <c r="V28" s="270" t="str">
        <f t="shared" si="11"/>
        <v>--</v>
      </c>
      <c r="W28" s="678" t="str">
        <f t="shared" si="12"/>
        <v>--</v>
      </c>
      <c r="X28" s="679" t="str">
        <f t="shared" si="13"/>
        <v>--</v>
      </c>
      <c r="Y28" s="680" t="str">
        <f t="shared" si="14"/>
        <v>--</v>
      </c>
      <c r="Z28" s="271" t="str">
        <f t="shared" si="15"/>
        <v>--</v>
      </c>
      <c r="AA28" s="272" t="str">
        <f t="shared" si="16"/>
        <v>--</v>
      </c>
      <c r="AB28" s="681" t="s">
        <v>110</v>
      </c>
      <c r="AC28" s="16">
        <f t="shared" si="17"/>
        <v>147.0090192</v>
      </c>
      <c r="AD28" s="16">
        <f t="shared" si="18"/>
        <v>95.6646973939835</v>
      </c>
      <c r="AE28" s="682"/>
    </row>
    <row r="29" spans="2:31" s="5" customFormat="1" ht="16.5" customHeight="1">
      <c r="B29" s="51"/>
      <c r="C29" s="159">
        <v>9</v>
      </c>
      <c r="D29" s="149" t="s">
        <v>120</v>
      </c>
      <c r="E29" s="151">
        <v>220</v>
      </c>
      <c r="F29" s="726">
        <v>114</v>
      </c>
      <c r="G29" s="151" t="s">
        <v>112</v>
      </c>
      <c r="H29" s="672">
        <f t="shared" si="0"/>
        <v>20</v>
      </c>
      <c r="I29" s="673">
        <f t="shared" si="1"/>
        <v>85.47036</v>
      </c>
      <c r="J29" s="217">
        <v>39351.385416666664</v>
      </c>
      <c r="K29" s="265">
        <v>39351.620833333334</v>
      </c>
      <c r="L29" s="219">
        <f t="shared" si="2"/>
        <v>5.650000000081491</v>
      </c>
      <c r="M29" s="220">
        <f t="shared" si="3"/>
        <v>339</v>
      </c>
      <c r="N29" s="266" t="s">
        <v>109</v>
      </c>
      <c r="O29" s="221" t="str">
        <f t="shared" si="4"/>
        <v>--</v>
      </c>
      <c r="P29" s="156" t="str">
        <f t="shared" si="5"/>
        <v>NO</v>
      </c>
      <c r="Q29" s="156" t="str">
        <f t="shared" si="6"/>
        <v>--</v>
      </c>
      <c r="R29" s="676">
        <f t="shared" si="7"/>
        <v>96.58150680000001</v>
      </c>
      <c r="S29" s="677" t="str">
        <f t="shared" si="8"/>
        <v>--</v>
      </c>
      <c r="T29" s="268" t="str">
        <f t="shared" si="9"/>
        <v>--</v>
      </c>
      <c r="U29" s="269" t="str">
        <f t="shared" si="10"/>
        <v>--</v>
      </c>
      <c r="V29" s="270" t="str">
        <f t="shared" si="11"/>
        <v>--</v>
      </c>
      <c r="W29" s="678" t="str">
        <f t="shared" si="12"/>
        <v>--</v>
      </c>
      <c r="X29" s="679" t="str">
        <f t="shared" si="13"/>
        <v>--</v>
      </c>
      <c r="Y29" s="680" t="str">
        <f t="shared" si="14"/>
        <v>--</v>
      </c>
      <c r="Z29" s="271" t="str">
        <f t="shared" si="15"/>
        <v>--</v>
      </c>
      <c r="AA29" s="272" t="str">
        <f t="shared" si="16"/>
        <v>--</v>
      </c>
      <c r="AB29" s="681" t="s">
        <v>110</v>
      </c>
      <c r="AC29" s="16">
        <f t="shared" si="17"/>
        <v>96.58150680000001</v>
      </c>
      <c r="AD29" s="16">
        <f t="shared" si="18"/>
        <v>62.849481427442655</v>
      </c>
      <c r="AE29" s="682"/>
    </row>
    <row r="30" spans="2:31" s="5" customFormat="1" ht="16.5" customHeight="1">
      <c r="B30" s="51"/>
      <c r="C30" s="326">
        <v>10</v>
      </c>
      <c r="D30" s="149" t="s">
        <v>209</v>
      </c>
      <c r="E30" s="151">
        <v>220</v>
      </c>
      <c r="F30" s="726">
        <v>77</v>
      </c>
      <c r="G30" s="151" t="s">
        <v>112</v>
      </c>
      <c r="H30" s="672">
        <f t="shared" si="0"/>
        <v>20</v>
      </c>
      <c r="I30" s="673">
        <f t="shared" si="1"/>
        <v>74.974</v>
      </c>
      <c r="J30" s="217">
        <v>39352.32361111111</v>
      </c>
      <c r="K30" s="265">
        <v>39352.71666666667</v>
      </c>
      <c r="L30" s="219">
        <f t="shared" si="2"/>
        <v>9.433333333348855</v>
      </c>
      <c r="M30" s="220">
        <f t="shared" si="3"/>
        <v>566</v>
      </c>
      <c r="N30" s="266" t="s">
        <v>109</v>
      </c>
      <c r="O30" s="221" t="str">
        <f t="shared" si="4"/>
        <v>--</v>
      </c>
      <c r="P30" s="156" t="str">
        <f t="shared" si="5"/>
        <v>NO</v>
      </c>
      <c r="Q30" s="156" t="str">
        <f t="shared" si="6"/>
        <v>--</v>
      </c>
      <c r="R30" s="676">
        <f t="shared" si="7"/>
        <v>141.40096400000002</v>
      </c>
      <c r="S30" s="677" t="str">
        <f t="shared" si="8"/>
        <v>--</v>
      </c>
      <c r="T30" s="268" t="str">
        <f t="shared" si="9"/>
        <v>--</v>
      </c>
      <c r="U30" s="269" t="str">
        <f t="shared" si="10"/>
        <v>--</v>
      </c>
      <c r="V30" s="270" t="str">
        <f t="shared" si="11"/>
        <v>--</v>
      </c>
      <c r="W30" s="678" t="str">
        <f t="shared" si="12"/>
        <v>--</v>
      </c>
      <c r="X30" s="679" t="str">
        <f t="shared" si="13"/>
        <v>--</v>
      </c>
      <c r="Y30" s="680" t="str">
        <f t="shared" si="14"/>
        <v>--</v>
      </c>
      <c r="Z30" s="271" t="str">
        <f t="shared" si="15"/>
        <v>--</v>
      </c>
      <c r="AA30" s="272" t="str">
        <f t="shared" si="16"/>
        <v>--</v>
      </c>
      <c r="AB30" s="681" t="s">
        <v>110</v>
      </c>
      <c r="AC30" s="16">
        <f t="shared" si="17"/>
        <v>141.40096400000002</v>
      </c>
      <c r="AD30" s="16">
        <f t="shared" si="18"/>
        <v>92.01530971289927</v>
      </c>
      <c r="AE30" s="682"/>
    </row>
    <row r="31" spans="2:31" s="5" customFormat="1" ht="16.5" customHeight="1">
      <c r="B31" s="51"/>
      <c r="C31" s="159">
        <v>11</v>
      </c>
      <c r="D31" s="149" t="s">
        <v>208</v>
      </c>
      <c r="E31" s="151">
        <v>220</v>
      </c>
      <c r="F31" s="726">
        <v>77</v>
      </c>
      <c r="G31" s="151" t="s">
        <v>112</v>
      </c>
      <c r="H31" s="672">
        <f t="shared" si="0"/>
        <v>20</v>
      </c>
      <c r="I31" s="673">
        <f t="shared" si="1"/>
        <v>74.974</v>
      </c>
      <c r="J31" s="217">
        <v>39353.29236111111</v>
      </c>
      <c r="K31" s="265">
        <v>39353.79375</v>
      </c>
      <c r="L31" s="219">
        <f t="shared" si="2"/>
        <v>12.033333333267365</v>
      </c>
      <c r="M31" s="220">
        <f t="shared" si="3"/>
        <v>722</v>
      </c>
      <c r="N31" s="266" t="s">
        <v>109</v>
      </c>
      <c r="O31" s="221" t="str">
        <f t="shared" si="4"/>
        <v>--</v>
      </c>
      <c r="P31" s="156" t="str">
        <f t="shared" si="5"/>
        <v>NO</v>
      </c>
      <c r="Q31" s="156" t="str">
        <f t="shared" si="6"/>
        <v>--</v>
      </c>
      <c r="R31" s="676">
        <f t="shared" si="7"/>
        <v>180.387444</v>
      </c>
      <c r="S31" s="677" t="str">
        <f t="shared" si="8"/>
        <v>--</v>
      </c>
      <c r="T31" s="268" t="str">
        <f t="shared" si="9"/>
        <v>--</v>
      </c>
      <c r="U31" s="269" t="str">
        <f t="shared" si="10"/>
        <v>--</v>
      </c>
      <c r="V31" s="270" t="str">
        <f t="shared" si="11"/>
        <v>--</v>
      </c>
      <c r="W31" s="678" t="str">
        <f t="shared" si="12"/>
        <v>--</v>
      </c>
      <c r="X31" s="679" t="str">
        <f t="shared" si="13"/>
        <v>--</v>
      </c>
      <c r="Y31" s="680" t="str">
        <f t="shared" si="14"/>
        <v>--</v>
      </c>
      <c r="Z31" s="271" t="str">
        <f t="shared" si="15"/>
        <v>--</v>
      </c>
      <c r="AA31" s="272" t="str">
        <f t="shared" si="16"/>
        <v>--</v>
      </c>
      <c r="AB31" s="681" t="s">
        <v>110</v>
      </c>
      <c r="AC31" s="16">
        <f t="shared" si="17"/>
        <v>180.387444</v>
      </c>
      <c r="AD31" s="16">
        <f t="shared" si="18"/>
        <v>117.38538450118537</v>
      </c>
      <c r="AE31" s="682"/>
    </row>
    <row r="32" spans="2:31" s="5" customFormat="1" ht="16.5" customHeight="1">
      <c r="B32" s="51"/>
      <c r="C32" s="326">
        <v>12</v>
      </c>
      <c r="D32" s="149" t="s">
        <v>121</v>
      </c>
      <c r="E32" s="151">
        <v>500</v>
      </c>
      <c r="F32" s="726">
        <v>270</v>
      </c>
      <c r="G32" s="151" t="s">
        <v>112</v>
      </c>
      <c r="H32" s="672">
        <f t="shared" si="0"/>
        <v>20</v>
      </c>
      <c r="I32" s="673">
        <f t="shared" si="1"/>
        <v>242.91629999999998</v>
      </c>
      <c r="J32" s="217">
        <v>39354.33125</v>
      </c>
      <c r="K32" s="218">
        <v>39354.70277777778</v>
      </c>
      <c r="L32" s="219">
        <f t="shared" si="2"/>
        <v>8.916666666569654</v>
      </c>
      <c r="M32" s="220">
        <f t="shared" si="3"/>
        <v>535</v>
      </c>
      <c r="N32" s="266" t="s">
        <v>109</v>
      </c>
      <c r="O32" s="221" t="str">
        <f t="shared" si="4"/>
        <v>--</v>
      </c>
      <c r="P32" s="156" t="str">
        <f t="shared" si="5"/>
        <v>NO</v>
      </c>
      <c r="Q32" s="156" t="str">
        <f t="shared" si="6"/>
        <v>--</v>
      </c>
      <c r="R32" s="676">
        <f t="shared" si="7"/>
        <v>433.36267919999995</v>
      </c>
      <c r="S32" s="677" t="str">
        <f t="shared" si="8"/>
        <v>--</v>
      </c>
      <c r="T32" s="268" t="str">
        <f t="shared" si="9"/>
        <v>--</v>
      </c>
      <c r="U32" s="269" t="str">
        <f t="shared" si="10"/>
        <v>--</v>
      </c>
      <c r="V32" s="270" t="str">
        <f t="shared" si="11"/>
        <v>--</v>
      </c>
      <c r="W32" s="678" t="str">
        <f t="shared" si="12"/>
        <v>--</v>
      </c>
      <c r="X32" s="679" t="str">
        <f t="shared" si="13"/>
        <v>--</v>
      </c>
      <c r="Y32" s="680" t="str">
        <f t="shared" si="14"/>
        <v>--</v>
      </c>
      <c r="Z32" s="271" t="str">
        <f t="shared" si="15"/>
        <v>--</v>
      </c>
      <c r="AA32" s="272" t="str">
        <f t="shared" si="16"/>
        <v>--</v>
      </c>
      <c r="AB32" s="681" t="s">
        <v>110</v>
      </c>
      <c r="AC32" s="16">
        <f t="shared" si="17"/>
        <v>433.36267919999995</v>
      </c>
      <c r="AD32" s="16">
        <f t="shared" si="18"/>
        <v>282.006572066933</v>
      </c>
      <c r="AE32" s="682"/>
    </row>
    <row r="33" spans="2:31" s="5" customFormat="1" ht="16.5" customHeight="1">
      <c r="B33" s="51"/>
      <c r="C33" s="159"/>
      <c r="D33" s="149"/>
      <c r="E33" s="151"/>
      <c r="F33" s="726"/>
      <c r="G33" s="151"/>
      <c r="H33" s="672">
        <f t="shared" si="0"/>
        <v>20</v>
      </c>
      <c r="I33" s="673">
        <f t="shared" si="1"/>
        <v>74.974</v>
      </c>
      <c r="J33" s="217"/>
      <c r="K33" s="218"/>
      <c r="L33" s="219">
        <f t="shared" si="2"/>
      </c>
      <c r="M33" s="220">
        <f t="shared" si="3"/>
      </c>
      <c r="N33" s="266"/>
      <c r="O33" s="221">
        <f t="shared" si="4"/>
      </c>
      <c r="P33" s="156">
        <f t="shared" si="5"/>
      </c>
      <c r="Q33" s="156">
        <f t="shared" si="6"/>
      </c>
      <c r="R33" s="676" t="str">
        <f t="shared" si="7"/>
        <v>--</v>
      </c>
      <c r="S33" s="677" t="str">
        <f t="shared" si="8"/>
        <v>--</v>
      </c>
      <c r="T33" s="268" t="str">
        <f t="shared" si="9"/>
        <v>--</v>
      </c>
      <c r="U33" s="269" t="str">
        <f t="shared" si="10"/>
        <v>--</v>
      </c>
      <c r="V33" s="270" t="str">
        <f t="shared" si="11"/>
        <v>--</v>
      </c>
      <c r="W33" s="678" t="str">
        <f t="shared" si="12"/>
        <v>--</v>
      </c>
      <c r="X33" s="679" t="str">
        <f t="shared" si="13"/>
        <v>--</v>
      </c>
      <c r="Y33" s="680" t="str">
        <f t="shared" si="14"/>
        <v>--</v>
      </c>
      <c r="Z33" s="271" t="str">
        <f t="shared" si="15"/>
        <v>--</v>
      </c>
      <c r="AA33" s="272" t="str">
        <f t="shared" si="16"/>
        <v>--</v>
      </c>
      <c r="AB33" s="681">
        <f aca="true" t="shared" si="19" ref="AB33:AB40">IF(D33="","","SI")</f>
      </c>
      <c r="AC33" s="16">
        <f t="shared" si="17"/>
      </c>
      <c r="AD33" s="16"/>
      <c r="AE33" s="682"/>
    </row>
    <row r="34" spans="2:31" s="5" customFormat="1" ht="16.5" customHeight="1">
      <c r="B34" s="51"/>
      <c r="C34" s="326"/>
      <c r="D34" s="149"/>
      <c r="E34" s="151"/>
      <c r="F34" s="726"/>
      <c r="G34" s="151"/>
      <c r="H34" s="672">
        <f t="shared" si="0"/>
        <v>20</v>
      </c>
      <c r="I34" s="673">
        <f t="shared" si="1"/>
        <v>74.974</v>
      </c>
      <c r="J34" s="217"/>
      <c r="K34" s="218"/>
      <c r="L34" s="219">
        <f t="shared" si="2"/>
      </c>
      <c r="M34" s="220">
        <f t="shared" si="3"/>
      </c>
      <c r="N34" s="266"/>
      <c r="O34" s="221">
        <f t="shared" si="4"/>
      </c>
      <c r="P34" s="156">
        <f t="shared" si="5"/>
      </c>
      <c r="Q34" s="156">
        <f t="shared" si="6"/>
      </c>
      <c r="R34" s="676" t="str">
        <f t="shared" si="7"/>
        <v>--</v>
      </c>
      <c r="S34" s="677" t="str">
        <f t="shared" si="8"/>
        <v>--</v>
      </c>
      <c r="T34" s="268" t="str">
        <f t="shared" si="9"/>
        <v>--</v>
      </c>
      <c r="U34" s="269" t="str">
        <f t="shared" si="10"/>
        <v>--</v>
      </c>
      <c r="V34" s="270" t="str">
        <f t="shared" si="11"/>
        <v>--</v>
      </c>
      <c r="W34" s="678" t="str">
        <f t="shared" si="12"/>
        <v>--</v>
      </c>
      <c r="X34" s="679" t="str">
        <f t="shared" si="13"/>
        <v>--</v>
      </c>
      <c r="Y34" s="680" t="str">
        <f t="shared" si="14"/>
        <v>--</v>
      </c>
      <c r="Z34" s="271" t="str">
        <f t="shared" si="15"/>
        <v>--</v>
      </c>
      <c r="AA34" s="272" t="str">
        <f t="shared" si="16"/>
        <v>--</v>
      </c>
      <c r="AB34" s="681">
        <f t="shared" si="19"/>
      </c>
      <c r="AC34" s="16">
        <f t="shared" si="17"/>
      </c>
      <c r="AD34" s="16"/>
      <c r="AE34" s="682"/>
    </row>
    <row r="35" spans="2:31" s="5" customFormat="1" ht="16.5" customHeight="1">
      <c r="B35" s="51"/>
      <c r="C35" s="159"/>
      <c r="D35" s="149"/>
      <c r="E35" s="151"/>
      <c r="F35" s="726"/>
      <c r="G35" s="151"/>
      <c r="H35" s="672">
        <f t="shared" si="0"/>
        <v>20</v>
      </c>
      <c r="I35" s="673">
        <f t="shared" si="1"/>
        <v>74.974</v>
      </c>
      <c r="J35" s="217"/>
      <c r="K35" s="218"/>
      <c r="L35" s="219">
        <f t="shared" si="2"/>
      </c>
      <c r="M35" s="220">
        <f t="shared" si="3"/>
      </c>
      <c r="N35" s="266"/>
      <c r="O35" s="221">
        <f t="shared" si="4"/>
      </c>
      <c r="P35" s="156">
        <f t="shared" si="5"/>
      </c>
      <c r="Q35" s="156">
        <f t="shared" si="6"/>
      </c>
      <c r="R35" s="676" t="str">
        <f t="shared" si="7"/>
        <v>--</v>
      </c>
      <c r="S35" s="677" t="str">
        <f t="shared" si="8"/>
        <v>--</v>
      </c>
      <c r="T35" s="268" t="str">
        <f t="shared" si="9"/>
        <v>--</v>
      </c>
      <c r="U35" s="269" t="str">
        <f t="shared" si="10"/>
        <v>--</v>
      </c>
      <c r="V35" s="270" t="str">
        <f t="shared" si="11"/>
        <v>--</v>
      </c>
      <c r="W35" s="678" t="str">
        <f t="shared" si="12"/>
        <v>--</v>
      </c>
      <c r="X35" s="679" t="str">
        <f t="shared" si="13"/>
        <v>--</v>
      </c>
      <c r="Y35" s="680" t="str">
        <f t="shared" si="14"/>
        <v>--</v>
      </c>
      <c r="Z35" s="271" t="str">
        <f t="shared" si="15"/>
        <v>--</v>
      </c>
      <c r="AA35" s="272" t="str">
        <f t="shared" si="16"/>
        <v>--</v>
      </c>
      <c r="AB35" s="681">
        <f t="shared" si="19"/>
      </c>
      <c r="AC35" s="16">
        <f t="shared" si="17"/>
      </c>
      <c r="AD35" s="16"/>
      <c r="AE35" s="682"/>
    </row>
    <row r="36" spans="2:31" s="5" customFormat="1" ht="16.5" customHeight="1">
      <c r="B36" s="51"/>
      <c r="C36" s="326"/>
      <c r="D36" s="149"/>
      <c r="E36" s="151"/>
      <c r="F36" s="726"/>
      <c r="G36" s="151"/>
      <c r="H36" s="672">
        <f t="shared" si="0"/>
        <v>20</v>
      </c>
      <c r="I36" s="673">
        <f t="shared" si="1"/>
        <v>74.974</v>
      </c>
      <c r="J36" s="217"/>
      <c r="K36" s="218"/>
      <c r="L36" s="219">
        <f t="shared" si="2"/>
      </c>
      <c r="M36" s="220">
        <f t="shared" si="3"/>
      </c>
      <c r="N36" s="266"/>
      <c r="O36" s="221">
        <f t="shared" si="4"/>
      </c>
      <c r="P36" s="156">
        <f t="shared" si="5"/>
      </c>
      <c r="Q36" s="156">
        <f t="shared" si="6"/>
      </c>
      <c r="R36" s="676" t="str">
        <f t="shared" si="7"/>
        <v>--</v>
      </c>
      <c r="S36" s="677" t="str">
        <f t="shared" si="8"/>
        <v>--</v>
      </c>
      <c r="T36" s="268" t="str">
        <f t="shared" si="9"/>
        <v>--</v>
      </c>
      <c r="U36" s="269" t="str">
        <f t="shared" si="10"/>
        <v>--</v>
      </c>
      <c r="V36" s="270" t="str">
        <f t="shared" si="11"/>
        <v>--</v>
      </c>
      <c r="W36" s="678" t="str">
        <f t="shared" si="12"/>
        <v>--</v>
      </c>
      <c r="X36" s="679" t="str">
        <f t="shared" si="13"/>
        <v>--</v>
      </c>
      <c r="Y36" s="680" t="str">
        <f t="shared" si="14"/>
        <v>--</v>
      </c>
      <c r="Z36" s="271" t="str">
        <f t="shared" si="15"/>
        <v>--</v>
      </c>
      <c r="AA36" s="272" t="str">
        <f t="shared" si="16"/>
        <v>--</v>
      </c>
      <c r="AB36" s="681">
        <f t="shared" si="19"/>
      </c>
      <c r="AC36" s="16">
        <f t="shared" si="17"/>
      </c>
      <c r="AD36" s="16"/>
      <c r="AE36" s="682"/>
    </row>
    <row r="37" spans="2:31" s="5" customFormat="1" ht="16.5" customHeight="1">
      <c r="B37" s="51"/>
      <c r="C37" s="159"/>
      <c r="D37" s="149"/>
      <c r="E37" s="151"/>
      <c r="F37" s="726"/>
      <c r="G37" s="151"/>
      <c r="H37" s="672">
        <f t="shared" si="0"/>
        <v>20</v>
      </c>
      <c r="I37" s="673">
        <f t="shared" si="1"/>
        <v>74.974</v>
      </c>
      <c r="J37" s="217"/>
      <c r="K37" s="218"/>
      <c r="L37" s="219">
        <f t="shared" si="2"/>
      </c>
      <c r="M37" s="220">
        <f t="shared" si="3"/>
      </c>
      <c r="N37" s="266"/>
      <c r="O37" s="221">
        <f t="shared" si="4"/>
      </c>
      <c r="P37" s="156">
        <f t="shared" si="5"/>
      </c>
      <c r="Q37" s="156">
        <f t="shared" si="6"/>
      </c>
      <c r="R37" s="676" t="str">
        <f t="shared" si="7"/>
        <v>--</v>
      </c>
      <c r="S37" s="677" t="str">
        <f t="shared" si="8"/>
        <v>--</v>
      </c>
      <c r="T37" s="268" t="str">
        <f t="shared" si="9"/>
        <v>--</v>
      </c>
      <c r="U37" s="269" t="str">
        <f t="shared" si="10"/>
        <v>--</v>
      </c>
      <c r="V37" s="270" t="str">
        <f t="shared" si="11"/>
        <v>--</v>
      </c>
      <c r="W37" s="678" t="str">
        <f t="shared" si="12"/>
        <v>--</v>
      </c>
      <c r="X37" s="679" t="str">
        <f t="shared" si="13"/>
        <v>--</v>
      </c>
      <c r="Y37" s="680" t="str">
        <f t="shared" si="14"/>
        <v>--</v>
      </c>
      <c r="Z37" s="271" t="str">
        <f t="shared" si="15"/>
        <v>--</v>
      </c>
      <c r="AA37" s="272" t="str">
        <f t="shared" si="16"/>
        <v>--</v>
      </c>
      <c r="AB37" s="681">
        <f t="shared" si="19"/>
      </c>
      <c r="AC37" s="16">
        <f t="shared" si="17"/>
      </c>
      <c r="AD37" s="16"/>
      <c r="AE37" s="682"/>
    </row>
    <row r="38" spans="2:31" s="5" customFormat="1" ht="16.5" customHeight="1">
      <c r="B38" s="51"/>
      <c r="C38" s="326"/>
      <c r="D38" s="149"/>
      <c r="E38" s="151"/>
      <c r="F38" s="726"/>
      <c r="G38" s="151"/>
      <c r="H38" s="672">
        <f t="shared" si="0"/>
        <v>20</v>
      </c>
      <c r="I38" s="673">
        <f t="shared" si="1"/>
        <v>74.974</v>
      </c>
      <c r="J38" s="217"/>
      <c r="K38" s="218"/>
      <c r="L38" s="219">
        <f t="shared" si="2"/>
      </c>
      <c r="M38" s="220">
        <f t="shared" si="3"/>
      </c>
      <c r="N38" s="266"/>
      <c r="O38" s="221">
        <f t="shared" si="4"/>
      </c>
      <c r="P38" s="156">
        <f t="shared" si="5"/>
      </c>
      <c r="Q38" s="156">
        <f t="shared" si="6"/>
      </c>
      <c r="R38" s="676" t="str">
        <f t="shared" si="7"/>
        <v>--</v>
      </c>
      <c r="S38" s="677" t="str">
        <f t="shared" si="8"/>
        <v>--</v>
      </c>
      <c r="T38" s="268" t="str">
        <f t="shared" si="9"/>
        <v>--</v>
      </c>
      <c r="U38" s="269" t="str">
        <f t="shared" si="10"/>
        <v>--</v>
      </c>
      <c r="V38" s="270" t="str">
        <f t="shared" si="11"/>
        <v>--</v>
      </c>
      <c r="W38" s="678" t="str">
        <f t="shared" si="12"/>
        <v>--</v>
      </c>
      <c r="X38" s="679" t="str">
        <f t="shared" si="13"/>
        <v>--</v>
      </c>
      <c r="Y38" s="680" t="str">
        <f t="shared" si="14"/>
        <v>--</v>
      </c>
      <c r="Z38" s="271" t="str">
        <f t="shared" si="15"/>
        <v>--</v>
      </c>
      <c r="AA38" s="272" t="str">
        <f t="shared" si="16"/>
        <v>--</v>
      </c>
      <c r="AB38" s="681">
        <f t="shared" si="19"/>
      </c>
      <c r="AC38" s="16">
        <f t="shared" si="17"/>
      </c>
      <c r="AD38" s="16"/>
      <c r="AE38" s="682"/>
    </row>
    <row r="39" spans="2:31" s="5" customFormat="1" ht="16.5" customHeight="1">
      <c r="B39" s="51"/>
      <c r="C39" s="159"/>
      <c r="D39" s="149"/>
      <c r="E39" s="151"/>
      <c r="F39" s="726"/>
      <c r="G39" s="151"/>
      <c r="H39" s="672">
        <f t="shared" si="0"/>
        <v>20</v>
      </c>
      <c r="I39" s="673">
        <f t="shared" si="1"/>
        <v>74.974</v>
      </c>
      <c r="J39" s="217"/>
      <c r="K39" s="218"/>
      <c r="L39" s="219">
        <f t="shared" si="2"/>
      </c>
      <c r="M39" s="220">
        <f t="shared" si="3"/>
      </c>
      <c r="N39" s="266"/>
      <c r="O39" s="221">
        <f t="shared" si="4"/>
      </c>
      <c r="P39" s="156">
        <f t="shared" si="5"/>
      </c>
      <c r="Q39" s="156">
        <f t="shared" si="6"/>
      </c>
      <c r="R39" s="676" t="str">
        <f t="shared" si="7"/>
        <v>--</v>
      </c>
      <c r="S39" s="677" t="str">
        <f t="shared" si="8"/>
        <v>--</v>
      </c>
      <c r="T39" s="268" t="str">
        <f t="shared" si="9"/>
        <v>--</v>
      </c>
      <c r="U39" s="269" t="str">
        <f t="shared" si="10"/>
        <v>--</v>
      </c>
      <c r="V39" s="270" t="str">
        <f t="shared" si="11"/>
        <v>--</v>
      </c>
      <c r="W39" s="678" t="str">
        <f t="shared" si="12"/>
        <v>--</v>
      </c>
      <c r="X39" s="679" t="str">
        <f t="shared" si="13"/>
        <v>--</v>
      </c>
      <c r="Y39" s="680" t="str">
        <f t="shared" si="14"/>
        <v>--</v>
      </c>
      <c r="Z39" s="271" t="str">
        <f t="shared" si="15"/>
        <v>--</v>
      </c>
      <c r="AA39" s="272" t="str">
        <f t="shared" si="16"/>
        <v>--</v>
      </c>
      <c r="AB39" s="681">
        <f t="shared" si="19"/>
      </c>
      <c r="AC39" s="16">
        <f t="shared" si="17"/>
      </c>
      <c r="AD39" s="16"/>
      <c r="AE39" s="682"/>
    </row>
    <row r="40" spans="2:31" s="5" customFormat="1" ht="16.5" customHeight="1">
      <c r="B40" s="51"/>
      <c r="C40" s="326"/>
      <c r="D40" s="149"/>
      <c r="E40" s="151"/>
      <c r="F40" s="726"/>
      <c r="G40" s="151"/>
      <c r="H40" s="672">
        <f t="shared" si="0"/>
        <v>20</v>
      </c>
      <c r="I40" s="673">
        <f t="shared" si="1"/>
        <v>74.974</v>
      </c>
      <c r="J40" s="217"/>
      <c r="K40" s="218"/>
      <c r="L40" s="219">
        <f t="shared" si="2"/>
      </c>
      <c r="M40" s="220">
        <f t="shared" si="3"/>
      </c>
      <c r="N40" s="266"/>
      <c r="O40" s="221">
        <f t="shared" si="4"/>
      </c>
      <c r="P40" s="156">
        <f t="shared" si="5"/>
      </c>
      <c r="Q40" s="156">
        <f t="shared" si="6"/>
      </c>
      <c r="R40" s="676" t="str">
        <f t="shared" si="7"/>
        <v>--</v>
      </c>
      <c r="S40" s="677" t="str">
        <f t="shared" si="8"/>
        <v>--</v>
      </c>
      <c r="T40" s="268" t="str">
        <f t="shared" si="9"/>
        <v>--</v>
      </c>
      <c r="U40" s="269" t="str">
        <f t="shared" si="10"/>
        <v>--</v>
      </c>
      <c r="V40" s="270" t="str">
        <f t="shared" si="11"/>
        <v>--</v>
      </c>
      <c r="W40" s="678" t="str">
        <f t="shared" si="12"/>
        <v>--</v>
      </c>
      <c r="X40" s="679" t="str">
        <f t="shared" si="13"/>
        <v>--</v>
      </c>
      <c r="Y40" s="680" t="str">
        <f t="shared" si="14"/>
        <v>--</v>
      </c>
      <c r="Z40" s="271" t="str">
        <f t="shared" si="15"/>
        <v>--</v>
      </c>
      <c r="AA40" s="272" t="str">
        <f t="shared" si="16"/>
        <v>--</v>
      </c>
      <c r="AB40" s="681">
        <f t="shared" si="19"/>
      </c>
      <c r="AC40" s="16">
        <f t="shared" si="17"/>
      </c>
      <c r="AD40" s="16"/>
      <c r="AE40" s="682"/>
    </row>
    <row r="41" spans="2:31" s="5" customFormat="1" ht="16.5" customHeight="1" thickBot="1">
      <c r="B41" s="51"/>
      <c r="C41" s="159"/>
      <c r="D41" s="153"/>
      <c r="E41" s="274"/>
      <c r="F41" s="720"/>
      <c r="G41" s="275"/>
      <c r="H41" s="687"/>
      <c r="I41" s="688"/>
      <c r="J41" s="718"/>
      <c r="K41" s="718"/>
      <c r="L41" s="9"/>
      <c r="M41" s="9"/>
      <c r="N41" s="155"/>
      <c r="O41" s="226"/>
      <c r="P41" s="155"/>
      <c r="Q41" s="155"/>
      <c r="R41" s="689"/>
      <c r="S41" s="690"/>
      <c r="T41" s="276"/>
      <c r="U41" s="277"/>
      <c r="V41" s="278"/>
      <c r="W41" s="691"/>
      <c r="X41" s="692"/>
      <c r="Y41" s="693"/>
      <c r="Z41" s="279"/>
      <c r="AA41" s="280"/>
      <c r="AB41" s="694"/>
      <c r="AC41" s="281"/>
      <c r="AD41" s="281"/>
      <c r="AE41" s="682"/>
    </row>
    <row r="42" spans="2:31" s="5" customFormat="1" ht="16.5" customHeight="1" thickBot="1" thickTop="1">
      <c r="B42" s="51"/>
      <c r="C42" s="129" t="s">
        <v>23</v>
      </c>
      <c r="D42" s="130" t="s">
        <v>195</v>
      </c>
      <c r="E42" s="282"/>
      <c r="F42" s="251"/>
      <c r="G42" s="283"/>
      <c r="H42" s="251"/>
      <c r="I42" s="227"/>
      <c r="J42" s="227"/>
      <c r="K42" s="227"/>
      <c r="L42" s="227"/>
      <c r="M42" s="227"/>
      <c r="N42" s="227"/>
      <c r="O42" s="284"/>
      <c r="P42" s="227"/>
      <c r="Q42" s="227"/>
      <c r="R42" s="695">
        <f aca="true" t="shared" si="20" ref="R42:AA42">SUM(R20:R41)</f>
        <v>15434.3515386</v>
      </c>
      <c r="S42" s="696">
        <f t="shared" si="20"/>
        <v>0</v>
      </c>
      <c r="T42" s="697">
        <f t="shared" si="20"/>
        <v>0</v>
      </c>
      <c r="U42" s="697">
        <f t="shared" si="20"/>
        <v>0</v>
      </c>
      <c r="V42" s="697">
        <f t="shared" si="20"/>
        <v>0</v>
      </c>
      <c r="W42" s="698">
        <f t="shared" si="20"/>
        <v>0</v>
      </c>
      <c r="X42" s="698">
        <f t="shared" si="20"/>
        <v>0</v>
      </c>
      <c r="Y42" s="698">
        <f t="shared" si="20"/>
        <v>0</v>
      </c>
      <c r="Z42" s="285">
        <f t="shared" si="20"/>
        <v>0</v>
      </c>
      <c r="AA42" s="286">
        <f t="shared" si="20"/>
        <v>0</v>
      </c>
      <c r="AB42" s="287"/>
      <c r="AC42" s="288">
        <f>ROUND(SUM(AC20:AC41),2)</f>
        <v>15391.32</v>
      </c>
      <c r="AD42" s="288">
        <f>SUM(AD22:AD32)</f>
        <v>10015.75032540361</v>
      </c>
      <c r="AE42" s="682"/>
    </row>
    <row r="43" spans="2:31" s="135" customFormat="1" ht="9.75" thickTop="1">
      <c r="B43" s="134"/>
      <c r="C43" s="131"/>
      <c r="D43" s="132"/>
      <c r="E43" s="289"/>
      <c r="F43" s="290"/>
      <c r="G43" s="291"/>
      <c r="H43" s="290"/>
      <c r="I43" s="233"/>
      <c r="J43" s="233"/>
      <c r="K43" s="233"/>
      <c r="L43" s="233"/>
      <c r="M43" s="233"/>
      <c r="N43" s="233"/>
      <c r="O43" s="292"/>
      <c r="P43" s="233"/>
      <c r="Q43" s="233"/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93"/>
      <c r="AD43" s="293"/>
      <c r="AE43" s="294"/>
    </row>
    <row r="44" spans="2:31" s="5" customFormat="1" ht="16.5" customHeight="1" thickBot="1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  <c r="Z44" s="76"/>
      <c r="AA44" s="76"/>
      <c r="AB44" s="76"/>
      <c r="AC44" s="76"/>
      <c r="AD44" s="76"/>
      <c r="AE44" s="77"/>
    </row>
    <row r="45" spans="2:31" ht="16.5" customHeight="1" thickTop="1">
      <c r="B45" s="1"/>
      <c r="AE45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AF27"/>
  <sheetViews>
    <sheetView zoomScale="75" zoomScaleNormal="75" workbookViewId="0" topLeftCell="L4">
      <selection activeCell="J41" sqref="J4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45.7109375" style="0" customWidth="1"/>
    <col min="5" max="6" width="9.7109375" style="0" customWidth="1"/>
    <col min="7" max="7" width="3.7109375" style="0" bestFit="1" customWidth="1"/>
    <col min="8" max="8" width="3.140625" style="0" hidden="1" customWidth="1"/>
    <col min="9" max="9" width="7.00390625" style="0" hidden="1" customWidth="1"/>
    <col min="10" max="11" width="15.7109375" style="0" customWidth="1"/>
    <col min="12" max="14" width="9.7109375" style="0" customWidth="1"/>
    <col min="15" max="15" width="8.7109375" style="0" customWidth="1"/>
    <col min="16" max="16" width="5.421875" style="0" customWidth="1"/>
    <col min="17" max="17" width="5.8515625" style="0" customWidth="1"/>
    <col min="18" max="19" width="12.28125" style="0" hidden="1" customWidth="1"/>
    <col min="20" max="20" width="6.421875" style="0" hidden="1" customWidth="1"/>
    <col min="21" max="21" width="9.8515625" style="0" hidden="1" customWidth="1"/>
    <col min="22" max="25" width="5.7109375" style="0" hidden="1" customWidth="1"/>
    <col min="26" max="26" width="12.28125" style="0" hidden="1" customWidth="1"/>
    <col min="27" max="27" width="13.421875" style="0" hidden="1" customWidth="1"/>
    <col min="28" max="28" width="9.7109375" style="0" customWidth="1"/>
    <col min="29" max="31" width="15.7109375" style="0" customWidth="1"/>
    <col min="32" max="32" width="30.421875" style="0" customWidth="1"/>
    <col min="33" max="33" width="3.140625" style="0" customWidth="1"/>
    <col min="34" max="34" width="3.57421875" style="0" customWidth="1"/>
    <col min="35" max="35" width="24.28125" style="0" customWidth="1"/>
    <col min="36" max="36" width="4.7109375" style="0" customWidth="1"/>
    <col min="37" max="37" width="7.57421875" style="0" customWidth="1"/>
    <col min="38" max="39" width="4.140625" style="0" customWidth="1"/>
    <col min="40" max="40" width="7.140625" style="0" customWidth="1"/>
    <col min="41" max="41" width="5.28125" style="0" customWidth="1"/>
    <col min="42" max="42" width="5.421875" style="0" customWidth="1"/>
    <col min="43" max="43" width="4.7109375" style="0" customWidth="1"/>
    <col min="44" max="44" width="5.28125" style="0" customWidth="1"/>
    <col min="45" max="46" width="13.28125" style="0" customWidth="1"/>
    <col min="47" max="47" width="6.57421875" style="0" customWidth="1"/>
    <col min="48" max="48" width="6.421875" style="0" customWidth="1"/>
    <col min="53" max="53" width="12.7109375" style="0" customWidth="1"/>
    <col min="57" max="57" width="21.00390625" style="0" customWidth="1"/>
  </cols>
  <sheetData>
    <row r="1" spans="1:31" s="19" customFormat="1" ht="26.25">
      <c r="A1"/>
      <c r="C1"/>
      <c r="E1"/>
      <c r="G1"/>
      <c r="I1"/>
      <c r="K1"/>
      <c r="M1"/>
      <c r="O1"/>
      <c r="Q1"/>
      <c r="S1"/>
      <c r="U1"/>
      <c r="W1"/>
      <c r="Y1"/>
      <c r="AE1" s="147"/>
    </row>
    <row r="2" spans="1:31" s="19" customFormat="1" ht="26.25">
      <c r="A2" s="90"/>
      <c r="B2" s="20" t="str">
        <f>'TOT-0907'!B2</f>
        <v>ANEXO V al Memorandum D.T.E.E. N°  719/2011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</row>
    <row r="3" s="5" customFormat="1" ht="12.75">
      <c r="A3" s="89"/>
    </row>
    <row r="4" spans="1:2" s="26" customFormat="1" ht="11.25">
      <c r="A4" s="24" t="s">
        <v>1</v>
      </c>
      <c r="B4" s="126"/>
    </row>
    <row r="5" spans="1:2" s="26" customFormat="1" ht="11.25">
      <c r="A5" s="24" t="s">
        <v>2</v>
      </c>
      <c r="B5" s="126"/>
    </row>
    <row r="6" s="5" customFormat="1" ht="13.5" thickBot="1"/>
    <row r="7" spans="2:31" s="5" customFormat="1" ht="13.5" thickTop="1">
      <c r="B7" s="70"/>
      <c r="C7" s="71"/>
      <c r="D7" s="71"/>
      <c r="E7" s="243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93"/>
    </row>
    <row r="8" spans="2:31" s="30" customFormat="1" ht="20.25">
      <c r="B8" s="80"/>
      <c r="C8" s="31"/>
      <c r="D8" s="179" t="s">
        <v>52</v>
      </c>
      <c r="E8" s="31"/>
      <c r="F8" s="31"/>
      <c r="G8" s="31"/>
      <c r="H8" s="31"/>
      <c r="N8" s="31"/>
      <c r="O8" s="31"/>
      <c r="P8" s="11"/>
      <c r="Q8" s="1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108"/>
    </row>
    <row r="9" spans="2:31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18"/>
    </row>
    <row r="10" spans="2:31" s="30" customFormat="1" ht="20.25">
      <c r="B10" s="80"/>
      <c r="C10" s="31"/>
      <c r="D10" s="11" t="s">
        <v>11</v>
      </c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108"/>
    </row>
    <row r="11" spans="2:31" s="5" customFormat="1" ht="12.75">
      <c r="B11" s="51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18"/>
    </row>
    <row r="12" spans="2:31" s="30" customFormat="1" ht="20.25">
      <c r="B12" s="80"/>
      <c r="C12" s="31"/>
      <c r="D12" s="11" t="s">
        <v>205</v>
      </c>
      <c r="E12" s="31"/>
      <c r="F12" s="31"/>
      <c r="G12" s="31"/>
      <c r="I12" s="31"/>
      <c r="J12" s="31"/>
      <c r="K12" s="31"/>
      <c r="L12" s="31"/>
      <c r="M12" s="31"/>
      <c r="N12" s="31"/>
      <c r="O12" s="31"/>
      <c r="P12" s="11"/>
      <c r="Q12" s="1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108"/>
    </row>
    <row r="13" spans="2:31" s="5" customFormat="1" ht="12.75">
      <c r="B13" s="51"/>
      <c r="C13" s="4"/>
      <c r="D13" s="4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18"/>
    </row>
    <row r="14" spans="2:31" s="37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246"/>
      <c r="O14" s="246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145"/>
    </row>
    <row r="15" spans="2:31" s="5" customFormat="1" ht="16.5" customHeight="1" thickBot="1">
      <c r="B15" s="51"/>
      <c r="C15" s="4"/>
      <c r="D15" s="4"/>
      <c r="E15" s="67"/>
      <c r="F15" s="67"/>
      <c r="G15" s="4"/>
      <c r="H15" s="4"/>
      <c r="I15" s="4"/>
      <c r="J15" s="247"/>
      <c r="K15" s="4"/>
      <c r="L15" s="4"/>
      <c r="M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18"/>
    </row>
    <row r="16" spans="2:31" s="5" customFormat="1" ht="16.5" customHeight="1" thickBot="1" thickTop="1">
      <c r="B16" s="51"/>
      <c r="C16" s="4"/>
      <c r="D16" s="83" t="s">
        <v>75</v>
      </c>
      <c r="E16" s="721">
        <v>89.969</v>
      </c>
      <c r="F16" s="248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18"/>
    </row>
    <row r="17" spans="2:31" s="5" customFormat="1" ht="16.5" customHeight="1" thickBot="1" thickTop="1">
      <c r="B17" s="51"/>
      <c r="C17" s="4"/>
      <c r="D17" s="83" t="s">
        <v>76</v>
      </c>
      <c r="E17" s="721">
        <v>74.974</v>
      </c>
      <c r="F17" s="248"/>
      <c r="G17" s="4"/>
      <c r="H17" s="4"/>
      <c r="I17" s="4"/>
      <c r="J17" s="249"/>
      <c r="K17" s="250"/>
      <c r="L17" s="4"/>
      <c r="M17" s="4"/>
      <c r="N17" s="4"/>
      <c r="O17" s="4"/>
      <c r="P17" s="4"/>
      <c r="Q17" s="4"/>
      <c r="R17" s="4"/>
      <c r="S17" s="4"/>
      <c r="T17" s="4"/>
      <c r="U17" s="4"/>
      <c r="V17" s="116"/>
      <c r="W17" s="116"/>
      <c r="X17" s="116"/>
      <c r="Y17" s="116"/>
      <c r="Z17" s="116"/>
      <c r="AA17" s="116"/>
      <c r="AB17" s="116"/>
      <c r="AE17" s="18"/>
    </row>
    <row r="18" spans="2:31" s="5" customFormat="1" ht="16.5" customHeight="1" thickBot="1" thickTop="1">
      <c r="B18" s="51"/>
      <c r="C18" s="4"/>
      <c r="D18" s="4"/>
      <c r="E18" s="251"/>
      <c r="F18" s="4"/>
      <c r="G18" s="4"/>
      <c r="H18" s="4"/>
      <c r="I18" s="4"/>
      <c r="J18" s="4"/>
      <c r="K18" s="4"/>
      <c r="L18" s="4"/>
      <c r="M18" s="4"/>
      <c r="N18" s="252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18"/>
    </row>
    <row r="19" spans="2:31" s="5" customFormat="1" ht="33.75" customHeight="1" thickBot="1" thickTop="1">
      <c r="B19" s="51"/>
      <c r="C19" s="85" t="s">
        <v>12</v>
      </c>
      <c r="D19" s="86" t="s">
        <v>0</v>
      </c>
      <c r="E19" s="654" t="s">
        <v>13</v>
      </c>
      <c r="F19" s="87" t="s">
        <v>14</v>
      </c>
      <c r="G19" s="253" t="s">
        <v>56</v>
      </c>
      <c r="H19" s="655" t="s">
        <v>36</v>
      </c>
      <c r="I19" s="656" t="s">
        <v>15</v>
      </c>
      <c r="J19" s="86" t="s">
        <v>16</v>
      </c>
      <c r="K19" s="195" t="s">
        <v>17</v>
      </c>
      <c r="L19" s="88" t="s">
        <v>35</v>
      </c>
      <c r="M19" s="87" t="s">
        <v>30</v>
      </c>
      <c r="N19" s="88" t="s">
        <v>18</v>
      </c>
      <c r="O19" s="87" t="s">
        <v>43</v>
      </c>
      <c r="P19" s="195" t="s">
        <v>44</v>
      </c>
      <c r="Q19" s="86" t="s">
        <v>31</v>
      </c>
      <c r="R19" s="144" t="s">
        <v>19</v>
      </c>
      <c r="S19" s="657" t="s">
        <v>20</v>
      </c>
      <c r="T19" s="254" t="s">
        <v>45</v>
      </c>
      <c r="U19" s="255"/>
      <c r="V19" s="256"/>
      <c r="W19" s="658" t="s">
        <v>104</v>
      </c>
      <c r="X19" s="659"/>
      <c r="Y19" s="660"/>
      <c r="Z19" s="257" t="s">
        <v>21</v>
      </c>
      <c r="AA19" s="258" t="s">
        <v>57</v>
      </c>
      <c r="AB19" s="140" t="s">
        <v>58</v>
      </c>
      <c r="AC19" s="140" t="s">
        <v>22</v>
      </c>
      <c r="AD19" s="140" t="s">
        <v>211</v>
      </c>
      <c r="AE19" s="259"/>
    </row>
    <row r="20" spans="2:32" s="5" customFormat="1" ht="16.5" customHeight="1" thickTop="1">
      <c r="B20" s="51"/>
      <c r="C20" s="159"/>
      <c r="D20" s="683"/>
      <c r="E20" s="684"/>
      <c r="F20" s="725"/>
      <c r="G20" s="684"/>
      <c r="H20" s="672"/>
      <c r="I20" s="673"/>
      <c r="J20" s="685"/>
      <c r="K20" s="686"/>
      <c r="L20" s="219"/>
      <c r="M20" s="220"/>
      <c r="N20" s="266"/>
      <c r="O20" s="221"/>
      <c r="P20" s="156"/>
      <c r="Q20" s="156"/>
      <c r="R20" s="676"/>
      <c r="S20" s="677"/>
      <c r="T20" s="268"/>
      <c r="U20" s="269"/>
      <c r="V20" s="270"/>
      <c r="W20" s="678"/>
      <c r="X20" s="679"/>
      <c r="Y20" s="680"/>
      <c r="Z20" s="271"/>
      <c r="AA20" s="272"/>
      <c r="AB20" s="681"/>
      <c r="AC20" s="16"/>
      <c r="AD20" s="16"/>
      <c r="AE20" s="682"/>
      <c r="AF20" s="756">
        <v>0.3492596718583952</v>
      </c>
    </row>
    <row r="21" spans="2:31" s="5" customFormat="1" ht="16.5" customHeight="1">
      <c r="B21" s="51"/>
      <c r="C21" s="159">
        <v>5</v>
      </c>
      <c r="D21" s="159" t="s">
        <v>115</v>
      </c>
      <c r="E21" s="216">
        <v>500</v>
      </c>
      <c r="F21" s="724">
        <v>255</v>
      </c>
      <c r="G21" s="216" t="s">
        <v>116</v>
      </c>
      <c r="H21" s="672">
        <f>IF(G21="A",200,IF(G21="B",60,20))</f>
        <v>60</v>
      </c>
      <c r="I21" s="673">
        <f>IF(E21=500,IF(F21&lt;100,100*$E$16/100,F21*$E$16/100),IF(F21&lt;100,100*$E$17/100,F21*$E$17/100))</f>
        <v>229.42094999999998</v>
      </c>
      <c r="J21" s="674">
        <v>39338.72361111111</v>
      </c>
      <c r="K21" s="675">
        <v>39338.731944444444</v>
      </c>
      <c r="L21" s="219">
        <f>IF(D21="","",(K21-J21)*24)</f>
        <v>0.19999999995343387</v>
      </c>
      <c r="M21" s="220">
        <f>IF(D21="","",ROUND((K21-J21)*24*60,0))</f>
        <v>12</v>
      </c>
      <c r="N21" s="266" t="s">
        <v>117</v>
      </c>
      <c r="O21" s="221" t="str">
        <f>IF(D21="","","--")</f>
        <v>--</v>
      </c>
      <c r="P21" s="156" t="str">
        <f>IF(D21="","","NO")</f>
        <v>NO</v>
      </c>
      <c r="Q21" s="156" t="str">
        <f>IF(D21="","",IF(OR(N21="P",N21="RP"),"--","NO"))</f>
        <v>NO</v>
      </c>
      <c r="R21" s="676" t="str">
        <f>IF(N21="P",I21*H21*ROUND(M21/60,2)*0.01,"--")</f>
        <v>--</v>
      </c>
      <c r="S21" s="677" t="str">
        <f>IF(N21="RP",I21*H21*ROUND(M21/60,2)*0.01*O21/100,"--")</f>
        <v>--</v>
      </c>
      <c r="T21" s="268">
        <v>0</v>
      </c>
      <c r="U21" s="269">
        <f>IF(AND(N21="F",M21&gt;=10),I21*H21*IF(P21="SI",1.2,1)*IF(M21&lt;=300,ROUND(M21/60,2),5),"--")</f>
        <v>2753.0514</v>
      </c>
      <c r="V21" s="270" t="str">
        <f>IF(AND(N21="F",M21&gt;300),(ROUND(M21/60,2)-5)*I21*H21*0.1*IF(P21="SI",1.2,1),"--")</f>
        <v>--</v>
      </c>
      <c r="W21" s="678" t="str">
        <f>IF(AND(N21="R",Q21="NO"),I21*H21*O21/100*IF(P21="SI",1.2,1),"--")</f>
        <v>--</v>
      </c>
      <c r="X21" s="679" t="str">
        <f>IF(AND(N21="R",M21&gt;=10),I21*H21*O21/100*IF(P21="SI",1.2,1)*IF(M21&lt;=300,ROUND(M21/60,2),5),"--")</f>
        <v>--</v>
      </c>
      <c r="Y21" s="680" t="str">
        <f>IF(AND(N21="R",M21&gt;300),(ROUND(M21/60,2)-5)*I21*H21*0.1*O21/100*IF(P21="SI",1.2,1),"--")</f>
        <v>--</v>
      </c>
      <c r="Z21" s="271" t="str">
        <f>IF(N21="RF",ROUND(M21/60,2)*I21*H21*0.1*IF(P21="SI",1.2,1),"--")</f>
        <v>--</v>
      </c>
      <c r="AA21" s="272" t="str">
        <f>IF(N21="RR",ROUND(M21/60,2)*I21*H21*0.1*O21/100*IF(P21="SI",1.2,1),"--")</f>
        <v>--</v>
      </c>
      <c r="AB21" s="681" t="s">
        <v>110</v>
      </c>
      <c r="AC21" s="16">
        <f>IF(D21="","",SUM(R21:AA21)*IF(AB21="SI",1,2))</f>
        <v>2753.0514</v>
      </c>
      <c r="AD21" s="16">
        <f>AC21*(1-AF20)</f>
        <v>1791.5215714267047</v>
      </c>
      <c r="AE21" s="682"/>
    </row>
    <row r="22" spans="2:31" s="5" customFormat="1" ht="16.5" customHeight="1">
      <c r="B22" s="51"/>
      <c r="C22" s="159"/>
      <c r="D22" s="159"/>
      <c r="E22" s="216"/>
      <c r="F22" s="724"/>
      <c r="G22" s="216"/>
      <c r="H22" s="672"/>
      <c r="I22" s="673"/>
      <c r="J22" s="674"/>
      <c r="K22" s="675"/>
      <c r="L22" s="219"/>
      <c r="M22" s="220"/>
      <c r="N22" s="266"/>
      <c r="O22" s="221"/>
      <c r="P22" s="156"/>
      <c r="Q22" s="156"/>
      <c r="R22" s="676"/>
      <c r="S22" s="677"/>
      <c r="T22" s="268"/>
      <c r="U22" s="269"/>
      <c r="V22" s="270"/>
      <c r="W22" s="678"/>
      <c r="X22" s="679"/>
      <c r="Y22" s="680"/>
      <c r="Z22" s="271"/>
      <c r="AA22" s="272"/>
      <c r="AB22" s="681"/>
      <c r="AC22" s="16"/>
      <c r="AD22" s="16"/>
      <c r="AE22" s="682"/>
    </row>
    <row r="23" spans="2:31" s="5" customFormat="1" ht="16.5" customHeight="1" thickBot="1">
      <c r="B23" s="51"/>
      <c r="C23" s="159"/>
      <c r="D23" s="153"/>
      <c r="E23" s="274"/>
      <c r="F23" s="720"/>
      <c r="G23" s="275"/>
      <c r="H23" s="687"/>
      <c r="I23" s="688"/>
      <c r="J23" s="718"/>
      <c r="K23" s="718"/>
      <c r="L23" s="9"/>
      <c r="M23" s="9"/>
      <c r="N23" s="155"/>
      <c r="O23" s="226"/>
      <c r="P23" s="155"/>
      <c r="Q23" s="155"/>
      <c r="R23" s="689"/>
      <c r="S23" s="690"/>
      <c r="T23" s="276"/>
      <c r="U23" s="277"/>
      <c r="V23" s="278"/>
      <c r="W23" s="691"/>
      <c r="X23" s="692"/>
      <c r="Y23" s="693"/>
      <c r="Z23" s="279"/>
      <c r="AA23" s="280"/>
      <c r="AB23" s="694"/>
      <c r="AC23" s="281"/>
      <c r="AD23" s="281"/>
      <c r="AE23" s="682"/>
    </row>
    <row r="24" spans="2:31" s="5" customFormat="1" ht="16.5" customHeight="1" thickBot="1" thickTop="1">
      <c r="B24" s="51"/>
      <c r="C24" s="129" t="s">
        <v>23</v>
      </c>
      <c r="D24" s="130" t="s">
        <v>193</v>
      </c>
      <c r="E24" s="282"/>
      <c r="F24" s="251"/>
      <c r="G24" s="283"/>
      <c r="H24" s="251"/>
      <c r="I24" s="227"/>
      <c r="J24" s="227"/>
      <c r="K24" s="227"/>
      <c r="L24" s="227"/>
      <c r="M24" s="227"/>
      <c r="N24" s="227"/>
      <c r="O24" s="284"/>
      <c r="P24" s="227"/>
      <c r="Q24" s="227"/>
      <c r="R24" s="695">
        <f aca="true" t="shared" si="0" ref="R24:AA24">SUM(R20:R23)</f>
        <v>0</v>
      </c>
      <c r="S24" s="696">
        <f t="shared" si="0"/>
        <v>0</v>
      </c>
      <c r="T24" s="697">
        <f t="shared" si="0"/>
        <v>0</v>
      </c>
      <c r="U24" s="697">
        <f t="shared" si="0"/>
        <v>2753.0514</v>
      </c>
      <c r="V24" s="697">
        <f t="shared" si="0"/>
        <v>0</v>
      </c>
      <c r="W24" s="698">
        <f t="shared" si="0"/>
        <v>0</v>
      </c>
      <c r="X24" s="698">
        <f t="shared" si="0"/>
        <v>0</v>
      </c>
      <c r="Y24" s="698">
        <f t="shared" si="0"/>
        <v>0</v>
      </c>
      <c r="Z24" s="285">
        <f t="shared" si="0"/>
        <v>0</v>
      </c>
      <c r="AA24" s="286">
        <f t="shared" si="0"/>
        <v>0</v>
      </c>
      <c r="AB24" s="287"/>
      <c r="AC24" s="288">
        <f>ROUND(SUM(AC20:AC23),2)</f>
        <v>2753.05</v>
      </c>
      <c r="AD24" s="288">
        <f>SUM(AD21:AD22)</f>
        <v>1791.5215714267047</v>
      </c>
      <c r="AE24" s="682"/>
    </row>
    <row r="25" spans="2:31" s="135" customFormat="1" ht="9.75" thickTop="1">
      <c r="B25" s="134"/>
      <c r="C25" s="131"/>
      <c r="D25" s="132" t="s">
        <v>194</v>
      </c>
      <c r="E25" s="289"/>
      <c r="F25" s="290"/>
      <c r="G25" s="291"/>
      <c r="H25" s="290"/>
      <c r="I25" s="233"/>
      <c r="J25" s="233"/>
      <c r="K25" s="233"/>
      <c r="L25" s="233"/>
      <c r="M25" s="233"/>
      <c r="N25" s="233"/>
      <c r="O25" s="292"/>
      <c r="P25" s="233"/>
      <c r="Q25" s="233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93"/>
      <c r="AD25" s="293"/>
      <c r="AE25" s="294"/>
    </row>
    <row r="26" spans="2:31" s="5" customFormat="1" ht="16.5" customHeight="1" thickBot="1">
      <c r="B26" s="75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7"/>
    </row>
    <row r="27" spans="2:31" ht="16.5" customHeight="1" thickTop="1">
      <c r="B27" s="1"/>
      <c r="AE27" s="1"/>
    </row>
  </sheetData>
  <sheetProtection password="CC12"/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9" r:id="rId2"/>
  <headerFooter alignWithMargins="0">
    <oddFooter>&amp;L&amp;"Times New Roman,Normal"&amp;8&amp;F-&amp;A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>
    <pageSetUpPr fitToPage="1"/>
  </sheetPr>
  <dimension ref="A1:AD156"/>
  <sheetViews>
    <sheetView zoomScale="75" zoomScaleNormal="75" workbookViewId="0" topLeftCell="I1">
      <selection activeCell="J41" sqref="J4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5" width="25.7109375" style="0" customWidth="1"/>
    <col min="6" max="6" width="9.7109375" style="0" customWidth="1"/>
    <col min="7" max="7" width="12.7109375" style="0" customWidth="1"/>
    <col min="8" max="8" width="13.7109375" style="0" hidden="1" customWidth="1"/>
    <col min="9" max="10" width="15.7109375" style="0" customWidth="1"/>
    <col min="11" max="11" width="10.7109375" style="0" customWidth="1"/>
    <col min="12" max="14" width="9.7109375" style="0" customWidth="1"/>
    <col min="15" max="15" width="5.8515625" style="0" customWidth="1"/>
    <col min="16" max="16" width="7.00390625" style="0" customWidth="1"/>
    <col min="17" max="17" width="13.140625" style="0" hidden="1" customWidth="1"/>
    <col min="18" max="19" width="16.421875" style="0" hidden="1" customWidth="1"/>
    <col min="20" max="20" width="16.57421875" style="0" hidden="1" customWidth="1"/>
    <col min="21" max="25" width="16.28125" style="0" hidden="1" customWidth="1"/>
    <col min="26" max="26" width="9.7109375" style="0" customWidth="1"/>
    <col min="27" max="29" width="15.7109375" style="0" customWidth="1"/>
  </cols>
  <sheetData>
    <row r="1" spans="2:29" s="19" customFormat="1" ht="26.25"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148"/>
    </row>
    <row r="2" spans="1:29" s="19" customFormat="1" ht="26.25">
      <c r="A2" s="90"/>
      <c r="B2" s="295" t="str">
        <f>+'TOT-0907'!B2</f>
        <v>ANEXO V al Memorandum D.T.E.E. N°  719/2011</v>
      </c>
      <c r="C2" s="295"/>
      <c r="D2" s="295"/>
      <c r="E2" s="20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295"/>
      <c r="W2" s="295"/>
      <c r="X2" s="295"/>
      <c r="Y2" s="295"/>
      <c r="Z2" s="295"/>
      <c r="AA2" s="295"/>
      <c r="AB2" s="295"/>
      <c r="AC2" s="295"/>
    </row>
    <row r="3" spans="1:29" s="5" customFormat="1" ht="12.75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  <c r="W3" s="89"/>
      <c r="X3" s="89"/>
      <c r="Y3" s="89"/>
      <c r="Z3" s="89"/>
      <c r="AA3" s="89"/>
      <c r="AB3" s="89"/>
      <c r="AC3" s="89"/>
    </row>
    <row r="4" spans="1:29" s="26" customFormat="1" ht="11.25">
      <c r="A4" s="296" t="s">
        <v>59</v>
      </c>
      <c r="B4" s="11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</row>
    <row r="5" spans="1:29" s="26" customFormat="1" ht="11.25">
      <c r="A5" s="296" t="s">
        <v>2</v>
      </c>
      <c r="B5" s="11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1:29" s="5" customFormat="1" ht="13.5" thickBot="1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</row>
    <row r="7" spans="1:29" s="5" customFormat="1" ht="13.5" thickTop="1">
      <c r="A7" s="89"/>
      <c r="B7" s="91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3"/>
    </row>
    <row r="8" spans="1:29" s="30" customFormat="1" ht="20.25">
      <c r="A8" s="106"/>
      <c r="B8" s="107"/>
      <c r="C8" s="106"/>
      <c r="D8" s="297" t="s">
        <v>52</v>
      </c>
      <c r="E8" s="106"/>
      <c r="F8" s="106"/>
      <c r="G8" s="298"/>
      <c r="H8" s="106"/>
      <c r="I8" s="106"/>
      <c r="J8" s="106"/>
      <c r="K8" s="106"/>
      <c r="L8" s="106"/>
      <c r="M8" s="106"/>
      <c r="N8" s="106"/>
      <c r="O8" s="106"/>
      <c r="P8" s="106"/>
      <c r="Q8" s="106"/>
      <c r="R8" s="95"/>
      <c r="S8" s="95"/>
      <c r="T8" s="95"/>
      <c r="U8" s="95"/>
      <c r="V8" s="95"/>
      <c r="W8" s="95"/>
      <c r="X8" s="95"/>
      <c r="Y8" s="95"/>
      <c r="Z8" s="95"/>
      <c r="AA8" s="95"/>
      <c r="AB8" s="95"/>
      <c r="AC8" s="108"/>
    </row>
    <row r="9" spans="1:29" s="5" customFormat="1" ht="12.75">
      <c r="A9" s="89"/>
      <c r="B9" s="94"/>
      <c r="C9" s="89"/>
      <c r="D9" s="15"/>
      <c r="E9" s="299"/>
      <c r="F9" s="89"/>
      <c r="G9" s="15"/>
      <c r="H9" s="89"/>
      <c r="I9" s="89"/>
      <c r="J9" s="89"/>
      <c r="K9" s="89"/>
      <c r="L9" s="89"/>
      <c r="M9" s="89"/>
      <c r="N9" s="89"/>
      <c r="O9" s="89"/>
      <c r="P9" s="89"/>
      <c r="Q9" s="89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8"/>
    </row>
    <row r="10" spans="1:29" s="30" customFormat="1" ht="20.25">
      <c r="A10" s="106"/>
      <c r="B10" s="107"/>
      <c r="C10" s="106"/>
      <c r="D10" s="297" t="s">
        <v>24</v>
      </c>
      <c r="E10" s="106"/>
      <c r="F10" s="12"/>
      <c r="G10" s="95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108"/>
    </row>
    <row r="11" spans="1:29" s="5" customFormat="1" ht="12.75">
      <c r="A11" s="89"/>
      <c r="B11" s="94"/>
      <c r="C11" s="89"/>
      <c r="D11" s="15"/>
      <c r="E11" s="15"/>
      <c r="F11" s="15"/>
      <c r="G11" s="15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8"/>
    </row>
    <row r="12" spans="1:29" s="5" customFormat="1" ht="20.25">
      <c r="A12" s="106"/>
      <c r="B12" s="107"/>
      <c r="C12" s="106"/>
      <c r="D12" s="114" t="s">
        <v>210</v>
      </c>
      <c r="E12" s="106"/>
      <c r="F12" s="106"/>
      <c r="G12" s="106"/>
      <c r="H12" s="104"/>
      <c r="I12" s="104"/>
      <c r="J12" s="104"/>
      <c r="K12" s="104"/>
      <c r="L12" s="104"/>
      <c r="M12" s="89"/>
      <c r="N12" s="89"/>
      <c r="O12" s="89"/>
      <c r="P12" s="89"/>
      <c r="Q12" s="89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8"/>
    </row>
    <row r="13" spans="1:29" s="5" customFormat="1" ht="12.75">
      <c r="A13" s="89"/>
      <c r="B13" s="94"/>
      <c r="C13" s="89"/>
      <c r="D13" s="15"/>
      <c r="E13" s="15"/>
      <c r="F13" s="15"/>
      <c r="G13" s="97"/>
      <c r="H13" s="15"/>
      <c r="I13" s="15"/>
      <c r="J13" s="15"/>
      <c r="K13" s="15"/>
      <c r="L13" s="15"/>
      <c r="M13" s="89"/>
      <c r="N13" s="89"/>
      <c r="O13" s="89"/>
      <c r="P13" s="89"/>
      <c r="Q13" s="89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8"/>
    </row>
    <row r="14" spans="1:29" s="37" customFormat="1" ht="19.5">
      <c r="A14" s="110"/>
      <c r="B14" s="38" t="str">
        <f>'TOT-0907'!B14</f>
        <v>Desde el 01 al 30 de septiembre de 2007</v>
      </c>
      <c r="C14" s="300"/>
      <c r="D14" s="113"/>
      <c r="E14" s="113"/>
      <c r="F14" s="113"/>
      <c r="G14" s="113"/>
      <c r="H14" s="113"/>
      <c r="I14" s="113"/>
      <c r="J14" s="113"/>
      <c r="K14" s="113"/>
      <c r="L14" s="113"/>
      <c r="M14" s="300"/>
      <c r="N14" s="300"/>
      <c r="O14" s="300"/>
      <c r="P14" s="300"/>
      <c r="Q14" s="300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301"/>
    </row>
    <row r="15" spans="1:29" s="5" customFormat="1" ht="13.5" thickBot="1">
      <c r="A15" s="89"/>
      <c r="B15" s="94"/>
      <c r="C15" s="89"/>
      <c r="D15" s="15"/>
      <c r="E15" s="15"/>
      <c r="F15" s="15"/>
      <c r="G15" s="97"/>
      <c r="H15" s="15"/>
      <c r="I15" s="15"/>
      <c r="J15" s="15"/>
      <c r="K15" s="15"/>
      <c r="L15" s="15"/>
      <c r="M15" s="89"/>
      <c r="N15" s="89"/>
      <c r="O15" s="89"/>
      <c r="P15" s="89"/>
      <c r="Q15" s="89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8"/>
    </row>
    <row r="16" spans="1:29" s="5" customFormat="1" ht="16.5" customHeight="1" thickBot="1" thickTop="1">
      <c r="A16" s="89"/>
      <c r="B16" s="94"/>
      <c r="C16" s="89"/>
      <c r="D16" s="302" t="s">
        <v>60</v>
      </c>
      <c r="E16" s="303"/>
      <c r="F16" s="304">
        <v>0.245</v>
      </c>
      <c r="H16" s="89"/>
      <c r="I16" s="89"/>
      <c r="J16" s="89"/>
      <c r="K16" s="89"/>
      <c r="L16" s="89"/>
      <c r="M16" s="89"/>
      <c r="N16" s="8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8"/>
    </row>
    <row r="17" spans="1:29" s="5" customFormat="1" ht="16.5" customHeight="1" thickBot="1" thickTop="1">
      <c r="A17" s="89"/>
      <c r="B17" s="94"/>
      <c r="C17" s="89"/>
      <c r="D17" s="111" t="s">
        <v>25</v>
      </c>
      <c r="E17" s="112"/>
      <c r="F17" s="727">
        <v>200</v>
      </c>
      <c r="G17"/>
      <c r="H17" s="15"/>
      <c r="I17" s="249"/>
      <c r="J17" s="250"/>
      <c r="K17" s="4"/>
      <c r="L17" s="15"/>
      <c r="M17" s="15"/>
      <c r="N17" s="15"/>
      <c r="O17" s="15"/>
      <c r="P17" s="15"/>
      <c r="Q17" s="15"/>
      <c r="R17" s="15"/>
      <c r="S17" s="15"/>
      <c r="T17" s="15"/>
      <c r="U17" s="98"/>
      <c r="V17" s="98"/>
      <c r="W17" s="98"/>
      <c r="X17" s="98"/>
      <c r="Y17" s="98"/>
      <c r="Z17" s="98"/>
      <c r="AA17" s="89"/>
      <c r="AB17" s="89"/>
      <c r="AC17" s="18"/>
    </row>
    <row r="18" spans="1:29" s="5" customFormat="1" ht="16.5" customHeight="1" thickBot="1" thickTop="1">
      <c r="A18" s="89"/>
      <c r="B18" s="94"/>
      <c r="C18" s="89"/>
      <c r="D18" s="15"/>
      <c r="E18" s="15"/>
      <c r="F18" s="15"/>
      <c r="G18" s="99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8"/>
    </row>
    <row r="19" spans="1:29" s="5" customFormat="1" ht="33.75" customHeight="1" thickBot="1" thickTop="1">
      <c r="A19" s="89"/>
      <c r="B19" s="94"/>
      <c r="C19" s="125" t="s">
        <v>12</v>
      </c>
      <c r="D19" s="121" t="s">
        <v>26</v>
      </c>
      <c r="E19" s="120" t="s">
        <v>27</v>
      </c>
      <c r="F19" s="122" t="s">
        <v>28</v>
      </c>
      <c r="G19" s="123" t="s">
        <v>13</v>
      </c>
      <c r="H19" s="137" t="s">
        <v>15</v>
      </c>
      <c r="I19" s="120" t="s">
        <v>16</v>
      </c>
      <c r="J19" s="120" t="s">
        <v>17</v>
      </c>
      <c r="K19" s="121" t="s">
        <v>29</v>
      </c>
      <c r="L19" s="121" t="s">
        <v>30</v>
      </c>
      <c r="M19" s="88" t="s">
        <v>18</v>
      </c>
      <c r="N19" s="88" t="s">
        <v>43</v>
      </c>
      <c r="O19" s="124" t="s">
        <v>31</v>
      </c>
      <c r="P19" s="120" t="s">
        <v>32</v>
      </c>
      <c r="Q19" s="305" t="s">
        <v>36</v>
      </c>
      <c r="R19" s="306" t="s">
        <v>19</v>
      </c>
      <c r="S19" s="307" t="s">
        <v>20</v>
      </c>
      <c r="T19" s="254" t="s">
        <v>61</v>
      </c>
      <c r="U19" s="256"/>
      <c r="V19" s="308" t="s">
        <v>62</v>
      </c>
      <c r="W19" s="309"/>
      <c r="X19" s="310" t="s">
        <v>21</v>
      </c>
      <c r="Y19" s="311" t="s">
        <v>57</v>
      </c>
      <c r="Z19" s="140" t="s">
        <v>58</v>
      </c>
      <c r="AA19" s="123" t="s">
        <v>22</v>
      </c>
      <c r="AB19" s="123" t="s">
        <v>211</v>
      </c>
      <c r="AC19" s="18"/>
    </row>
    <row r="20" spans="1:29" s="5" customFormat="1" ht="16.5" customHeight="1" thickTop="1">
      <c r="A20" s="89"/>
      <c r="B20" s="94"/>
      <c r="C20" s="312"/>
      <c r="D20" s="312"/>
      <c r="E20" s="312"/>
      <c r="F20" s="312"/>
      <c r="G20" s="313"/>
      <c r="H20" s="314"/>
      <c r="I20" s="312"/>
      <c r="J20" s="312"/>
      <c r="K20" s="312"/>
      <c r="L20" s="312"/>
      <c r="M20" s="312"/>
      <c r="N20" s="202"/>
      <c r="O20" s="315"/>
      <c r="P20" s="312"/>
      <c r="Q20" s="316"/>
      <c r="R20" s="317"/>
      <c r="S20" s="318"/>
      <c r="T20" s="319"/>
      <c r="U20" s="320"/>
      <c r="V20" s="321"/>
      <c r="W20" s="322"/>
      <c r="X20" s="323"/>
      <c r="Y20" s="324"/>
      <c r="Z20" s="315"/>
      <c r="AA20" s="325"/>
      <c r="AB20" s="325"/>
      <c r="AC20" s="18"/>
    </row>
    <row r="21" spans="1:30" s="5" customFormat="1" ht="16.5" customHeight="1">
      <c r="A21" s="89"/>
      <c r="B21" s="94"/>
      <c r="C21" s="159">
        <v>17</v>
      </c>
      <c r="D21" s="152" t="s">
        <v>125</v>
      </c>
      <c r="E21" s="327" t="s">
        <v>126</v>
      </c>
      <c r="F21" s="328">
        <v>100</v>
      </c>
      <c r="G21" s="329" t="s">
        <v>95</v>
      </c>
      <c r="H21" s="330">
        <f>F21*$F$16</f>
        <v>24.5</v>
      </c>
      <c r="I21" s="160">
        <v>39333.42291666667</v>
      </c>
      <c r="J21" s="160">
        <v>39333.700694444444</v>
      </c>
      <c r="K21" s="331">
        <f>IF(D21="","",(J21-I21)*24)</f>
        <v>6.666666666569654</v>
      </c>
      <c r="L21" s="14">
        <f>IF(D21="","",ROUND((J21-I21)*24*60,0))</f>
        <v>400</v>
      </c>
      <c r="M21" s="161" t="s">
        <v>109</v>
      </c>
      <c r="N21" s="267" t="str">
        <f aca="true" t="shared" si="0" ref="N21:N29">IF(D21="","","--")</f>
        <v>--</v>
      </c>
      <c r="O21" s="157" t="str">
        <f>IF(D21="","",IF(OR(M21="P",M21="RP"),"--","NO"))</f>
        <v>--</v>
      </c>
      <c r="P21" s="156" t="str">
        <f>IF(D21="","","NO")</f>
        <v>NO</v>
      </c>
      <c r="Q21" s="332">
        <f>$F$17*IF(OR(M21="P",M21="RP"),0.1,1)*IF(P21="SI",1,0.1)</f>
        <v>2</v>
      </c>
      <c r="R21" s="333">
        <f>IF(M21="P",H21*Q21*ROUND(L21/60,2),"--")</f>
        <v>326.83</v>
      </c>
      <c r="S21" s="334" t="str">
        <f>IF(M21="RP",H21*Q21*N21/100*ROUND(L21/60,2),"--")</f>
        <v>--</v>
      </c>
      <c r="T21" s="335" t="str">
        <f>IF(AND(M21="F",O21="NO"),H21*Q21,"--")</f>
        <v>--</v>
      </c>
      <c r="U21" s="336" t="str">
        <f>IF(M21="F",H21*Q21*ROUND(L21/60,2),"--")</f>
        <v>--</v>
      </c>
      <c r="V21" s="337" t="str">
        <f>IF(AND(M21="R",O21="NO"),H21*Q21*N21/100,"--")</f>
        <v>--</v>
      </c>
      <c r="W21" s="338" t="str">
        <f>IF(M21="R",H21*Q21*N21/100*ROUND(L21/60,2),"--")</f>
        <v>--</v>
      </c>
      <c r="X21" s="339" t="str">
        <f>IF(M21="RF",H21*Q21*ROUND(L21/60,2),"--")</f>
        <v>--</v>
      </c>
      <c r="Y21" s="340" t="str">
        <f>IF(M21="RR",H21*Q21*N21/100*ROUND(L21/60,2),"--")</f>
        <v>--</v>
      </c>
      <c r="Z21" s="341" t="s">
        <v>110</v>
      </c>
      <c r="AA21" s="342">
        <f>IF(D21="","",SUM(R21:Y21)*IF(Z21="SI",1,2))</f>
        <v>326.83</v>
      </c>
      <c r="AB21" s="342">
        <f>AA21*(1-$AD$21)</f>
        <v>212.6814614465207</v>
      </c>
      <c r="AC21" s="18"/>
      <c r="AD21" s="756">
        <v>0.3492596718583952</v>
      </c>
    </row>
    <row r="22" spans="1:29" s="5" customFormat="1" ht="16.5" customHeight="1">
      <c r="A22" s="89"/>
      <c r="B22" s="94"/>
      <c r="C22" s="159">
        <v>18</v>
      </c>
      <c r="D22" s="152" t="s">
        <v>127</v>
      </c>
      <c r="E22" s="327" t="s">
        <v>128</v>
      </c>
      <c r="F22" s="328">
        <v>150</v>
      </c>
      <c r="G22" s="329" t="s">
        <v>95</v>
      </c>
      <c r="H22" s="330">
        <f>F22*$F$16</f>
        <v>36.75</v>
      </c>
      <c r="I22" s="160">
        <v>39333.5</v>
      </c>
      <c r="J22" s="160">
        <v>39333.631944444445</v>
      </c>
      <c r="K22" s="331">
        <f>IF(D22="","",(J22-I22)*24)</f>
        <v>3.166666666686069</v>
      </c>
      <c r="L22" s="14">
        <f>IF(D22="","",ROUND((J22-I22)*24*60,0))</f>
        <v>190</v>
      </c>
      <c r="M22" s="161" t="s">
        <v>117</v>
      </c>
      <c r="N22" s="267" t="str">
        <f t="shared" si="0"/>
        <v>--</v>
      </c>
      <c r="O22" s="157" t="str">
        <f>IF(D22="","",IF(OR(M22="P",M22="RP"),"--","NO"))</f>
        <v>NO</v>
      </c>
      <c r="P22" s="156" t="str">
        <f>IF(D22="","","NO")</f>
        <v>NO</v>
      </c>
      <c r="Q22" s="332">
        <f>$F$17*IF(OR(M22="P",M22="RP"),0.1,1)*IF(P22="SI",1,0.1)</f>
        <v>20</v>
      </c>
      <c r="R22" s="333" t="str">
        <f>IF(M22="P",H22*Q22*ROUND(L22/60,2),"--")</f>
        <v>--</v>
      </c>
      <c r="S22" s="334" t="str">
        <f>IF(M22="RP",H22*Q22*N22/100*ROUND(L22/60,2),"--")</f>
        <v>--</v>
      </c>
      <c r="T22" s="335">
        <f>IF(AND(M22="F",O22="NO"),H22*Q22,"--")</f>
        <v>735</v>
      </c>
      <c r="U22" s="336">
        <f>IF(M22="F",H22*Q22*ROUND(L22/60,2),"--")</f>
        <v>2329.95</v>
      </c>
      <c r="V22" s="337" t="str">
        <f>IF(AND(M22="R",O22="NO"),H22*Q22*N22/100,"--")</f>
        <v>--</v>
      </c>
      <c r="W22" s="338" t="str">
        <f>IF(M22="R",H22*Q22*N22/100*ROUND(L22/60,2),"--")</f>
        <v>--</v>
      </c>
      <c r="X22" s="339" t="str">
        <f>IF(M22="RF",H22*Q22*ROUND(L22/60,2),"--")</f>
        <v>--</v>
      </c>
      <c r="Y22" s="340" t="str">
        <f>IF(M22="RR",H22*Q22*N22/100*ROUND(L22/60,2),"--")</f>
        <v>--</v>
      </c>
      <c r="Z22" s="341" t="s">
        <v>110</v>
      </c>
      <c r="AA22" s="342">
        <f>IF(D22="","",SUM(R22:Y22)*IF(Z22="SI",1,2))</f>
        <v>3064.95</v>
      </c>
      <c r="AB22" s="342">
        <f aca="true" t="shared" si="1" ref="AB22:AB39">AA22*(1-$AD$21)</f>
        <v>1994.4865687376118</v>
      </c>
      <c r="AC22" s="18"/>
    </row>
    <row r="23" spans="1:29" s="5" customFormat="1" ht="16.5" customHeight="1">
      <c r="A23" s="89"/>
      <c r="B23" s="94"/>
      <c r="C23" s="159">
        <v>20</v>
      </c>
      <c r="D23" s="152" t="s">
        <v>127</v>
      </c>
      <c r="E23" s="327" t="s">
        <v>128</v>
      </c>
      <c r="F23" s="328">
        <v>150</v>
      </c>
      <c r="G23" s="329" t="s">
        <v>95</v>
      </c>
      <c r="H23" s="330">
        <f>F23*$F$16</f>
        <v>36.75</v>
      </c>
      <c r="I23" s="160">
        <v>39337.48055555556</v>
      </c>
      <c r="J23" s="160">
        <v>39337.59861111111</v>
      </c>
      <c r="K23" s="331">
        <f>IF(D23="","",(J23-I23)*24)</f>
        <v>2.833333333313931</v>
      </c>
      <c r="L23" s="14">
        <f>IF(D23="","",ROUND((J23-I23)*24*60,0))</f>
        <v>170</v>
      </c>
      <c r="M23" s="161" t="s">
        <v>117</v>
      </c>
      <c r="N23" s="267" t="str">
        <f t="shared" si="0"/>
        <v>--</v>
      </c>
      <c r="O23" s="157" t="str">
        <f>IF(D23="","",IF(OR(M23="P",M23="RP"),"--","NO"))</f>
        <v>NO</v>
      </c>
      <c r="P23" s="156" t="str">
        <f>IF(D23="","","NO")</f>
        <v>NO</v>
      </c>
      <c r="Q23" s="332">
        <f>$F$17*IF(OR(M23="P",M23="RP"),0.1,1)*IF(P23="SI",1,0.1)</f>
        <v>20</v>
      </c>
      <c r="R23" s="333" t="str">
        <f>IF(M23="P",H23*Q23*ROUND(L23/60,2),"--")</f>
        <v>--</v>
      </c>
      <c r="S23" s="334" t="str">
        <f>IF(M23="RP",H23*Q23*N23/100*ROUND(L23/60,2),"--")</f>
        <v>--</v>
      </c>
      <c r="T23" s="335">
        <f>IF(AND(M23="F",O23="NO"),H23*Q23,"--")</f>
        <v>735</v>
      </c>
      <c r="U23" s="336">
        <f>IF(M23="F",H23*Q23*ROUND(L23/60,2),"--")</f>
        <v>2080.05</v>
      </c>
      <c r="V23" s="337" t="str">
        <f>IF(AND(M23="R",O23="NO"),H23*Q23*N23/100,"--")</f>
        <v>--</v>
      </c>
      <c r="W23" s="338" t="str">
        <f>IF(M23="R",H23*Q23*N23/100*ROUND(L23/60,2),"--")</f>
        <v>--</v>
      </c>
      <c r="X23" s="339" t="str">
        <f>IF(M23="RF",H23*Q23*ROUND(L23/60,2),"--")</f>
        <v>--</v>
      </c>
      <c r="Y23" s="340" t="str">
        <f>IF(M23="RR",H23*Q23*N23/100*ROUND(L23/60,2),"--")</f>
        <v>--</v>
      </c>
      <c r="Z23" s="341" t="s">
        <v>110</v>
      </c>
      <c r="AA23" s="342">
        <f>IF(D23="","",SUM(R23:Y23)*IF(Z23="SI",1,2))</f>
        <v>2815.05</v>
      </c>
      <c r="AB23" s="342">
        <f t="shared" si="1"/>
        <v>1831.866560735025</v>
      </c>
      <c r="AC23" s="18"/>
    </row>
    <row r="24" spans="1:29" s="5" customFormat="1" ht="16.5" customHeight="1">
      <c r="A24" s="89"/>
      <c r="B24" s="94"/>
      <c r="C24" s="159">
        <v>22</v>
      </c>
      <c r="D24" s="152" t="s">
        <v>127</v>
      </c>
      <c r="E24" s="343" t="s">
        <v>128</v>
      </c>
      <c r="F24" s="328">
        <v>150</v>
      </c>
      <c r="G24" s="329" t="s">
        <v>95</v>
      </c>
      <c r="H24" s="330">
        <f aca="true" t="shared" si="2" ref="H24:H29">F24*$F$16</f>
        <v>36.75</v>
      </c>
      <c r="I24" s="160">
        <v>39338.407638888886</v>
      </c>
      <c r="J24" s="160">
        <v>39338.7</v>
      </c>
      <c r="K24" s="331">
        <f aca="true" t="shared" si="3" ref="K24:K29">IF(D24="","",(J24-I24)*24)</f>
        <v>7.016666666662786</v>
      </c>
      <c r="L24" s="14">
        <f aca="true" t="shared" si="4" ref="L24:L29">IF(D24="","",ROUND((J24-I24)*24*60,0))</f>
        <v>421</v>
      </c>
      <c r="M24" s="161" t="s">
        <v>109</v>
      </c>
      <c r="N24" s="267" t="str">
        <f t="shared" si="0"/>
        <v>--</v>
      </c>
      <c r="O24" s="157" t="str">
        <f aca="true" t="shared" si="5" ref="O24:O29">IF(D24="","",IF(OR(M24="P",M24="RP"),"--","NO"))</f>
        <v>--</v>
      </c>
      <c r="P24" s="156" t="str">
        <f aca="true" t="shared" si="6" ref="P24:P29">IF(D24="","","NO")</f>
        <v>NO</v>
      </c>
      <c r="Q24" s="332">
        <f aca="true" t="shared" si="7" ref="Q24:Q29">$F$17*IF(OR(M24="P",M24="RP"),0.1,1)*IF(P24="SI",1,0.1)</f>
        <v>2</v>
      </c>
      <c r="R24" s="333">
        <f aca="true" t="shared" si="8" ref="R24:R29">IF(M24="P",H24*Q24*ROUND(L24/60,2),"--")</f>
        <v>515.9699999999999</v>
      </c>
      <c r="S24" s="334" t="str">
        <f aca="true" t="shared" si="9" ref="S24:S29">IF(M24="RP",H24*Q24*N24/100*ROUND(L24/60,2),"--")</f>
        <v>--</v>
      </c>
      <c r="T24" s="335" t="str">
        <f aca="true" t="shared" si="10" ref="T24:T29">IF(AND(M24="F",O24="NO"),H24*Q24,"--")</f>
        <v>--</v>
      </c>
      <c r="U24" s="336" t="str">
        <f aca="true" t="shared" si="11" ref="U24:U29">IF(M24="F",H24*Q24*ROUND(L24/60,2),"--")</f>
        <v>--</v>
      </c>
      <c r="V24" s="337" t="str">
        <f aca="true" t="shared" si="12" ref="V24:V29">IF(AND(M24="R",O24="NO"),H24*Q24*N24/100,"--")</f>
        <v>--</v>
      </c>
      <c r="W24" s="338" t="str">
        <f aca="true" t="shared" si="13" ref="W24:W29">IF(M24="R",H24*Q24*N24/100*ROUND(L24/60,2),"--")</f>
        <v>--</v>
      </c>
      <c r="X24" s="339" t="str">
        <f aca="true" t="shared" si="14" ref="X24:X29">IF(M24="RF",H24*Q24*ROUND(L24/60,2),"--")</f>
        <v>--</v>
      </c>
      <c r="Y24" s="340" t="str">
        <f aca="true" t="shared" si="15" ref="Y24:Y29">IF(M24="RR",H24*Q24*N24/100*ROUND(L24/60,2),"--")</f>
        <v>--</v>
      </c>
      <c r="Z24" s="341" t="s">
        <v>110</v>
      </c>
      <c r="AA24" s="342">
        <f aca="true" t="shared" si="16" ref="AA24:AA29">IF(D24="","",SUM(R24:Y24)*IF(Z24="SI",1,2))</f>
        <v>515.9699999999999</v>
      </c>
      <c r="AB24" s="342">
        <f t="shared" si="1"/>
        <v>335.76248711122383</v>
      </c>
      <c r="AC24" s="18"/>
    </row>
    <row r="25" spans="1:29" s="5" customFormat="1" ht="16.5" customHeight="1">
      <c r="A25" s="89"/>
      <c r="B25" s="94"/>
      <c r="C25" s="159">
        <v>23</v>
      </c>
      <c r="D25" s="152" t="s">
        <v>125</v>
      </c>
      <c r="E25" s="343" t="s">
        <v>126</v>
      </c>
      <c r="F25" s="328">
        <v>100</v>
      </c>
      <c r="G25" s="329" t="s">
        <v>95</v>
      </c>
      <c r="H25" s="330">
        <f t="shared" si="2"/>
        <v>24.5</v>
      </c>
      <c r="I25" s="160">
        <v>39342.12291666667</v>
      </c>
      <c r="J25" s="160">
        <v>39342.177777777775</v>
      </c>
      <c r="K25" s="331">
        <f t="shared" si="3"/>
        <v>1.316666666592937</v>
      </c>
      <c r="L25" s="14">
        <f t="shared" si="4"/>
        <v>79</v>
      </c>
      <c r="M25" s="161" t="s">
        <v>109</v>
      </c>
      <c r="N25" s="267" t="str">
        <f t="shared" si="0"/>
        <v>--</v>
      </c>
      <c r="O25" s="157" t="str">
        <f t="shared" si="5"/>
        <v>--</v>
      </c>
      <c r="P25" s="156" t="str">
        <f t="shared" si="6"/>
        <v>NO</v>
      </c>
      <c r="Q25" s="332">
        <f t="shared" si="7"/>
        <v>2</v>
      </c>
      <c r="R25" s="333">
        <f t="shared" si="8"/>
        <v>64.68</v>
      </c>
      <c r="S25" s="334" t="str">
        <f t="shared" si="9"/>
        <v>--</v>
      </c>
      <c r="T25" s="335" t="str">
        <f t="shared" si="10"/>
        <v>--</v>
      </c>
      <c r="U25" s="336" t="str">
        <f t="shared" si="11"/>
        <v>--</v>
      </c>
      <c r="V25" s="337" t="str">
        <f t="shared" si="12"/>
        <v>--</v>
      </c>
      <c r="W25" s="338" t="str">
        <f t="shared" si="13"/>
        <v>--</v>
      </c>
      <c r="X25" s="339" t="str">
        <f t="shared" si="14"/>
        <v>--</v>
      </c>
      <c r="Y25" s="340" t="str">
        <f t="shared" si="15"/>
        <v>--</v>
      </c>
      <c r="Z25" s="341" t="s">
        <v>110</v>
      </c>
      <c r="AA25" s="342">
        <f t="shared" si="16"/>
        <v>64.68</v>
      </c>
      <c r="AB25" s="342">
        <f t="shared" si="1"/>
        <v>42.089884424199006</v>
      </c>
      <c r="AC25" s="18"/>
    </row>
    <row r="26" spans="1:29" s="5" customFormat="1" ht="16.5" customHeight="1">
      <c r="A26" s="89"/>
      <c r="B26" s="94"/>
      <c r="C26" s="159">
        <v>24</v>
      </c>
      <c r="D26" s="152" t="s">
        <v>127</v>
      </c>
      <c r="E26" s="343" t="s">
        <v>129</v>
      </c>
      <c r="F26" s="328">
        <v>100</v>
      </c>
      <c r="G26" s="329" t="s">
        <v>95</v>
      </c>
      <c r="H26" s="330">
        <f t="shared" si="2"/>
        <v>24.5</v>
      </c>
      <c r="I26" s="160">
        <v>39344.475694444445</v>
      </c>
      <c r="J26" s="160">
        <v>39344.620833333334</v>
      </c>
      <c r="K26" s="331">
        <f t="shared" si="3"/>
        <v>3.483333333337214</v>
      </c>
      <c r="L26" s="14">
        <f t="shared" si="4"/>
        <v>209</v>
      </c>
      <c r="M26" s="161" t="s">
        <v>109</v>
      </c>
      <c r="N26" s="267" t="str">
        <f t="shared" si="0"/>
        <v>--</v>
      </c>
      <c r="O26" s="157" t="str">
        <f t="shared" si="5"/>
        <v>--</v>
      </c>
      <c r="P26" s="156" t="str">
        <f t="shared" si="6"/>
        <v>NO</v>
      </c>
      <c r="Q26" s="332">
        <f t="shared" si="7"/>
        <v>2</v>
      </c>
      <c r="R26" s="333">
        <f t="shared" si="8"/>
        <v>170.52</v>
      </c>
      <c r="S26" s="334" t="str">
        <f t="shared" si="9"/>
        <v>--</v>
      </c>
      <c r="T26" s="335" t="str">
        <f t="shared" si="10"/>
        <v>--</v>
      </c>
      <c r="U26" s="336" t="str">
        <f t="shared" si="11"/>
        <v>--</v>
      </c>
      <c r="V26" s="337" t="str">
        <f t="shared" si="12"/>
        <v>--</v>
      </c>
      <c r="W26" s="338" t="str">
        <f t="shared" si="13"/>
        <v>--</v>
      </c>
      <c r="X26" s="339" t="str">
        <f t="shared" si="14"/>
        <v>--</v>
      </c>
      <c r="Y26" s="340" t="str">
        <f t="shared" si="15"/>
        <v>--</v>
      </c>
      <c r="Z26" s="341" t="s">
        <v>110</v>
      </c>
      <c r="AA26" s="342">
        <f t="shared" si="16"/>
        <v>170.52</v>
      </c>
      <c r="AB26" s="342">
        <f t="shared" si="1"/>
        <v>110.96424075470647</v>
      </c>
      <c r="AC26" s="18"/>
    </row>
    <row r="27" spans="1:29" s="5" customFormat="1" ht="16.5" customHeight="1">
      <c r="A27" s="89"/>
      <c r="B27" s="94"/>
      <c r="C27" s="159">
        <v>25</v>
      </c>
      <c r="D27" s="152" t="s">
        <v>130</v>
      </c>
      <c r="E27" s="343" t="s">
        <v>131</v>
      </c>
      <c r="F27" s="328">
        <v>150</v>
      </c>
      <c r="G27" s="329" t="s">
        <v>132</v>
      </c>
      <c r="H27" s="330">
        <f t="shared" si="2"/>
        <v>36.75</v>
      </c>
      <c r="I27" s="160">
        <v>39347.33263888889</v>
      </c>
      <c r="J27" s="160">
        <v>39347.731944444444</v>
      </c>
      <c r="K27" s="331">
        <f t="shared" si="3"/>
        <v>9.58333333331393</v>
      </c>
      <c r="L27" s="14">
        <f t="shared" si="4"/>
        <v>575</v>
      </c>
      <c r="M27" s="161" t="s">
        <v>109</v>
      </c>
      <c r="N27" s="267" t="str">
        <f t="shared" si="0"/>
        <v>--</v>
      </c>
      <c r="O27" s="157" t="str">
        <f t="shared" si="5"/>
        <v>--</v>
      </c>
      <c r="P27" s="156" t="str">
        <f t="shared" si="6"/>
        <v>NO</v>
      </c>
      <c r="Q27" s="332">
        <f t="shared" si="7"/>
        <v>2</v>
      </c>
      <c r="R27" s="333">
        <f t="shared" si="8"/>
        <v>704.13</v>
      </c>
      <c r="S27" s="334" t="str">
        <f t="shared" si="9"/>
        <v>--</v>
      </c>
      <c r="T27" s="335" t="str">
        <f t="shared" si="10"/>
        <v>--</v>
      </c>
      <c r="U27" s="336" t="str">
        <f t="shared" si="11"/>
        <v>--</v>
      </c>
      <c r="V27" s="337" t="str">
        <f t="shared" si="12"/>
        <v>--</v>
      </c>
      <c r="W27" s="338" t="str">
        <f t="shared" si="13"/>
        <v>--</v>
      </c>
      <c r="X27" s="339" t="str">
        <f t="shared" si="14"/>
        <v>--</v>
      </c>
      <c r="Y27" s="340" t="str">
        <f t="shared" si="15"/>
        <v>--</v>
      </c>
      <c r="Z27" s="341" t="s">
        <v>110</v>
      </c>
      <c r="AA27" s="342">
        <f t="shared" si="16"/>
        <v>704.13</v>
      </c>
      <c r="AB27" s="342">
        <f t="shared" si="1"/>
        <v>458.20578725434825</v>
      </c>
      <c r="AC27" s="18"/>
    </row>
    <row r="28" spans="1:29" s="5" customFormat="1" ht="16.5" customHeight="1">
      <c r="A28" s="89"/>
      <c r="B28" s="94"/>
      <c r="C28" s="159">
        <v>26</v>
      </c>
      <c r="D28" s="152" t="s">
        <v>133</v>
      </c>
      <c r="E28" s="343" t="s">
        <v>134</v>
      </c>
      <c r="F28" s="328">
        <v>150</v>
      </c>
      <c r="G28" s="329" t="s">
        <v>95</v>
      </c>
      <c r="H28" s="330">
        <f t="shared" si="2"/>
        <v>36.75</v>
      </c>
      <c r="I28" s="160">
        <v>39348.350694444445</v>
      </c>
      <c r="J28" s="160">
        <v>39348.708333333336</v>
      </c>
      <c r="K28" s="331">
        <f t="shared" si="3"/>
        <v>8.583333333372138</v>
      </c>
      <c r="L28" s="14">
        <f t="shared" si="4"/>
        <v>515</v>
      </c>
      <c r="M28" s="161" t="s">
        <v>109</v>
      </c>
      <c r="N28" s="267" t="str">
        <f t="shared" si="0"/>
        <v>--</v>
      </c>
      <c r="O28" s="157" t="str">
        <f t="shared" si="5"/>
        <v>--</v>
      </c>
      <c r="P28" s="156" t="str">
        <f t="shared" si="6"/>
        <v>NO</v>
      </c>
      <c r="Q28" s="332">
        <f t="shared" si="7"/>
        <v>2</v>
      </c>
      <c r="R28" s="333">
        <f t="shared" si="8"/>
        <v>630.63</v>
      </c>
      <c r="S28" s="334" t="str">
        <f t="shared" si="9"/>
        <v>--</v>
      </c>
      <c r="T28" s="335" t="str">
        <f t="shared" si="10"/>
        <v>--</v>
      </c>
      <c r="U28" s="336" t="str">
        <f t="shared" si="11"/>
        <v>--</v>
      </c>
      <c r="V28" s="337" t="str">
        <f t="shared" si="12"/>
        <v>--</v>
      </c>
      <c r="W28" s="338" t="str">
        <f t="shared" si="13"/>
        <v>--</v>
      </c>
      <c r="X28" s="339" t="str">
        <f t="shared" si="14"/>
        <v>--</v>
      </c>
      <c r="Y28" s="340" t="str">
        <f t="shared" si="15"/>
        <v>--</v>
      </c>
      <c r="Z28" s="341" t="s">
        <v>110</v>
      </c>
      <c r="AA28" s="342">
        <f t="shared" si="16"/>
        <v>630.63</v>
      </c>
      <c r="AB28" s="342">
        <f t="shared" si="1"/>
        <v>410.3763731359403</v>
      </c>
      <c r="AC28" s="18"/>
    </row>
    <row r="29" spans="1:29" s="5" customFormat="1" ht="16.5" customHeight="1">
      <c r="A29" s="89"/>
      <c r="B29" s="94"/>
      <c r="C29" s="159">
        <v>27</v>
      </c>
      <c r="D29" s="152" t="s">
        <v>130</v>
      </c>
      <c r="E29" s="343" t="s">
        <v>131</v>
      </c>
      <c r="F29" s="328">
        <v>150</v>
      </c>
      <c r="G29" s="329" t="s">
        <v>132</v>
      </c>
      <c r="H29" s="330">
        <f t="shared" si="2"/>
        <v>36.75</v>
      </c>
      <c r="I29" s="160">
        <v>39348.379166666666</v>
      </c>
      <c r="J29" s="160">
        <v>39348.7125</v>
      </c>
      <c r="K29" s="331">
        <f t="shared" si="3"/>
        <v>8.000000000058208</v>
      </c>
      <c r="L29" s="14">
        <f t="shared" si="4"/>
        <v>480</v>
      </c>
      <c r="M29" s="161" t="s">
        <v>109</v>
      </c>
      <c r="N29" s="267" t="str">
        <f t="shared" si="0"/>
        <v>--</v>
      </c>
      <c r="O29" s="157" t="str">
        <f t="shared" si="5"/>
        <v>--</v>
      </c>
      <c r="P29" s="156" t="str">
        <f t="shared" si="6"/>
        <v>NO</v>
      </c>
      <c r="Q29" s="332">
        <f t="shared" si="7"/>
        <v>2</v>
      </c>
      <c r="R29" s="333">
        <f t="shared" si="8"/>
        <v>588</v>
      </c>
      <c r="S29" s="334" t="str">
        <f t="shared" si="9"/>
        <v>--</v>
      </c>
      <c r="T29" s="335" t="str">
        <f t="shared" si="10"/>
        <v>--</v>
      </c>
      <c r="U29" s="336" t="str">
        <f t="shared" si="11"/>
        <v>--</v>
      </c>
      <c r="V29" s="337" t="str">
        <f t="shared" si="12"/>
        <v>--</v>
      </c>
      <c r="W29" s="338" t="str">
        <f t="shared" si="13"/>
        <v>--</v>
      </c>
      <c r="X29" s="339" t="str">
        <f t="shared" si="14"/>
        <v>--</v>
      </c>
      <c r="Y29" s="340" t="str">
        <f t="shared" si="15"/>
        <v>--</v>
      </c>
      <c r="Z29" s="341" t="s">
        <v>110</v>
      </c>
      <c r="AA29" s="342">
        <f t="shared" si="16"/>
        <v>588</v>
      </c>
      <c r="AB29" s="342">
        <f t="shared" si="1"/>
        <v>382.6353129472637</v>
      </c>
      <c r="AC29" s="18"/>
    </row>
    <row r="30" spans="1:29" s="5" customFormat="1" ht="16.5" customHeight="1">
      <c r="A30" s="89"/>
      <c r="B30" s="94"/>
      <c r="C30" s="159" t="s">
        <v>206</v>
      </c>
      <c r="D30" s="152" t="s">
        <v>122</v>
      </c>
      <c r="E30" s="327" t="s">
        <v>123</v>
      </c>
      <c r="F30" s="328">
        <v>800</v>
      </c>
      <c r="G30" s="329" t="s">
        <v>124</v>
      </c>
      <c r="H30" s="330">
        <f aca="true" t="shared" si="17" ref="H30:H39">F30*$F$16</f>
        <v>196</v>
      </c>
      <c r="I30" s="160">
        <v>39326</v>
      </c>
      <c r="J30" s="160">
        <v>39326.356944444444</v>
      </c>
      <c r="K30" s="331">
        <f aca="true" t="shared" si="18" ref="K30:K40">IF(D30="","",(J30-I30)*24)</f>
        <v>8.566666666651145</v>
      </c>
      <c r="L30" s="14">
        <f aca="true" t="shared" si="19" ref="L30:L40">IF(D30="","",ROUND((J30-I30)*24*60,0))</f>
        <v>514</v>
      </c>
      <c r="M30" s="161" t="s">
        <v>190</v>
      </c>
      <c r="N30" s="267">
        <v>62.5</v>
      </c>
      <c r="O30" s="157" t="str">
        <f aca="true" t="shared" si="20" ref="O30:O40">IF(D30="","",IF(OR(M30="P",M30="RP"),"--","NO"))</f>
        <v>--</v>
      </c>
      <c r="P30" s="156" t="str">
        <f aca="true" t="shared" si="21" ref="P30:P40">IF(D30="","","NO")</f>
        <v>NO</v>
      </c>
      <c r="Q30" s="332">
        <f aca="true" t="shared" si="22" ref="Q30:Q40">$F$17*IF(OR(M30="P",M30="RP"),0.1,1)*IF(P30="SI",1,0.1)</f>
        <v>2</v>
      </c>
      <c r="R30" s="333" t="str">
        <f aca="true" t="shared" si="23" ref="R30:R40">IF(M30="P",H30*Q30*ROUND(L30/60,2),"--")</f>
        <v>--</v>
      </c>
      <c r="S30" s="334">
        <f aca="true" t="shared" si="24" ref="S30:S40">IF(M30="RP",H30*Q30*N30/100*ROUND(L30/60,2),"--")</f>
        <v>2099.65</v>
      </c>
      <c r="T30" s="335" t="str">
        <f aca="true" t="shared" si="25" ref="T30:T40">IF(AND(M30="F",O30="NO"),H30*Q30,"--")</f>
        <v>--</v>
      </c>
      <c r="U30" s="336" t="str">
        <f aca="true" t="shared" si="26" ref="U30:U40">IF(M30="F",H30*Q30*ROUND(L30/60,2),"--")</f>
        <v>--</v>
      </c>
      <c r="V30" s="337" t="str">
        <f aca="true" t="shared" si="27" ref="V30:V40">IF(AND(M30="R",O30="NO"),H30*Q30*N30/100,"--")</f>
        <v>--</v>
      </c>
      <c r="W30" s="338" t="str">
        <f aca="true" t="shared" si="28" ref="W30:W40">IF(M30="R",H30*Q30*N30/100*ROUND(L30/60,2),"--")</f>
        <v>--</v>
      </c>
      <c r="X30" s="339" t="str">
        <f aca="true" t="shared" si="29" ref="X30:X40">IF(M30="RF",H30*Q30*ROUND(L30/60,2),"--")</f>
        <v>--</v>
      </c>
      <c r="Y30" s="340" t="str">
        <f aca="true" t="shared" si="30" ref="Y30:Y40">IF(M30="RR",H30*Q30*N30/100*ROUND(L30/60,2),"--")</f>
        <v>--</v>
      </c>
      <c r="Z30" s="341" t="s">
        <v>110</v>
      </c>
      <c r="AA30" s="342">
        <f aca="true" t="shared" si="31" ref="AA30:AA36">IF(D30="","",SUM(R30:Y30)*IF(Z30="SI",1,2))</f>
        <v>2099.65</v>
      </c>
      <c r="AB30" s="342">
        <f t="shared" si="1"/>
        <v>1366.3269299825208</v>
      </c>
      <c r="AC30" s="18"/>
    </row>
    <row r="31" spans="1:29" s="5" customFormat="1" ht="16.5" customHeight="1">
      <c r="A31" s="89"/>
      <c r="B31" s="94"/>
      <c r="C31" s="159" t="s">
        <v>206</v>
      </c>
      <c r="D31" s="152" t="s">
        <v>122</v>
      </c>
      <c r="E31" s="327" t="s">
        <v>123</v>
      </c>
      <c r="F31" s="328">
        <v>800</v>
      </c>
      <c r="G31" s="329" t="s">
        <v>124</v>
      </c>
      <c r="H31" s="330">
        <f t="shared" si="17"/>
        <v>196</v>
      </c>
      <c r="I31" s="160">
        <v>39326.35763888889</v>
      </c>
      <c r="J31" s="160">
        <v>39326.77638888889</v>
      </c>
      <c r="K31" s="331">
        <f t="shared" si="18"/>
        <v>10.04999999993015</v>
      </c>
      <c r="L31" s="14">
        <f t="shared" si="19"/>
        <v>603</v>
      </c>
      <c r="M31" s="161" t="s">
        <v>109</v>
      </c>
      <c r="N31" s="267" t="str">
        <f>IF(D31="","","--")</f>
        <v>--</v>
      </c>
      <c r="O31" s="157" t="str">
        <f t="shared" si="20"/>
        <v>--</v>
      </c>
      <c r="P31" s="156" t="str">
        <f t="shared" si="21"/>
        <v>NO</v>
      </c>
      <c r="Q31" s="332">
        <f t="shared" si="22"/>
        <v>2</v>
      </c>
      <c r="R31" s="333">
        <f t="shared" si="23"/>
        <v>3939.6000000000004</v>
      </c>
      <c r="S31" s="334" t="str">
        <f t="shared" si="24"/>
        <v>--</v>
      </c>
      <c r="T31" s="335" t="str">
        <f t="shared" si="25"/>
        <v>--</v>
      </c>
      <c r="U31" s="336" t="str">
        <f t="shared" si="26"/>
        <v>--</v>
      </c>
      <c r="V31" s="337" t="str">
        <f t="shared" si="27"/>
        <v>--</v>
      </c>
      <c r="W31" s="338" t="str">
        <f t="shared" si="28"/>
        <v>--</v>
      </c>
      <c r="X31" s="339" t="str">
        <f t="shared" si="29"/>
        <v>--</v>
      </c>
      <c r="Y31" s="340" t="str">
        <f t="shared" si="30"/>
        <v>--</v>
      </c>
      <c r="Z31" s="341" t="s">
        <v>110</v>
      </c>
      <c r="AA31" s="342">
        <f t="shared" si="31"/>
        <v>3939.6000000000004</v>
      </c>
      <c r="AB31" s="342">
        <f t="shared" si="1"/>
        <v>2563.6565967466668</v>
      </c>
      <c r="AC31" s="18"/>
    </row>
    <row r="32" spans="1:29" s="5" customFormat="1" ht="16.5" customHeight="1">
      <c r="A32" s="89"/>
      <c r="B32" s="94"/>
      <c r="C32" s="159" t="s">
        <v>206</v>
      </c>
      <c r="D32" s="152" t="s">
        <v>122</v>
      </c>
      <c r="E32" s="327" t="s">
        <v>123</v>
      </c>
      <c r="F32" s="328">
        <v>800</v>
      </c>
      <c r="G32" s="329" t="s">
        <v>124</v>
      </c>
      <c r="H32" s="330">
        <f t="shared" si="17"/>
        <v>196</v>
      </c>
      <c r="I32" s="160">
        <v>39326.777083333334</v>
      </c>
      <c r="J32" s="160">
        <v>39327.15902777778</v>
      </c>
      <c r="K32" s="331">
        <f t="shared" si="18"/>
        <v>9.16666666668607</v>
      </c>
      <c r="L32" s="14">
        <f t="shared" si="19"/>
        <v>550</v>
      </c>
      <c r="M32" s="161" t="s">
        <v>190</v>
      </c>
      <c r="N32" s="267">
        <v>62.5</v>
      </c>
      <c r="O32" s="157" t="str">
        <f t="shared" si="20"/>
        <v>--</v>
      </c>
      <c r="P32" s="156" t="str">
        <f t="shared" si="21"/>
        <v>NO</v>
      </c>
      <c r="Q32" s="332">
        <f t="shared" si="22"/>
        <v>2</v>
      </c>
      <c r="R32" s="333" t="str">
        <f t="shared" si="23"/>
        <v>--</v>
      </c>
      <c r="S32" s="334">
        <f t="shared" si="24"/>
        <v>2246.65</v>
      </c>
      <c r="T32" s="335" t="str">
        <f t="shared" si="25"/>
        <v>--</v>
      </c>
      <c r="U32" s="336" t="str">
        <f t="shared" si="26"/>
        <v>--</v>
      </c>
      <c r="V32" s="337" t="str">
        <f t="shared" si="27"/>
        <v>--</v>
      </c>
      <c r="W32" s="338" t="str">
        <f t="shared" si="28"/>
        <v>--</v>
      </c>
      <c r="X32" s="339" t="str">
        <f t="shared" si="29"/>
        <v>--</v>
      </c>
      <c r="Y32" s="340" t="str">
        <f t="shared" si="30"/>
        <v>--</v>
      </c>
      <c r="Z32" s="341" t="s">
        <v>110</v>
      </c>
      <c r="AA32" s="342">
        <f t="shared" si="31"/>
        <v>2246.65</v>
      </c>
      <c r="AB32" s="342">
        <f t="shared" si="1"/>
        <v>1461.9857582193367</v>
      </c>
      <c r="AC32" s="18"/>
    </row>
    <row r="33" spans="1:29" s="5" customFormat="1" ht="16.5" customHeight="1">
      <c r="A33" s="89"/>
      <c r="B33" s="94"/>
      <c r="C33" s="159" t="s">
        <v>206</v>
      </c>
      <c r="D33" s="152" t="s">
        <v>122</v>
      </c>
      <c r="E33" s="327" t="s">
        <v>123</v>
      </c>
      <c r="F33" s="328">
        <v>800</v>
      </c>
      <c r="G33" s="329" t="s">
        <v>124</v>
      </c>
      <c r="H33" s="330">
        <f t="shared" si="17"/>
        <v>196</v>
      </c>
      <c r="I33" s="160">
        <v>39327.15972222222</v>
      </c>
      <c r="J33" s="160">
        <v>39327.80763888889</v>
      </c>
      <c r="K33" s="331">
        <f t="shared" si="18"/>
        <v>15.550000000046566</v>
      </c>
      <c r="L33" s="14">
        <f t="shared" si="19"/>
        <v>933</v>
      </c>
      <c r="M33" s="161" t="s">
        <v>109</v>
      </c>
      <c r="N33" s="267" t="str">
        <f>IF(D33="","","--")</f>
        <v>--</v>
      </c>
      <c r="O33" s="157" t="str">
        <f t="shared" si="20"/>
        <v>--</v>
      </c>
      <c r="P33" s="156" t="str">
        <f t="shared" si="21"/>
        <v>NO</v>
      </c>
      <c r="Q33" s="332">
        <f t="shared" si="22"/>
        <v>2</v>
      </c>
      <c r="R33" s="333">
        <f t="shared" si="23"/>
        <v>6095.6</v>
      </c>
      <c r="S33" s="334" t="str">
        <f t="shared" si="24"/>
        <v>--</v>
      </c>
      <c r="T33" s="335" t="str">
        <f t="shared" si="25"/>
        <v>--</v>
      </c>
      <c r="U33" s="336" t="str">
        <f t="shared" si="26"/>
        <v>--</v>
      </c>
      <c r="V33" s="337" t="str">
        <f t="shared" si="27"/>
        <v>--</v>
      </c>
      <c r="W33" s="338" t="str">
        <f t="shared" si="28"/>
        <v>--</v>
      </c>
      <c r="X33" s="339" t="str">
        <f t="shared" si="29"/>
        <v>--</v>
      </c>
      <c r="Y33" s="340" t="str">
        <f t="shared" si="30"/>
        <v>--</v>
      </c>
      <c r="Z33" s="341" t="s">
        <v>110</v>
      </c>
      <c r="AA33" s="342">
        <f t="shared" si="31"/>
        <v>6095.6</v>
      </c>
      <c r="AB33" s="342">
        <f t="shared" si="1"/>
        <v>3966.6527442199667</v>
      </c>
      <c r="AC33" s="18"/>
    </row>
    <row r="34" spans="1:29" s="5" customFormat="1" ht="16.5" customHeight="1">
      <c r="A34" s="89"/>
      <c r="B34" s="94"/>
      <c r="C34" s="159" t="s">
        <v>206</v>
      </c>
      <c r="D34" s="152" t="s">
        <v>122</v>
      </c>
      <c r="E34" s="327" t="s">
        <v>123</v>
      </c>
      <c r="F34" s="328">
        <v>800</v>
      </c>
      <c r="G34" s="329" t="s">
        <v>124</v>
      </c>
      <c r="H34" s="330">
        <f t="shared" si="17"/>
        <v>196</v>
      </c>
      <c r="I34" s="160">
        <v>39327.808333333334</v>
      </c>
      <c r="J34" s="160">
        <v>39332.99930555555</v>
      </c>
      <c r="K34" s="331">
        <f t="shared" si="18"/>
        <v>124.58333333325572</v>
      </c>
      <c r="L34" s="14">
        <f t="shared" si="19"/>
        <v>7475</v>
      </c>
      <c r="M34" s="161" t="s">
        <v>190</v>
      </c>
      <c r="N34" s="267">
        <v>62.5</v>
      </c>
      <c r="O34" s="157" t="str">
        <f t="shared" si="20"/>
        <v>--</v>
      </c>
      <c r="P34" s="156" t="str">
        <f t="shared" si="21"/>
        <v>NO</v>
      </c>
      <c r="Q34" s="332">
        <f t="shared" si="22"/>
        <v>2</v>
      </c>
      <c r="R34" s="333" t="str">
        <f t="shared" si="23"/>
        <v>--</v>
      </c>
      <c r="S34" s="334">
        <f t="shared" si="24"/>
        <v>30522.1</v>
      </c>
      <c r="T34" s="335" t="str">
        <f t="shared" si="25"/>
        <v>--</v>
      </c>
      <c r="U34" s="336" t="str">
        <f t="shared" si="26"/>
        <v>--</v>
      </c>
      <c r="V34" s="337" t="str">
        <f t="shared" si="27"/>
        <v>--</v>
      </c>
      <c r="W34" s="338" t="str">
        <f t="shared" si="28"/>
        <v>--</v>
      </c>
      <c r="X34" s="339" t="str">
        <f t="shared" si="29"/>
        <v>--</v>
      </c>
      <c r="Y34" s="340" t="str">
        <f t="shared" si="30"/>
        <v>--</v>
      </c>
      <c r="Z34" s="341" t="s">
        <v>110</v>
      </c>
      <c r="AA34" s="342">
        <f t="shared" si="31"/>
        <v>30522.1</v>
      </c>
      <c r="AB34" s="342">
        <f t="shared" si="1"/>
        <v>19861.961369570876</v>
      </c>
      <c r="AC34" s="18"/>
    </row>
    <row r="35" spans="1:29" s="5" customFormat="1" ht="16.5" customHeight="1">
      <c r="A35" s="89"/>
      <c r="B35" s="94"/>
      <c r="C35" s="159" t="s">
        <v>206</v>
      </c>
      <c r="D35" s="152" t="s">
        <v>122</v>
      </c>
      <c r="E35" s="327" t="s">
        <v>123</v>
      </c>
      <c r="F35" s="328">
        <v>800</v>
      </c>
      <c r="G35" s="329" t="s">
        <v>124</v>
      </c>
      <c r="H35" s="330">
        <f>F35*$F$16</f>
        <v>196</v>
      </c>
      <c r="I35" s="160">
        <v>39333</v>
      </c>
      <c r="J35" s="160">
        <v>39333.21527777778</v>
      </c>
      <c r="K35" s="331">
        <f>IF(D35="","",(J35-I35)*24)</f>
        <v>5.166666666744277</v>
      </c>
      <c r="L35" s="14">
        <f>IF(D35="","",ROUND((J35-I35)*24*60,0))</f>
        <v>310</v>
      </c>
      <c r="M35" s="161" t="s">
        <v>196</v>
      </c>
      <c r="N35" s="267">
        <v>62.5</v>
      </c>
      <c r="O35" s="157" t="str">
        <f t="shared" si="20"/>
        <v>NO</v>
      </c>
      <c r="P35" s="156" t="str">
        <f>IF(D35="","","NO")</f>
        <v>NO</v>
      </c>
      <c r="Q35" s="332">
        <f>$F$17*IF(OR(M35="P",M35="RP"),0.1,1)*IF(P35="SI",1,0.1)</f>
        <v>20</v>
      </c>
      <c r="R35" s="333" t="str">
        <f>IF(M35="P",H35*Q35*ROUND(L35/60,2),"--")</f>
        <v>--</v>
      </c>
      <c r="S35" s="334" t="str">
        <f>IF(M35="RP",H35*Q35*N35/100*ROUND(L35/60,2),"--")</f>
        <v>--</v>
      </c>
      <c r="T35" s="335" t="str">
        <f>IF(AND(M35="F",O35="NO"),H35*Q35,"--")</f>
        <v>--</v>
      </c>
      <c r="U35" s="336" t="str">
        <f>IF(M35="F",H35*Q35*ROUND(L35/60,2),"--")</f>
        <v>--</v>
      </c>
      <c r="V35" s="337" t="str">
        <f>IF(AND(M35="R",O35="NO"),H35*Q35*N35/100,"--")</f>
        <v>--</v>
      </c>
      <c r="W35" s="338" t="str">
        <f>IF(M35="R",H35*Q35*N35/100*ROUND(L35/60,2),"--")</f>
        <v>--</v>
      </c>
      <c r="X35" s="339">
        <f>IF(M35="RF",H35*Q35*ROUND(L35/60,2),"--")</f>
        <v>20266.4</v>
      </c>
      <c r="Y35" s="340" t="str">
        <f>IF(M35="RR",H35*Q35*N35/100*ROUND(L35/60,2),"--")</f>
        <v>--</v>
      </c>
      <c r="Z35" s="341" t="s">
        <v>110</v>
      </c>
      <c r="AA35" s="342">
        <f>IF(D35="","",SUM(R35:Y35)*IF(Z35="SI",1,2))</f>
        <v>20266.4</v>
      </c>
      <c r="AB35" s="342">
        <f t="shared" si="1"/>
        <v>13188.163786249022</v>
      </c>
      <c r="AC35" s="18"/>
    </row>
    <row r="36" spans="1:29" s="5" customFormat="1" ht="16.5" customHeight="1">
      <c r="A36" s="89"/>
      <c r="B36" s="94"/>
      <c r="C36" s="159" t="s">
        <v>206</v>
      </c>
      <c r="D36" s="152" t="s">
        <v>122</v>
      </c>
      <c r="E36" s="327" t="s">
        <v>123</v>
      </c>
      <c r="F36" s="328">
        <v>800</v>
      </c>
      <c r="G36" s="329" t="s">
        <v>124</v>
      </c>
      <c r="H36" s="330">
        <f t="shared" si="17"/>
        <v>196</v>
      </c>
      <c r="I36" s="160">
        <v>39333.21597222222</v>
      </c>
      <c r="J36" s="160">
        <v>39333.55416666667</v>
      </c>
      <c r="K36" s="331">
        <f t="shared" si="18"/>
        <v>8.116666666755918</v>
      </c>
      <c r="L36" s="14">
        <f t="shared" si="19"/>
        <v>487</v>
      </c>
      <c r="M36" s="161" t="s">
        <v>109</v>
      </c>
      <c r="N36" s="267" t="str">
        <f>IF(D36="","","--")</f>
        <v>--</v>
      </c>
      <c r="O36" s="157" t="str">
        <f t="shared" si="20"/>
        <v>--</v>
      </c>
      <c r="P36" s="156" t="str">
        <f t="shared" si="21"/>
        <v>NO</v>
      </c>
      <c r="Q36" s="332">
        <f t="shared" si="22"/>
        <v>2</v>
      </c>
      <c r="R36" s="333">
        <f t="shared" si="23"/>
        <v>3183.0399999999995</v>
      </c>
      <c r="S36" s="334" t="str">
        <f t="shared" si="24"/>
        <v>--</v>
      </c>
      <c r="T36" s="335" t="str">
        <f t="shared" si="25"/>
        <v>--</v>
      </c>
      <c r="U36" s="336" t="str">
        <f t="shared" si="26"/>
        <v>--</v>
      </c>
      <c r="V36" s="337" t="str">
        <f t="shared" si="27"/>
        <v>--</v>
      </c>
      <c r="W36" s="338" t="str">
        <f t="shared" si="28"/>
        <v>--</v>
      </c>
      <c r="X36" s="339" t="str">
        <f t="shared" si="29"/>
        <v>--</v>
      </c>
      <c r="Y36" s="340" t="str">
        <f t="shared" si="30"/>
        <v>--</v>
      </c>
      <c r="Z36" s="341" t="s">
        <v>110</v>
      </c>
      <c r="AA36" s="342">
        <f t="shared" si="31"/>
        <v>3183.0399999999995</v>
      </c>
      <c r="AB36" s="342">
        <f t="shared" si="1"/>
        <v>2071.332494087854</v>
      </c>
      <c r="AC36" s="18"/>
    </row>
    <row r="37" spans="1:29" s="5" customFormat="1" ht="16.5" customHeight="1">
      <c r="A37" s="89"/>
      <c r="B37" s="94"/>
      <c r="C37" s="159" t="s">
        <v>206</v>
      </c>
      <c r="D37" s="152" t="s">
        <v>122</v>
      </c>
      <c r="E37" s="327" t="s">
        <v>123</v>
      </c>
      <c r="F37" s="328">
        <v>800</v>
      </c>
      <c r="G37" s="329" t="s">
        <v>124</v>
      </c>
      <c r="H37" s="330">
        <f t="shared" si="17"/>
        <v>196</v>
      </c>
      <c r="I37" s="160">
        <v>39333.55486111111</v>
      </c>
      <c r="J37" s="160">
        <v>39337.89722222222</v>
      </c>
      <c r="K37" s="331">
        <f t="shared" si="18"/>
        <v>104.21666666673264</v>
      </c>
      <c r="L37" s="14">
        <f t="shared" si="19"/>
        <v>6253</v>
      </c>
      <c r="M37" s="161" t="s">
        <v>196</v>
      </c>
      <c r="N37" s="267">
        <v>37.5</v>
      </c>
      <c r="O37" s="157" t="str">
        <f t="shared" si="20"/>
        <v>NO</v>
      </c>
      <c r="P37" s="156" t="str">
        <f t="shared" si="21"/>
        <v>NO</v>
      </c>
      <c r="Q37" s="332">
        <f t="shared" si="22"/>
        <v>20</v>
      </c>
      <c r="R37" s="333" t="str">
        <f t="shared" si="23"/>
        <v>--</v>
      </c>
      <c r="S37" s="334" t="str">
        <f t="shared" si="24"/>
        <v>--</v>
      </c>
      <c r="T37" s="335" t="str">
        <f t="shared" si="25"/>
        <v>--</v>
      </c>
      <c r="U37" s="336" t="str">
        <f t="shared" si="26"/>
        <v>--</v>
      </c>
      <c r="V37" s="337" t="str">
        <f t="shared" si="27"/>
        <v>--</v>
      </c>
      <c r="W37" s="338" t="str">
        <f t="shared" si="28"/>
        <v>--</v>
      </c>
      <c r="X37" s="339">
        <f t="shared" si="29"/>
        <v>408542.4</v>
      </c>
      <c r="Y37" s="340" t="str">
        <f t="shared" si="30"/>
        <v>--</v>
      </c>
      <c r="Z37" s="341" t="s">
        <v>110</v>
      </c>
      <c r="AA37" s="342">
        <v>0</v>
      </c>
      <c r="AB37" s="342">
        <f t="shared" si="1"/>
        <v>0</v>
      </c>
      <c r="AC37" s="18"/>
    </row>
    <row r="38" spans="1:29" s="5" customFormat="1" ht="16.5" customHeight="1">
      <c r="A38" s="89"/>
      <c r="B38" s="94"/>
      <c r="C38" s="159" t="s">
        <v>206</v>
      </c>
      <c r="D38" s="152" t="s">
        <v>122</v>
      </c>
      <c r="E38" s="327" t="s">
        <v>123</v>
      </c>
      <c r="F38" s="328">
        <v>800</v>
      </c>
      <c r="G38" s="329" t="s">
        <v>124</v>
      </c>
      <c r="H38" s="330">
        <f t="shared" si="17"/>
        <v>196</v>
      </c>
      <c r="I38" s="160">
        <v>39337.89791666667</v>
      </c>
      <c r="J38" s="160">
        <v>39338.79513888889</v>
      </c>
      <c r="K38" s="331">
        <f t="shared" si="18"/>
        <v>21.533333333325572</v>
      </c>
      <c r="L38" s="14">
        <f t="shared" si="19"/>
        <v>1292</v>
      </c>
      <c r="M38" s="161" t="s">
        <v>196</v>
      </c>
      <c r="N38" s="267">
        <v>62.5</v>
      </c>
      <c r="O38" s="157" t="str">
        <f t="shared" si="20"/>
        <v>NO</v>
      </c>
      <c r="P38" s="156" t="str">
        <f t="shared" si="21"/>
        <v>NO</v>
      </c>
      <c r="Q38" s="332">
        <f t="shared" si="22"/>
        <v>20</v>
      </c>
      <c r="R38" s="333" t="str">
        <f t="shared" si="23"/>
        <v>--</v>
      </c>
      <c r="S38" s="334" t="str">
        <f t="shared" si="24"/>
        <v>--</v>
      </c>
      <c r="T38" s="335" t="str">
        <f t="shared" si="25"/>
        <v>--</v>
      </c>
      <c r="U38" s="336" t="str">
        <f t="shared" si="26"/>
        <v>--</v>
      </c>
      <c r="V38" s="337" t="str">
        <f t="shared" si="27"/>
        <v>--</v>
      </c>
      <c r="W38" s="338" t="str">
        <f t="shared" si="28"/>
        <v>--</v>
      </c>
      <c r="X38" s="339">
        <f t="shared" si="29"/>
        <v>84397.6</v>
      </c>
      <c r="Y38" s="340" t="str">
        <f t="shared" si="30"/>
        <v>--</v>
      </c>
      <c r="Z38" s="341" t="s">
        <v>110</v>
      </c>
      <c r="AA38" s="342">
        <f>IF(D38="","",SUM(R38:Y38)*IF(Z38="SI",1,2))</f>
        <v>84397.6</v>
      </c>
      <c r="AB38" s="342">
        <f t="shared" si="1"/>
        <v>54920.921918363914</v>
      </c>
      <c r="AC38" s="18"/>
    </row>
    <row r="39" spans="1:29" s="5" customFormat="1" ht="16.5" customHeight="1">
      <c r="A39" s="89"/>
      <c r="B39" s="94"/>
      <c r="C39" s="159" t="s">
        <v>206</v>
      </c>
      <c r="D39" s="152" t="s">
        <v>122</v>
      </c>
      <c r="E39" s="327" t="s">
        <v>123</v>
      </c>
      <c r="F39" s="328">
        <v>800</v>
      </c>
      <c r="G39" s="329" t="s">
        <v>124</v>
      </c>
      <c r="H39" s="330">
        <f t="shared" si="17"/>
        <v>196</v>
      </c>
      <c r="I39" s="160">
        <v>39338.79583333333</v>
      </c>
      <c r="J39" s="160">
        <v>39355.99930555555</v>
      </c>
      <c r="K39" s="331">
        <f t="shared" si="18"/>
        <v>412.8833333333605</v>
      </c>
      <c r="L39" s="14">
        <f t="shared" si="19"/>
        <v>24773</v>
      </c>
      <c r="M39" s="161" t="s">
        <v>196</v>
      </c>
      <c r="N39" s="267">
        <v>37.5</v>
      </c>
      <c r="O39" s="157" t="str">
        <f t="shared" si="20"/>
        <v>NO</v>
      </c>
      <c r="P39" s="156" t="str">
        <f t="shared" si="21"/>
        <v>NO</v>
      </c>
      <c r="Q39" s="332">
        <f t="shared" si="22"/>
        <v>20</v>
      </c>
      <c r="R39" s="333" t="str">
        <f t="shared" si="23"/>
        <v>--</v>
      </c>
      <c r="S39" s="334" t="str">
        <f t="shared" si="24"/>
        <v>--</v>
      </c>
      <c r="T39" s="335" t="str">
        <f t="shared" si="25"/>
        <v>--</v>
      </c>
      <c r="U39" s="336" t="str">
        <f t="shared" si="26"/>
        <v>--</v>
      </c>
      <c r="V39" s="337" t="str">
        <f t="shared" si="27"/>
        <v>--</v>
      </c>
      <c r="W39" s="338" t="str">
        <f t="shared" si="28"/>
        <v>--</v>
      </c>
      <c r="X39" s="339">
        <f t="shared" si="29"/>
        <v>1618489.6</v>
      </c>
      <c r="Y39" s="340" t="str">
        <f t="shared" si="30"/>
        <v>--</v>
      </c>
      <c r="Z39" s="341" t="s">
        <v>110</v>
      </c>
      <c r="AA39" s="342">
        <v>0</v>
      </c>
      <c r="AB39" s="342">
        <f t="shared" si="1"/>
        <v>0</v>
      </c>
      <c r="AC39" s="752"/>
    </row>
    <row r="40" spans="1:29" s="5" customFormat="1" ht="16.5" customHeight="1">
      <c r="A40" s="89"/>
      <c r="B40" s="94"/>
      <c r="C40" s="159"/>
      <c r="D40" s="152"/>
      <c r="E40" s="343"/>
      <c r="F40" s="328"/>
      <c r="G40" s="329"/>
      <c r="H40" s="330">
        <f>F40*$F$16</f>
        <v>0</v>
      </c>
      <c r="I40" s="160"/>
      <c r="J40" s="160"/>
      <c r="K40" s="331">
        <f t="shared" si="18"/>
      </c>
      <c r="L40" s="14">
        <f t="shared" si="19"/>
      </c>
      <c r="M40" s="161"/>
      <c r="N40" s="267">
        <f>IF(D40="","","--")</f>
      </c>
      <c r="O40" s="157">
        <f t="shared" si="20"/>
      </c>
      <c r="P40" s="156">
        <f t="shared" si="21"/>
      </c>
      <c r="Q40" s="332">
        <f t="shared" si="22"/>
        <v>20</v>
      </c>
      <c r="R40" s="333" t="str">
        <f t="shared" si="23"/>
        <v>--</v>
      </c>
      <c r="S40" s="334" t="str">
        <f t="shared" si="24"/>
        <v>--</v>
      </c>
      <c r="T40" s="335" t="str">
        <f t="shared" si="25"/>
        <v>--</v>
      </c>
      <c r="U40" s="336" t="str">
        <f t="shared" si="26"/>
        <v>--</v>
      </c>
      <c r="V40" s="337" t="str">
        <f t="shared" si="27"/>
        <v>--</v>
      </c>
      <c r="W40" s="338" t="str">
        <f t="shared" si="28"/>
        <v>--</v>
      </c>
      <c r="X40" s="339" t="str">
        <f t="shared" si="29"/>
        <v>--</v>
      </c>
      <c r="Y40" s="340" t="str">
        <f t="shared" si="30"/>
        <v>--</v>
      </c>
      <c r="Z40" s="341" t="s">
        <v>110</v>
      </c>
      <c r="AA40" s="342">
        <f>IF(D40="","",SUM(R40:Y40)*IF(Z40="SI",1,2))</f>
      </c>
      <c r="AB40" s="342"/>
      <c r="AC40" s="18"/>
    </row>
    <row r="41" spans="1:29" s="5" customFormat="1" ht="16.5" customHeight="1" thickBot="1">
      <c r="A41" s="89"/>
      <c r="B41" s="94"/>
      <c r="C41" s="159"/>
      <c r="D41" s="344"/>
      <c r="E41" s="345"/>
      <c r="F41" s="344"/>
      <c r="G41" s="346"/>
      <c r="H41" s="139"/>
      <c r="I41" s="162"/>
      <c r="J41" s="347"/>
      <c r="K41" s="348"/>
      <c r="L41" s="349"/>
      <c r="M41" s="166"/>
      <c r="N41" s="226"/>
      <c r="O41" s="164"/>
      <c r="P41" s="166"/>
      <c r="Q41" s="350"/>
      <c r="R41" s="351"/>
      <c r="S41" s="352"/>
      <c r="T41" s="353"/>
      <c r="U41" s="354"/>
      <c r="V41" s="355"/>
      <c r="W41" s="356"/>
      <c r="X41" s="357"/>
      <c r="Y41" s="358"/>
      <c r="Z41" s="359"/>
      <c r="AA41" s="360"/>
      <c r="AB41" s="360"/>
      <c r="AC41" s="18"/>
    </row>
    <row r="42" spans="1:29" s="5" customFormat="1" ht="16.5" customHeight="1" thickBot="1" thickTop="1">
      <c r="A42" s="89"/>
      <c r="B42" s="94"/>
      <c r="C42" s="129" t="s">
        <v>23</v>
      </c>
      <c r="D42" s="130" t="s">
        <v>200</v>
      </c>
      <c r="E42" s="15"/>
      <c r="F42" s="15"/>
      <c r="G42" s="15"/>
      <c r="H42" s="15"/>
      <c r="I42" s="15"/>
      <c r="J42" s="98"/>
      <c r="K42" s="15"/>
      <c r="L42" s="15"/>
      <c r="M42" s="15"/>
      <c r="N42" s="15"/>
      <c r="O42" s="15"/>
      <c r="P42" s="15"/>
      <c r="Q42" s="15"/>
      <c r="R42" s="361">
        <f aca="true" t="shared" si="32" ref="R42:Y42">SUM(R20:R41)</f>
        <v>16219</v>
      </c>
      <c r="S42" s="362">
        <f t="shared" si="32"/>
        <v>34868.4</v>
      </c>
      <c r="T42" s="363">
        <f t="shared" si="32"/>
        <v>1470</v>
      </c>
      <c r="U42" s="364">
        <f t="shared" si="32"/>
        <v>4410</v>
      </c>
      <c r="V42" s="365">
        <f t="shared" si="32"/>
        <v>0</v>
      </c>
      <c r="W42" s="366">
        <f t="shared" si="32"/>
        <v>0</v>
      </c>
      <c r="X42" s="367">
        <f t="shared" si="32"/>
        <v>2131696</v>
      </c>
      <c r="Y42" s="368">
        <f t="shared" si="32"/>
        <v>0</v>
      </c>
      <c r="Z42" s="89"/>
      <c r="AA42" s="369">
        <f>ROUND(SUM(AA20:AA41),2)</f>
        <v>161631.4</v>
      </c>
      <c r="AB42" s="369">
        <f>SUM(AB21:AB39)</f>
        <v>105180.07027398699</v>
      </c>
      <c r="AC42" s="18"/>
    </row>
    <row r="43" spans="1:29" s="135" customFormat="1" ht="9.75" thickTop="1">
      <c r="A43" s="370"/>
      <c r="B43" s="371"/>
      <c r="C43" s="131"/>
      <c r="D43" s="132" t="s">
        <v>201</v>
      </c>
      <c r="E43" s="372"/>
      <c r="F43" s="372"/>
      <c r="G43" s="372" t="s">
        <v>207</v>
      </c>
      <c r="H43" s="372"/>
      <c r="I43" s="372"/>
      <c r="J43" s="373"/>
      <c r="K43" s="372"/>
      <c r="L43" s="372"/>
      <c r="M43" s="372"/>
      <c r="N43" s="372"/>
      <c r="O43" s="372"/>
      <c r="P43" s="372"/>
      <c r="Q43" s="372"/>
      <c r="R43" s="374"/>
      <c r="S43" s="374"/>
      <c r="T43" s="374"/>
      <c r="U43" s="374"/>
      <c r="V43" s="374"/>
      <c r="W43" s="374"/>
      <c r="X43" s="374"/>
      <c r="Y43" s="374"/>
      <c r="Z43" s="370"/>
      <c r="AA43" s="375"/>
      <c r="AB43" s="375"/>
      <c r="AC43" s="136"/>
    </row>
    <row r="44" spans="1:29" s="5" customFormat="1" ht="16.5" customHeight="1" thickBot="1">
      <c r="A44" s="89"/>
      <c r="B44" s="101"/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2"/>
      <c r="Z44" s="102"/>
      <c r="AA44" s="102"/>
      <c r="AB44" s="102"/>
      <c r="AC44" s="103"/>
    </row>
    <row r="45" spans="1:30" ht="16.5" customHeight="1" thickTop="1">
      <c r="A45" s="2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  <c r="AA45" s="180"/>
      <c r="AB45" s="180"/>
      <c r="AC45" s="180"/>
      <c r="AD45" s="180"/>
    </row>
    <row r="46" spans="1:30" ht="16.5" customHeight="1">
      <c r="A46" s="2"/>
      <c r="D46" s="180"/>
      <c r="E46" s="180"/>
      <c r="F46" s="180"/>
      <c r="G46" s="180"/>
      <c r="H46" s="180"/>
      <c r="I46" s="180"/>
      <c r="J46" s="180"/>
      <c r="K46" s="180"/>
      <c r="L46" s="180"/>
      <c r="M46" s="18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  <c r="AA46" s="180"/>
      <c r="AB46" s="180"/>
      <c r="AC46" s="180"/>
      <c r="AD46" s="180"/>
    </row>
    <row r="47" spans="1:30" ht="16.5" customHeight="1">
      <c r="A47" s="2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  <c r="AA47" s="180"/>
      <c r="AB47" s="180"/>
      <c r="AC47" s="180"/>
      <c r="AD47" s="180"/>
    </row>
    <row r="48" spans="1:30" ht="16.5" customHeight="1">
      <c r="A48" s="2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  <c r="AA48" s="180"/>
      <c r="AB48" s="180"/>
      <c r="AC48" s="180"/>
      <c r="AD48" s="180"/>
    </row>
    <row r="49" spans="4:30" ht="16.5" customHeight="1">
      <c r="D49" s="180"/>
      <c r="E49" s="180"/>
      <c r="F49" s="180"/>
      <c r="G49" s="180"/>
      <c r="H49" s="180"/>
      <c r="I49" s="180"/>
      <c r="J49" s="180"/>
      <c r="K49" s="180"/>
      <c r="L49" s="180"/>
      <c r="M49" s="18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</row>
    <row r="50" spans="4:30" ht="16.5" customHeight="1"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80"/>
      <c r="AC50" s="180"/>
      <c r="AD50" s="180"/>
    </row>
    <row r="51" spans="4:30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18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  <c r="AA51" s="180"/>
      <c r="AB51" s="180"/>
      <c r="AC51" s="180"/>
      <c r="AD51" s="180"/>
    </row>
    <row r="52" spans="4:30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18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  <c r="AA52" s="180"/>
      <c r="AB52" s="180"/>
      <c r="AC52" s="180"/>
      <c r="AD52" s="180"/>
    </row>
    <row r="53" spans="4:30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  <c r="AA53" s="180"/>
      <c r="AB53" s="180"/>
      <c r="AC53" s="180"/>
      <c r="AD53" s="180"/>
    </row>
    <row r="54" spans="4:30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  <c r="AA54" s="180"/>
      <c r="AB54" s="180"/>
      <c r="AC54" s="180"/>
      <c r="AD54" s="180"/>
    </row>
    <row r="55" spans="4:30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  <c r="AA55" s="180"/>
      <c r="AB55" s="180"/>
      <c r="AC55" s="180"/>
      <c r="AD55" s="180"/>
    </row>
    <row r="56" spans="4:30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  <c r="AA56" s="180"/>
      <c r="AB56" s="180"/>
      <c r="AC56" s="180"/>
      <c r="AD56" s="180"/>
    </row>
    <row r="57" spans="4:30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  <c r="AA57" s="180"/>
      <c r="AB57" s="180"/>
      <c r="AC57" s="180"/>
      <c r="AD57" s="180"/>
    </row>
    <row r="58" spans="4:30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</row>
    <row r="59" spans="4:30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  <c r="AA59" s="180"/>
      <c r="AB59" s="180"/>
      <c r="AC59" s="180"/>
      <c r="AD59" s="180"/>
    </row>
    <row r="60" spans="4:30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  <c r="AA60" s="180"/>
      <c r="AB60" s="180"/>
      <c r="AC60" s="180"/>
      <c r="AD60" s="180"/>
    </row>
    <row r="61" spans="4:30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  <c r="AA61" s="180"/>
      <c r="AB61" s="180"/>
      <c r="AC61" s="180"/>
      <c r="AD61" s="180"/>
    </row>
    <row r="62" spans="4:30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  <c r="AA62" s="180"/>
      <c r="AB62" s="180"/>
      <c r="AC62" s="180"/>
      <c r="AD62" s="180"/>
    </row>
    <row r="63" spans="4:30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</row>
    <row r="64" spans="4:30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  <c r="AA64" s="180"/>
      <c r="AB64" s="180"/>
      <c r="AC64" s="180"/>
      <c r="AD64" s="180"/>
    </row>
    <row r="65" spans="4:30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  <c r="AA65" s="180"/>
      <c r="AB65" s="180"/>
      <c r="AC65" s="180"/>
      <c r="AD65" s="180"/>
    </row>
    <row r="66" spans="4:30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  <c r="AA66" s="180"/>
      <c r="AB66" s="180"/>
      <c r="AC66" s="180"/>
      <c r="AD66" s="180"/>
    </row>
    <row r="67" spans="4:30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  <c r="AA67" s="180"/>
      <c r="AB67" s="180"/>
      <c r="AC67" s="180"/>
      <c r="AD67" s="180"/>
    </row>
    <row r="68" spans="4:30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  <c r="AA68" s="180"/>
      <c r="AB68" s="180"/>
      <c r="AC68" s="180"/>
      <c r="AD68" s="180"/>
    </row>
    <row r="69" spans="4:30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  <c r="AA69" s="180"/>
      <c r="AB69" s="180"/>
      <c r="AC69" s="180"/>
      <c r="AD69" s="180"/>
    </row>
    <row r="70" spans="4:30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  <c r="AA70" s="180"/>
      <c r="AB70" s="180"/>
      <c r="AC70" s="180"/>
      <c r="AD70" s="180"/>
    </row>
    <row r="71" spans="4:30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  <c r="AA71" s="180"/>
      <c r="AB71" s="180"/>
      <c r="AC71" s="180"/>
      <c r="AD71" s="180"/>
    </row>
    <row r="72" spans="4:30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  <c r="AA72" s="180"/>
      <c r="AB72" s="180"/>
      <c r="AC72" s="180"/>
      <c r="AD72" s="180"/>
    </row>
    <row r="73" spans="4:30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</row>
    <row r="74" spans="4:30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  <c r="AA74" s="180"/>
      <c r="AB74" s="180"/>
      <c r="AC74" s="180"/>
      <c r="AD74" s="180"/>
    </row>
    <row r="75" spans="4:30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  <c r="AA75" s="180"/>
      <c r="AB75" s="180"/>
      <c r="AC75" s="180"/>
      <c r="AD75" s="180"/>
    </row>
    <row r="76" spans="4:30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  <c r="AA76" s="180"/>
      <c r="AB76" s="180"/>
      <c r="AC76" s="180"/>
      <c r="AD76" s="180"/>
    </row>
    <row r="77" spans="4:30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  <c r="AA77" s="180"/>
      <c r="AB77" s="180"/>
      <c r="AC77" s="180"/>
      <c r="AD77" s="180"/>
    </row>
    <row r="78" spans="4:30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</row>
    <row r="79" spans="4:30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  <c r="AA79" s="180"/>
      <c r="AB79" s="180"/>
      <c r="AC79" s="180"/>
      <c r="AD79" s="180"/>
    </row>
    <row r="80" spans="4:30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  <c r="AA80" s="180"/>
      <c r="AB80" s="180"/>
      <c r="AC80" s="180"/>
      <c r="AD80" s="180"/>
    </row>
    <row r="81" spans="4:30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  <c r="AA81" s="180"/>
      <c r="AB81" s="180"/>
      <c r="AC81" s="180"/>
      <c r="AD81" s="180"/>
    </row>
    <row r="82" spans="4:30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180"/>
    </row>
    <row r="83" spans="4:30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</row>
    <row r="84" spans="4:30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  <c r="AA84" s="180"/>
      <c r="AB84" s="180"/>
      <c r="AC84" s="180"/>
      <c r="AD84" s="180"/>
    </row>
    <row r="85" spans="4:30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  <c r="AA85" s="180"/>
      <c r="AB85" s="180"/>
      <c r="AC85" s="180"/>
      <c r="AD85" s="180"/>
    </row>
    <row r="86" spans="4:30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  <c r="AA86" s="180"/>
      <c r="AB86" s="180"/>
      <c r="AC86" s="180"/>
      <c r="AD86" s="180"/>
    </row>
    <row r="87" spans="4:30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  <c r="AA87" s="180"/>
      <c r="AB87" s="180"/>
      <c r="AC87" s="180"/>
      <c r="AD87" s="180"/>
    </row>
    <row r="88" spans="4:30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  <c r="AA88" s="180"/>
      <c r="AB88" s="180"/>
      <c r="AC88" s="180"/>
      <c r="AD88" s="180"/>
    </row>
    <row r="89" spans="4:30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  <c r="AA89" s="180"/>
      <c r="AB89" s="180"/>
      <c r="AC89" s="180"/>
      <c r="AD89" s="180"/>
    </row>
    <row r="90" spans="4:30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  <c r="AA90" s="180"/>
      <c r="AB90" s="180"/>
      <c r="AC90" s="180"/>
      <c r="AD90" s="180"/>
    </row>
    <row r="91" spans="4:30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  <c r="AA91" s="180"/>
      <c r="AB91" s="180"/>
      <c r="AC91" s="180"/>
      <c r="AD91" s="180"/>
    </row>
    <row r="92" spans="4:30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  <c r="AA92" s="180"/>
      <c r="AB92" s="180"/>
      <c r="AC92" s="180"/>
      <c r="AD92" s="180"/>
    </row>
    <row r="93" spans="4:30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</row>
    <row r="94" spans="4:30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  <c r="AA94" s="180"/>
      <c r="AB94" s="180"/>
      <c r="AC94" s="180"/>
      <c r="AD94" s="180"/>
    </row>
    <row r="95" spans="4:30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  <c r="AA95" s="180"/>
      <c r="AB95" s="180"/>
      <c r="AC95" s="180"/>
      <c r="AD95" s="180"/>
    </row>
    <row r="96" spans="4:30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  <c r="AA96" s="180"/>
      <c r="AB96" s="180"/>
      <c r="AC96" s="180"/>
      <c r="AD96" s="180"/>
    </row>
    <row r="97" spans="4:30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180"/>
    </row>
    <row r="98" spans="4:30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  <c r="AA98" s="180"/>
      <c r="AB98" s="180"/>
      <c r="AC98" s="180"/>
      <c r="AD98" s="180"/>
    </row>
    <row r="99" spans="4:30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  <c r="AA99" s="180"/>
      <c r="AB99" s="180"/>
      <c r="AC99" s="180"/>
      <c r="AD99" s="180"/>
    </row>
    <row r="100" spans="4:30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  <c r="AA100" s="180"/>
      <c r="AB100" s="180"/>
      <c r="AC100" s="180"/>
      <c r="AD100" s="180"/>
    </row>
    <row r="101" spans="4:30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  <c r="AA101" s="180"/>
      <c r="AB101" s="180"/>
      <c r="AC101" s="180"/>
      <c r="AD101" s="180"/>
    </row>
    <row r="102" spans="4:30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  <c r="AA102" s="180"/>
      <c r="AB102" s="180"/>
      <c r="AC102" s="180"/>
      <c r="AD102" s="180"/>
    </row>
    <row r="103" spans="4:30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  <c r="AA103" s="180"/>
      <c r="AB103" s="180"/>
      <c r="AC103" s="180"/>
      <c r="AD103" s="180"/>
    </row>
    <row r="104" spans="4:30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  <c r="AA104" s="180"/>
      <c r="AB104" s="180"/>
      <c r="AC104" s="180"/>
      <c r="AD104" s="180"/>
    </row>
    <row r="105" spans="4:30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  <c r="AA105" s="180"/>
      <c r="AB105" s="180"/>
      <c r="AC105" s="180"/>
      <c r="AD105" s="180"/>
    </row>
    <row r="106" spans="4:30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  <c r="AA106" s="180"/>
      <c r="AB106" s="180"/>
      <c r="AC106" s="180"/>
      <c r="AD106" s="180"/>
    </row>
    <row r="107" spans="4:30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  <c r="AA107" s="180"/>
      <c r="AB107" s="180"/>
      <c r="AC107" s="180"/>
      <c r="AD107" s="180"/>
    </row>
    <row r="108" spans="4:30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  <c r="AA108" s="180"/>
      <c r="AB108" s="180"/>
      <c r="AC108" s="180"/>
      <c r="AD108" s="180"/>
    </row>
    <row r="109" spans="4:30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  <c r="AA109" s="180"/>
      <c r="AB109" s="180"/>
      <c r="AC109" s="180"/>
      <c r="AD109" s="180"/>
    </row>
    <row r="110" spans="4:30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  <c r="AA110" s="180"/>
      <c r="AB110" s="180"/>
      <c r="AC110" s="180"/>
      <c r="AD110" s="180"/>
    </row>
    <row r="111" spans="4:30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  <c r="AA111" s="180"/>
      <c r="AB111" s="180"/>
      <c r="AC111" s="180"/>
      <c r="AD111" s="180"/>
    </row>
    <row r="112" spans="4:30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  <c r="AA112" s="180"/>
      <c r="AB112" s="180"/>
      <c r="AC112" s="180"/>
      <c r="AD112" s="180"/>
    </row>
    <row r="113" spans="4:30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  <c r="AA113" s="180"/>
      <c r="AB113" s="180"/>
      <c r="AC113" s="180"/>
      <c r="AD113" s="180"/>
    </row>
    <row r="114" spans="4:30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  <c r="AA114" s="180"/>
      <c r="AB114" s="180"/>
      <c r="AC114" s="180"/>
      <c r="AD114" s="180"/>
    </row>
    <row r="115" spans="4:30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  <c r="AA115" s="180"/>
      <c r="AB115" s="180"/>
      <c r="AC115" s="180"/>
      <c r="AD115" s="180"/>
    </row>
    <row r="116" spans="4:30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  <c r="AA116" s="180"/>
      <c r="AB116" s="180"/>
      <c r="AC116" s="180"/>
      <c r="AD116" s="180"/>
    </row>
    <row r="117" spans="4:30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  <c r="AA117" s="180"/>
      <c r="AB117" s="180"/>
      <c r="AC117" s="180"/>
      <c r="AD117" s="180"/>
    </row>
    <row r="118" spans="4:30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  <c r="AA118" s="180"/>
      <c r="AB118" s="180"/>
      <c r="AC118" s="180"/>
      <c r="AD118" s="180"/>
    </row>
    <row r="119" spans="4:30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  <c r="AA119" s="180"/>
      <c r="AB119" s="180"/>
      <c r="AC119" s="180"/>
      <c r="AD119" s="180"/>
    </row>
    <row r="120" spans="4:30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  <c r="AA120" s="180"/>
      <c r="AB120" s="180"/>
      <c r="AC120" s="180"/>
      <c r="AD120" s="180"/>
    </row>
    <row r="121" spans="4:30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  <c r="AA121" s="180"/>
      <c r="AB121" s="180"/>
      <c r="AC121" s="180"/>
      <c r="AD121" s="180"/>
    </row>
    <row r="122" spans="4:30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  <c r="AA122" s="180"/>
      <c r="AB122" s="180"/>
      <c r="AC122" s="180"/>
      <c r="AD122" s="180"/>
    </row>
    <row r="123" spans="4:30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  <c r="AA123" s="180"/>
      <c r="AB123" s="180"/>
      <c r="AC123" s="180"/>
      <c r="AD123" s="180"/>
    </row>
    <row r="124" spans="4:30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  <c r="AA124" s="180"/>
      <c r="AB124" s="180"/>
      <c r="AC124" s="180"/>
      <c r="AD124" s="180"/>
    </row>
    <row r="125" spans="4:30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  <c r="AA125" s="180"/>
      <c r="AB125" s="180"/>
      <c r="AC125" s="180"/>
      <c r="AD125" s="180"/>
    </row>
    <row r="126" spans="4:30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  <c r="AA126" s="180"/>
      <c r="AB126" s="180"/>
      <c r="AC126" s="180"/>
      <c r="AD126" s="180"/>
    </row>
    <row r="127" spans="4:30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  <c r="AA127" s="180"/>
      <c r="AB127" s="180"/>
      <c r="AC127" s="180"/>
      <c r="AD127" s="180"/>
    </row>
    <row r="128" spans="4:30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  <c r="AA128" s="180"/>
      <c r="AB128" s="180"/>
      <c r="AC128" s="180"/>
      <c r="AD128" s="180"/>
    </row>
    <row r="129" spans="4:30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  <c r="AA129" s="180"/>
      <c r="AB129" s="180"/>
      <c r="AC129" s="180"/>
      <c r="AD129" s="180"/>
    </row>
    <row r="130" spans="4:30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  <c r="AA130" s="180"/>
      <c r="AB130" s="180"/>
      <c r="AC130" s="180"/>
      <c r="AD130" s="180"/>
    </row>
    <row r="131" spans="4:30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</row>
    <row r="132" spans="4:30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  <c r="AA132" s="180"/>
      <c r="AB132" s="180"/>
      <c r="AC132" s="180"/>
      <c r="AD132" s="180"/>
    </row>
    <row r="133" spans="4:30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  <c r="AA133" s="180"/>
      <c r="AB133" s="180"/>
      <c r="AC133" s="180"/>
      <c r="AD133" s="180"/>
    </row>
    <row r="134" spans="4:30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  <c r="AA134" s="180"/>
      <c r="AB134" s="180"/>
      <c r="AC134" s="180"/>
      <c r="AD134" s="180"/>
    </row>
    <row r="135" spans="4:30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  <c r="AA135" s="180"/>
      <c r="AB135" s="180"/>
      <c r="AC135" s="180"/>
      <c r="AD135" s="180"/>
    </row>
    <row r="136" spans="4:30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</row>
    <row r="137" spans="4:30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  <c r="AA137" s="180"/>
      <c r="AB137" s="180"/>
      <c r="AC137" s="180"/>
      <c r="AD137" s="180"/>
    </row>
    <row r="138" spans="4:30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  <c r="AA138" s="180"/>
      <c r="AB138" s="180"/>
      <c r="AC138" s="180"/>
      <c r="AD138" s="180"/>
    </row>
    <row r="139" spans="4:30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  <c r="AA139" s="180"/>
      <c r="AB139" s="180"/>
      <c r="AC139" s="180"/>
      <c r="AD139" s="180"/>
    </row>
    <row r="140" spans="4:30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  <c r="AA140" s="180"/>
      <c r="AB140" s="180"/>
      <c r="AC140" s="180"/>
      <c r="AD140" s="180"/>
    </row>
    <row r="141" spans="4:30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</row>
    <row r="142" spans="4:30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  <c r="AA142" s="180"/>
      <c r="AB142" s="180"/>
      <c r="AC142" s="180"/>
      <c r="AD142" s="180"/>
    </row>
    <row r="143" spans="4:30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  <c r="AA143" s="180"/>
      <c r="AB143" s="180"/>
      <c r="AC143" s="180"/>
      <c r="AD143" s="180"/>
    </row>
    <row r="144" spans="4:30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  <c r="AA144" s="180"/>
      <c r="AB144" s="180"/>
      <c r="AC144" s="180"/>
      <c r="AD144" s="180"/>
    </row>
    <row r="145" spans="4:30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  <c r="AA145" s="180"/>
      <c r="AB145" s="180"/>
      <c r="AC145" s="180"/>
      <c r="AD145" s="180"/>
    </row>
    <row r="146" spans="4:30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  <c r="AA146" s="180"/>
      <c r="AB146" s="180"/>
      <c r="AC146" s="180"/>
      <c r="AD146" s="180"/>
    </row>
    <row r="147" spans="4:30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  <c r="AA147" s="180"/>
      <c r="AB147" s="180"/>
      <c r="AC147" s="180"/>
      <c r="AD147" s="180"/>
    </row>
    <row r="148" spans="4:30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  <c r="AA148" s="180"/>
      <c r="AB148" s="180"/>
      <c r="AC148" s="180"/>
      <c r="AD148" s="180"/>
    </row>
    <row r="149" spans="4:30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  <c r="AA149" s="180"/>
      <c r="AB149" s="180"/>
      <c r="AC149" s="180"/>
      <c r="AD149" s="180"/>
    </row>
    <row r="150" spans="4:30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  <c r="AA150" s="180"/>
      <c r="AB150" s="180"/>
      <c r="AC150" s="180"/>
      <c r="AD150" s="180"/>
    </row>
    <row r="151" spans="4:30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  <c r="AA151" s="180"/>
      <c r="AB151" s="180"/>
      <c r="AC151" s="180"/>
      <c r="AD151" s="180"/>
    </row>
    <row r="152" spans="4:30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  <c r="AA152" s="180"/>
      <c r="AB152" s="180"/>
      <c r="AC152" s="180"/>
      <c r="AD152" s="180"/>
    </row>
    <row r="153" ht="16.5" customHeight="1">
      <c r="AD153" s="180"/>
    </row>
    <row r="154" ht="16.5" customHeight="1">
      <c r="AD154" s="180"/>
    </row>
    <row r="155" ht="16.5" customHeight="1">
      <c r="AD155" s="180"/>
    </row>
    <row r="156" ht="16.5" customHeight="1">
      <c r="AD156" s="180"/>
    </row>
    <row r="157" ht="16.5" customHeight="1"/>
    <row r="158" ht="16.5" customHeight="1"/>
    <row r="159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7" r:id="rId2"/>
  <headerFooter alignWithMargins="0">
    <oddFooter>&amp;L&amp;"Times New Roman,Normal"&amp;8&amp;F-&amp;A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18">
    <pageSetUpPr fitToPage="1"/>
  </sheetPr>
  <dimension ref="A1:X160"/>
  <sheetViews>
    <sheetView zoomScale="75" zoomScaleNormal="75" workbookViewId="0" topLeftCell="H12">
      <selection activeCell="J41" sqref="J4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2" width="15.7109375" style="0" customWidth="1"/>
  </cols>
  <sheetData>
    <row r="1" s="19" customFormat="1" ht="26.25">
      <c r="V1" s="147"/>
    </row>
    <row r="2" spans="1:22" s="19" customFormat="1" ht="26.25">
      <c r="A2" s="90"/>
      <c r="B2" s="20" t="str">
        <f>+'TOT-0907'!B2</f>
        <v>ANEXO V al Memorandum D.T.E.E. N°  719/2011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="5" customFormat="1" ht="12.75">
      <c r="A3" s="89"/>
    </row>
    <row r="4" spans="1:2" s="26" customFormat="1" ht="11.25">
      <c r="A4" s="24" t="s">
        <v>1</v>
      </c>
      <c r="B4" s="126"/>
    </row>
    <row r="5" spans="1:2" s="26" customFormat="1" ht="11.25">
      <c r="A5" s="24" t="s">
        <v>2</v>
      </c>
      <c r="B5" s="126"/>
    </row>
    <row r="6" s="5" customFormat="1" ht="13.5" thickBot="1"/>
    <row r="7" spans="2:22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</row>
    <row r="8" spans="2:22" s="30" customFormat="1" ht="20.25">
      <c r="B8" s="80"/>
      <c r="C8" s="31"/>
      <c r="D8" s="12" t="s">
        <v>52</v>
      </c>
      <c r="L8" s="106"/>
      <c r="M8" s="106"/>
      <c r="N8" s="95"/>
      <c r="O8" s="31"/>
      <c r="P8" s="31"/>
      <c r="Q8" s="31"/>
      <c r="R8" s="31"/>
      <c r="S8" s="31"/>
      <c r="T8" s="31"/>
      <c r="U8" s="31"/>
      <c r="V8" s="81"/>
    </row>
    <row r="9" spans="2:22" s="5" customFormat="1" ht="12.75">
      <c r="B9" s="51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4"/>
      <c r="V9" s="6"/>
    </row>
    <row r="10" spans="2:22" s="30" customFormat="1" ht="20.25">
      <c r="B10" s="80"/>
      <c r="C10" s="31"/>
      <c r="D10" s="114" t="s">
        <v>63</v>
      </c>
      <c r="E10" s="379"/>
      <c r="F10" s="106"/>
      <c r="G10" s="109"/>
      <c r="I10" s="109"/>
      <c r="J10" s="109"/>
      <c r="K10" s="109"/>
      <c r="L10" s="109"/>
      <c r="M10" s="109"/>
      <c r="N10" s="109"/>
      <c r="O10" s="31"/>
      <c r="P10" s="31"/>
      <c r="Q10" s="31"/>
      <c r="R10" s="31"/>
      <c r="S10" s="31"/>
      <c r="T10" s="31"/>
      <c r="U10" s="31"/>
      <c r="V10" s="81"/>
    </row>
    <row r="11" spans="2:22" s="5" customFormat="1" ht="13.5">
      <c r="B11" s="51"/>
      <c r="C11" s="4"/>
      <c r="D11" s="380"/>
      <c r="E11" s="380"/>
      <c r="F11" s="89"/>
      <c r="G11" s="96"/>
      <c r="H11" s="53"/>
      <c r="I11" s="96"/>
      <c r="J11" s="96"/>
      <c r="K11" s="96"/>
      <c r="L11" s="96"/>
      <c r="M11" s="96"/>
      <c r="N11" s="96"/>
      <c r="O11" s="4"/>
      <c r="P11" s="4"/>
      <c r="Q11" s="4"/>
      <c r="R11" s="4"/>
      <c r="S11" s="4"/>
      <c r="T11" s="4"/>
      <c r="U11" s="4"/>
      <c r="V11" s="6"/>
    </row>
    <row r="12" spans="2:22" s="30" customFormat="1" ht="20.25">
      <c r="B12" s="80"/>
      <c r="C12" s="31"/>
      <c r="D12" s="114" t="s">
        <v>64</v>
      </c>
      <c r="E12" s="379"/>
      <c r="F12" s="106"/>
      <c r="G12" s="109"/>
      <c r="I12" s="109"/>
      <c r="J12" s="109"/>
      <c r="K12" s="109"/>
      <c r="L12" s="109"/>
      <c r="M12" s="109"/>
      <c r="N12" s="109"/>
      <c r="O12" s="31"/>
      <c r="P12" s="31"/>
      <c r="Q12" s="31"/>
      <c r="R12" s="31"/>
      <c r="S12" s="31"/>
      <c r="T12" s="31"/>
      <c r="U12" s="31"/>
      <c r="V12" s="81"/>
    </row>
    <row r="13" spans="2:22" s="5" customFormat="1" ht="13.5">
      <c r="B13" s="51"/>
      <c r="C13" s="4"/>
      <c r="D13" s="380"/>
      <c r="E13" s="380"/>
      <c r="F13" s="89"/>
      <c r="G13" s="96"/>
      <c r="H13" s="53"/>
      <c r="I13" s="96"/>
      <c r="J13" s="96"/>
      <c r="K13" s="96"/>
      <c r="L13" s="96"/>
      <c r="M13" s="96"/>
      <c r="N13" s="96"/>
      <c r="O13" s="4"/>
      <c r="P13" s="4"/>
      <c r="Q13" s="4"/>
      <c r="R13" s="4"/>
      <c r="S13" s="4"/>
      <c r="T13" s="4"/>
      <c r="U13" s="4"/>
      <c r="V13" s="6"/>
    </row>
    <row r="14" spans="2:22" s="5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381"/>
      <c r="H14" s="381"/>
      <c r="I14" s="381"/>
      <c r="J14" s="381"/>
      <c r="K14" s="381"/>
      <c r="L14" s="381"/>
      <c r="M14" s="381"/>
      <c r="N14" s="381"/>
      <c r="O14" s="41"/>
      <c r="P14" s="41"/>
      <c r="Q14" s="41"/>
      <c r="R14" s="41"/>
      <c r="S14" s="41"/>
      <c r="T14" s="41"/>
      <c r="U14" s="41"/>
      <c r="V14" s="382"/>
    </row>
    <row r="15" spans="2:22" s="5" customFormat="1" ht="14.25" thickBot="1">
      <c r="B15" s="383"/>
      <c r="C15" s="384"/>
      <c r="D15" s="384"/>
      <c r="E15" s="384"/>
      <c r="F15" s="384"/>
      <c r="G15" s="385"/>
      <c r="H15" s="385"/>
      <c r="I15" s="385"/>
      <c r="J15" s="385"/>
      <c r="K15" s="385"/>
      <c r="L15" s="385"/>
      <c r="M15" s="385"/>
      <c r="N15" s="385"/>
      <c r="O15" s="384"/>
      <c r="P15" s="384"/>
      <c r="Q15" s="384"/>
      <c r="R15" s="384"/>
      <c r="S15" s="384"/>
      <c r="T15" s="384"/>
      <c r="U15" s="384"/>
      <c r="V15" s="386"/>
    </row>
    <row r="16" spans="2:22" s="5" customFormat="1" ht="15" thickBot="1" thickTop="1">
      <c r="B16" s="51"/>
      <c r="C16" s="4"/>
      <c r="D16" s="387"/>
      <c r="E16" s="387"/>
      <c r="F16" s="119" t="s">
        <v>65</v>
      </c>
      <c r="G16" s="4"/>
      <c r="H16" s="5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51"/>
      <c r="C17" s="4"/>
      <c r="D17" s="388" t="s">
        <v>66</v>
      </c>
      <c r="E17" s="389">
        <v>49.065</v>
      </c>
      <c r="F17" s="390">
        <v>200</v>
      </c>
      <c r="T17" s="116"/>
      <c r="U17" s="116"/>
      <c r="V17" s="6"/>
    </row>
    <row r="18" spans="2:22" s="5" customFormat="1" ht="16.5" customHeight="1" thickBot="1" thickTop="1">
      <c r="B18" s="51"/>
      <c r="C18" s="4"/>
      <c r="D18" s="391" t="s">
        <v>67</v>
      </c>
      <c r="E18" s="392">
        <v>44.156</v>
      </c>
      <c r="F18" s="390">
        <v>100</v>
      </c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2:22" s="5" customFormat="1" ht="16.5" customHeight="1" thickBot="1" thickTop="1">
      <c r="B19" s="51"/>
      <c r="C19" s="4"/>
      <c r="D19" s="393" t="s">
        <v>68</v>
      </c>
      <c r="E19" s="392">
        <v>39.254</v>
      </c>
      <c r="F19" s="390">
        <v>40</v>
      </c>
      <c r="I19" s="249"/>
      <c r="J19" s="250"/>
      <c r="K19" s="4"/>
      <c r="M19" s="4"/>
      <c r="O19" s="4"/>
      <c r="P19" s="4"/>
      <c r="Q19" s="4"/>
      <c r="R19" s="4"/>
      <c r="S19" s="4"/>
      <c r="T19" s="4"/>
      <c r="U19" s="4"/>
      <c r="V19" s="6"/>
    </row>
    <row r="20" spans="2:22" s="5" customFormat="1" ht="16.5" customHeight="1" thickBot="1" thickTop="1">
      <c r="B20" s="51"/>
      <c r="C20" s="394"/>
      <c r="D20" s="395"/>
      <c r="E20" s="395"/>
      <c r="F20" s="396"/>
      <c r="G20" s="397"/>
      <c r="H20" s="397"/>
      <c r="I20" s="397"/>
      <c r="J20" s="397"/>
      <c r="K20" s="397"/>
      <c r="L20" s="397"/>
      <c r="M20" s="397"/>
      <c r="N20" s="398"/>
      <c r="O20" s="399"/>
      <c r="P20" s="400"/>
      <c r="Q20" s="400"/>
      <c r="R20" s="400"/>
      <c r="S20" s="401"/>
      <c r="T20" s="402"/>
      <c r="U20" s="759"/>
      <c r="V20" s="6"/>
    </row>
    <row r="21" spans="2:22" s="5" customFormat="1" ht="33.75" customHeight="1" thickBot="1" thickTop="1">
      <c r="B21" s="51"/>
      <c r="C21" s="85" t="s">
        <v>12</v>
      </c>
      <c r="D21" s="87" t="s">
        <v>26</v>
      </c>
      <c r="E21" s="403" t="s">
        <v>27</v>
      </c>
      <c r="F21" s="404" t="s">
        <v>13</v>
      </c>
      <c r="G21" s="137" t="s">
        <v>15</v>
      </c>
      <c r="H21" s="86" t="s">
        <v>16</v>
      </c>
      <c r="I21" s="403" t="s">
        <v>17</v>
      </c>
      <c r="J21" s="405" t="s">
        <v>35</v>
      </c>
      <c r="K21" s="405" t="s">
        <v>30</v>
      </c>
      <c r="L21" s="88" t="s">
        <v>18</v>
      </c>
      <c r="M21" s="195" t="s">
        <v>31</v>
      </c>
      <c r="N21" s="143" t="s">
        <v>36</v>
      </c>
      <c r="O21" s="406" t="s">
        <v>54</v>
      </c>
      <c r="P21" s="199" t="s">
        <v>34</v>
      </c>
      <c r="Q21" s="407"/>
      <c r="R21" s="142" t="s">
        <v>21</v>
      </c>
      <c r="S21" s="140" t="s">
        <v>58</v>
      </c>
      <c r="T21" s="123" t="s">
        <v>22</v>
      </c>
      <c r="U21" s="123" t="s">
        <v>211</v>
      </c>
      <c r="V21" s="6"/>
    </row>
    <row r="22" spans="2:22" s="5" customFormat="1" ht="16.5" customHeight="1" thickTop="1">
      <c r="B22" s="51"/>
      <c r="C22" s="7"/>
      <c r="D22" s="408"/>
      <c r="E22" s="408"/>
      <c r="F22" s="408"/>
      <c r="G22" s="264"/>
      <c r="H22" s="408"/>
      <c r="I22" s="408"/>
      <c r="J22" s="408"/>
      <c r="K22" s="408"/>
      <c r="L22" s="408"/>
      <c r="M22" s="408"/>
      <c r="N22" s="409"/>
      <c r="O22" s="410"/>
      <c r="P22" s="411"/>
      <c r="Q22" s="412"/>
      <c r="R22" s="413"/>
      <c r="S22" s="408"/>
      <c r="T22" s="414"/>
      <c r="U22" s="414"/>
      <c r="V22" s="6"/>
    </row>
    <row r="23" spans="2:22" s="5" customFormat="1" ht="16.5" customHeight="1">
      <c r="B23" s="51"/>
      <c r="C23" s="326"/>
      <c r="D23" s="415"/>
      <c r="E23" s="415"/>
      <c r="F23" s="415"/>
      <c r="G23" s="416"/>
      <c r="H23" s="415"/>
      <c r="I23" s="415"/>
      <c r="J23" s="415"/>
      <c r="K23" s="415"/>
      <c r="L23" s="415"/>
      <c r="M23" s="415"/>
      <c r="N23" s="417"/>
      <c r="O23" s="418"/>
      <c r="P23" s="222"/>
      <c r="Q23" s="419"/>
      <c r="R23" s="420"/>
      <c r="S23" s="415"/>
      <c r="T23" s="421"/>
      <c r="U23" s="421"/>
      <c r="V23" s="6"/>
    </row>
    <row r="24" spans="2:23" s="5" customFormat="1" ht="16.5" customHeight="1">
      <c r="B24" s="51"/>
      <c r="C24" s="159">
        <v>28</v>
      </c>
      <c r="D24" s="422" t="s">
        <v>133</v>
      </c>
      <c r="E24" s="422" t="s">
        <v>135</v>
      </c>
      <c r="F24" s="423">
        <v>132</v>
      </c>
      <c r="G24" s="138">
        <f aca="true" t="shared" si="0" ref="G24:G43">IF(F24=500,$E$17,IF(F24=220,$E$18,$E$19))</f>
        <v>39.254</v>
      </c>
      <c r="H24" s="424">
        <v>39327.32361111111</v>
      </c>
      <c r="I24" s="154">
        <v>39327.419444444444</v>
      </c>
      <c r="J24" s="425">
        <f aca="true" t="shared" si="1" ref="J24:J43">IF(D24="","",(I24-H24)*24)</f>
        <v>2.2999999999883585</v>
      </c>
      <c r="K24" s="426">
        <f aca="true" t="shared" si="2" ref="K24:K43">IF(D24="","",ROUND((I24-H24)*24*60,0))</f>
        <v>138</v>
      </c>
      <c r="L24" s="266" t="s">
        <v>109</v>
      </c>
      <c r="M24" s="156" t="str">
        <f aca="true" t="shared" si="3" ref="M24:M43">IF(D24="","",IF(L24="P","--","NO"))</f>
        <v>--</v>
      </c>
      <c r="N24" s="427">
        <f aca="true" t="shared" si="4" ref="N24:N43">IF(F24=500,$F$17,IF(F24=220,$F$18,$F$19))</f>
        <v>40</v>
      </c>
      <c r="O24" s="428">
        <f aca="true" t="shared" si="5" ref="O24:O43">IF(L24="P",G24*N24*ROUND(K24/60,2)*0.1,"--")</f>
        <v>361.1368</v>
      </c>
      <c r="P24" s="429" t="str">
        <f aca="true" t="shared" si="6" ref="P24:P43">IF(AND(L24="F",M24="NO"),G24*N24,"--")</f>
        <v>--</v>
      </c>
      <c r="Q24" s="430" t="str">
        <f aca="true" t="shared" si="7" ref="Q24:Q43">IF(L24="F",G24*N24*ROUND(K24/60,2),"--")</f>
        <v>--</v>
      </c>
      <c r="R24" s="163" t="str">
        <f aca="true" t="shared" si="8" ref="R24:R43">IF(L24="RF",G24*N24*ROUND(K24/60,2),"--")</f>
        <v>--</v>
      </c>
      <c r="S24" s="156" t="str">
        <f aca="true" t="shared" si="9" ref="S24:S43">IF(D24="","","SI")</f>
        <v>SI</v>
      </c>
      <c r="T24" s="431">
        <v>0</v>
      </c>
      <c r="U24" s="431">
        <f>T24*(1-$W$24)</f>
        <v>0</v>
      </c>
      <c r="V24" s="6"/>
      <c r="W24" s="756">
        <v>0.3492596718583952</v>
      </c>
    </row>
    <row r="25" spans="2:22" s="5" customFormat="1" ht="16.5" customHeight="1">
      <c r="B25" s="51"/>
      <c r="C25" s="326">
        <v>29</v>
      </c>
      <c r="D25" s="422" t="s">
        <v>133</v>
      </c>
      <c r="E25" s="422" t="s">
        <v>136</v>
      </c>
      <c r="F25" s="423">
        <v>132</v>
      </c>
      <c r="G25" s="138">
        <f t="shared" si="0"/>
        <v>39.254</v>
      </c>
      <c r="H25" s="424">
        <v>39327.32361111111</v>
      </c>
      <c r="I25" s="154">
        <v>39327.419444444444</v>
      </c>
      <c r="J25" s="425">
        <f t="shared" si="1"/>
        <v>2.2999999999883585</v>
      </c>
      <c r="K25" s="426">
        <f t="shared" si="2"/>
        <v>138</v>
      </c>
      <c r="L25" s="266" t="s">
        <v>109</v>
      </c>
      <c r="M25" s="156" t="str">
        <f t="shared" si="3"/>
        <v>--</v>
      </c>
      <c r="N25" s="427">
        <f t="shared" si="4"/>
        <v>40</v>
      </c>
      <c r="O25" s="428">
        <f t="shared" si="5"/>
        <v>361.1368</v>
      </c>
      <c r="P25" s="429" t="str">
        <f t="shared" si="6"/>
        <v>--</v>
      </c>
      <c r="Q25" s="430" t="str">
        <f t="shared" si="7"/>
        <v>--</v>
      </c>
      <c r="R25" s="163" t="str">
        <f t="shared" si="8"/>
        <v>--</v>
      </c>
      <c r="S25" s="156" t="str">
        <f t="shared" si="9"/>
        <v>SI</v>
      </c>
      <c r="T25" s="431">
        <v>0</v>
      </c>
      <c r="U25" s="431">
        <f aca="true" t="shared" si="10" ref="U25:U42">T25*(1-$W$24)</f>
        <v>0</v>
      </c>
      <c r="V25" s="6"/>
    </row>
    <row r="26" spans="2:22" s="5" customFormat="1" ht="16.5" customHeight="1">
      <c r="B26" s="51"/>
      <c r="C26" s="326">
        <v>30</v>
      </c>
      <c r="D26" s="422" t="s">
        <v>133</v>
      </c>
      <c r="E26" s="422" t="s">
        <v>135</v>
      </c>
      <c r="F26" s="423">
        <v>132</v>
      </c>
      <c r="G26" s="138">
        <f t="shared" si="0"/>
        <v>39.254</v>
      </c>
      <c r="H26" s="424">
        <v>39327.42013888889</v>
      </c>
      <c r="I26" s="154">
        <v>39327.42847222222</v>
      </c>
      <c r="J26" s="425">
        <f t="shared" si="1"/>
        <v>0.19999999995343387</v>
      </c>
      <c r="K26" s="426">
        <f t="shared" si="2"/>
        <v>12</v>
      </c>
      <c r="L26" s="266" t="s">
        <v>117</v>
      </c>
      <c r="M26" s="156" t="str">
        <f t="shared" si="3"/>
        <v>NO</v>
      </c>
      <c r="N26" s="427">
        <f t="shared" si="4"/>
        <v>40</v>
      </c>
      <c r="O26" s="428" t="str">
        <f t="shared" si="5"/>
        <v>--</v>
      </c>
      <c r="P26" s="429">
        <f t="shared" si="6"/>
        <v>1570.1599999999999</v>
      </c>
      <c r="Q26" s="430">
        <f t="shared" si="7"/>
        <v>314.032</v>
      </c>
      <c r="R26" s="163" t="str">
        <f t="shared" si="8"/>
        <v>--</v>
      </c>
      <c r="S26" s="156" t="str">
        <f t="shared" si="9"/>
        <v>SI</v>
      </c>
      <c r="T26" s="431">
        <f aca="true" t="shared" si="11" ref="T26:T43">IF(D26="","",SUM(O26:R26)*IF(S26="SI",1,2))</f>
        <v>1884.1919999999998</v>
      </c>
      <c r="U26" s="431">
        <f>T26*(1-$W$24)</f>
        <v>1226.1197203617867</v>
      </c>
      <c r="V26" s="6"/>
    </row>
    <row r="27" spans="2:22" s="5" customFormat="1" ht="16.5" customHeight="1">
      <c r="B27" s="51"/>
      <c r="C27" s="326">
        <v>31</v>
      </c>
      <c r="D27" s="422" t="s">
        <v>137</v>
      </c>
      <c r="E27" s="422" t="s">
        <v>138</v>
      </c>
      <c r="F27" s="423">
        <v>132</v>
      </c>
      <c r="G27" s="138">
        <f t="shared" si="0"/>
        <v>39.254</v>
      </c>
      <c r="H27" s="424">
        <v>39330.364583333336</v>
      </c>
      <c r="I27" s="154">
        <v>39330.67638888889</v>
      </c>
      <c r="J27" s="425">
        <f t="shared" si="1"/>
        <v>7.483333333279006</v>
      </c>
      <c r="K27" s="426">
        <f t="shared" si="2"/>
        <v>449</v>
      </c>
      <c r="L27" s="266" t="s">
        <v>109</v>
      </c>
      <c r="M27" s="156" t="str">
        <f t="shared" si="3"/>
        <v>--</v>
      </c>
      <c r="N27" s="427">
        <f t="shared" si="4"/>
        <v>40</v>
      </c>
      <c r="O27" s="428">
        <f t="shared" si="5"/>
        <v>1174.4796800000001</v>
      </c>
      <c r="P27" s="429" t="str">
        <f t="shared" si="6"/>
        <v>--</v>
      </c>
      <c r="Q27" s="430" t="str">
        <f t="shared" si="7"/>
        <v>--</v>
      </c>
      <c r="R27" s="163" t="str">
        <f t="shared" si="8"/>
        <v>--</v>
      </c>
      <c r="S27" s="156" t="str">
        <f t="shared" si="9"/>
        <v>SI</v>
      </c>
      <c r="T27" s="431">
        <f t="shared" si="11"/>
        <v>1174.4796800000001</v>
      </c>
      <c r="U27" s="431">
        <f t="shared" si="10"/>
        <v>764.2812923588472</v>
      </c>
      <c r="V27" s="6"/>
    </row>
    <row r="28" spans="2:22" s="5" customFormat="1" ht="16.5" customHeight="1">
      <c r="B28" s="51"/>
      <c r="C28" s="326">
        <v>32</v>
      </c>
      <c r="D28" s="422" t="s">
        <v>139</v>
      </c>
      <c r="E28" s="422" t="s">
        <v>140</v>
      </c>
      <c r="F28" s="423">
        <v>132</v>
      </c>
      <c r="G28" s="138">
        <f t="shared" si="0"/>
        <v>39.254</v>
      </c>
      <c r="H28" s="424">
        <v>39330.3875</v>
      </c>
      <c r="I28" s="154">
        <v>39330.566666666666</v>
      </c>
      <c r="J28" s="425">
        <f t="shared" si="1"/>
        <v>4.300000000046566</v>
      </c>
      <c r="K28" s="426">
        <f t="shared" si="2"/>
        <v>258</v>
      </c>
      <c r="L28" s="266" t="s">
        <v>109</v>
      </c>
      <c r="M28" s="156" t="str">
        <f t="shared" si="3"/>
        <v>--</v>
      </c>
      <c r="N28" s="427">
        <f t="shared" si="4"/>
        <v>40</v>
      </c>
      <c r="O28" s="428">
        <f t="shared" si="5"/>
        <v>675.1687999999999</v>
      </c>
      <c r="P28" s="429" t="str">
        <f t="shared" si="6"/>
        <v>--</v>
      </c>
      <c r="Q28" s="430" t="str">
        <f t="shared" si="7"/>
        <v>--</v>
      </c>
      <c r="R28" s="163" t="str">
        <f t="shared" si="8"/>
        <v>--</v>
      </c>
      <c r="S28" s="156" t="str">
        <f t="shared" si="9"/>
        <v>SI</v>
      </c>
      <c r="T28" s="431">
        <v>0</v>
      </c>
      <c r="U28" s="431">
        <f t="shared" si="10"/>
        <v>0</v>
      </c>
      <c r="V28" s="6"/>
    </row>
    <row r="29" spans="2:22" s="5" customFormat="1" ht="16.5" customHeight="1">
      <c r="B29" s="51"/>
      <c r="C29" s="326">
        <v>33</v>
      </c>
      <c r="D29" s="422" t="s">
        <v>141</v>
      </c>
      <c r="E29" s="422" t="s">
        <v>142</v>
      </c>
      <c r="F29" s="423">
        <v>132</v>
      </c>
      <c r="G29" s="138">
        <f t="shared" si="0"/>
        <v>39.254</v>
      </c>
      <c r="H29" s="424">
        <v>39331.361805555556</v>
      </c>
      <c r="I29" s="154">
        <v>39331.711805555555</v>
      </c>
      <c r="J29" s="425">
        <f t="shared" si="1"/>
        <v>8.399999999965075</v>
      </c>
      <c r="K29" s="426">
        <f t="shared" si="2"/>
        <v>504</v>
      </c>
      <c r="L29" s="266" t="s">
        <v>109</v>
      </c>
      <c r="M29" s="156" t="str">
        <f t="shared" si="3"/>
        <v>--</v>
      </c>
      <c r="N29" s="427">
        <f t="shared" si="4"/>
        <v>40</v>
      </c>
      <c r="O29" s="428">
        <f t="shared" si="5"/>
        <v>1318.9344</v>
      </c>
      <c r="P29" s="429" t="str">
        <f t="shared" si="6"/>
        <v>--</v>
      </c>
      <c r="Q29" s="430" t="str">
        <f t="shared" si="7"/>
        <v>--</v>
      </c>
      <c r="R29" s="163" t="str">
        <f t="shared" si="8"/>
        <v>--</v>
      </c>
      <c r="S29" s="156" t="str">
        <f t="shared" si="9"/>
        <v>SI</v>
      </c>
      <c r="T29" s="431">
        <f t="shared" si="11"/>
        <v>1318.9344</v>
      </c>
      <c r="U29" s="431">
        <f t="shared" si="10"/>
        <v>858.2838042532508</v>
      </c>
      <c r="V29" s="6"/>
    </row>
    <row r="30" spans="2:22" s="5" customFormat="1" ht="16.5" customHeight="1">
      <c r="B30" s="51"/>
      <c r="C30" s="326">
        <v>34</v>
      </c>
      <c r="D30" s="422" t="s">
        <v>143</v>
      </c>
      <c r="E30" s="422" t="s">
        <v>144</v>
      </c>
      <c r="F30" s="423">
        <v>132</v>
      </c>
      <c r="G30" s="138">
        <f t="shared" si="0"/>
        <v>39.254</v>
      </c>
      <c r="H30" s="424">
        <v>39332.353472222225</v>
      </c>
      <c r="I30" s="154">
        <v>39332.55972222222</v>
      </c>
      <c r="J30" s="425">
        <f t="shared" si="1"/>
        <v>4.949999999895226</v>
      </c>
      <c r="K30" s="426">
        <f t="shared" si="2"/>
        <v>297</v>
      </c>
      <c r="L30" s="266" t="s">
        <v>109</v>
      </c>
      <c r="M30" s="156" t="str">
        <f t="shared" si="3"/>
        <v>--</v>
      </c>
      <c r="N30" s="427">
        <f t="shared" si="4"/>
        <v>40</v>
      </c>
      <c r="O30" s="428">
        <f t="shared" si="5"/>
        <v>777.2292</v>
      </c>
      <c r="P30" s="429" t="str">
        <f t="shared" si="6"/>
        <v>--</v>
      </c>
      <c r="Q30" s="430" t="str">
        <f t="shared" si="7"/>
        <v>--</v>
      </c>
      <c r="R30" s="163" t="str">
        <f t="shared" si="8"/>
        <v>--</v>
      </c>
      <c r="S30" s="156" t="str">
        <f t="shared" si="9"/>
        <v>SI</v>
      </c>
      <c r="T30" s="431">
        <v>0</v>
      </c>
      <c r="U30" s="431">
        <f t="shared" si="10"/>
        <v>0</v>
      </c>
      <c r="V30" s="6"/>
    </row>
    <row r="31" spans="2:22" s="5" customFormat="1" ht="16.5" customHeight="1">
      <c r="B31" s="51"/>
      <c r="C31" s="326">
        <v>35</v>
      </c>
      <c r="D31" s="422" t="s">
        <v>145</v>
      </c>
      <c r="E31" s="422" t="s">
        <v>146</v>
      </c>
      <c r="F31" s="423">
        <v>500</v>
      </c>
      <c r="G31" s="138">
        <f t="shared" si="0"/>
        <v>49.065</v>
      </c>
      <c r="H31" s="424">
        <v>39333.34166666667</v>
      </c>
      <c r="I31" s="154">
        <v>39333.51180555556</v>
      </c>
      <c r="J31" s="425">
        <f t="shared" si="1"/>
        <v>4.083333333372138</v>
      </c>
      <c r="K31" s="426">
        <f t="shared" si="2"/>
        <v>245</v>
      </c>
      <c r="L31" s="266" t="s">
        <v>109</v>
      </c>
      <c r="M31" s="156" t="str">
        <f t="shared" si="3"/>
        <v>--</v>
      </c>
      <c r="N31" s="427">
        <f t="shared" si="4"/>
        <v>200</v>
      </c>
      <c r="O31" s="428">
        <f t="shared" si="5"/>
        <v>4003.704</v>
      </c>
      <c r="P31" s="429" t="str">
        <f t="shared" si="6"/>
        <v>--</v>
      </c>
      <c r="Q31" s="430" t="str">
        <f t="shared" si="7"/>
        <v>--</v>
      </c>
      <c r="R31" s="163" t="str">
        <f t="shared" si="8"/>
        <v>--</v>
      </c>
      <c r="S31" s="156" t="str">
        <f t="shared" si="9"/>
        <v>SI</v>
      </c>
      <c r="T31" s="431">
        <v>0</v>
      </c>
      <c r="U31" s="431">
        <f t="shared" si="10"/>
        <v>0</v>
      </c>
      <c r="V31" s="6"/>
    </row>
    <row r="32" spans="2:22" s="5" customFormat="1" ht="16.5" customHeight="1">
      <c r="B32" s="51"/>
      <c r="C32" s="326">
        <v>36</v>
      </c>
      <c r="D32" s="422" t="s">
        <v>125</v>
      </c>
      <c r="E32" s="422" t="s">
        <v>147</v>
      </c>
      <c r="F32" s="423">
        <v>132</v>
      </c>
      <c r="G32" s="138">
        <f t="shared" si="0"/>
        <v>39.254</v>
      </c>
      <c r="H32" s="424">
        <v>39333.42083333333</v>
      </c>
      <c r="I32" s="154">
        <v>39333.700694444444</v>
      </c>
      <c r="J32" s="425">
        <f t="shared" si="1"/>
        <v>6.716666666732635</v>
      </c>
      <c r="K32" s="426">
        <f t="shared" si="2"/>
        <v>403</v>
      </c>
      <c r="L32" s="266" t="s">
        <v>109</v>
      </c>
      <c r="M32" s="156" t="str">
        <f t="shared" si="3"/>
        <v>--</v>
      </c>
      <c r="N32" s="427">
        <f t="shared" si="4"/>
        <v>40</v>
      </c>
      <c r="O32" s="428">
        <f t="shared" si="5"/>
        <v>1055.14752</v>
      </c>
      <c r="P32" s="429" t="str">
        <f t="shared" si="6"/>
        <v>--</v>
      </c>
      <c r="Q32" s="430" t="str">
        <f t="shared" si="7"/>
        <v>--</v>
      </c>
      <c r="R32" s="163" t="str">
        <f t="shared" si="8"/>
        <v>--</v>
      </c>
      <c r="S32" s="156" t="str">
        <f t="shared" si="9"/>
        <v>SI</v>
      </c>
      <c r="T32" s="431">
        <f t="shared" si="11"/>
        <v>1055.14752</v>
      </c>
      <c r="U32" s="431">
        <f t="shared" si="10"/>
        <v>686.6270434026006</v>
      </c>
      <c r="V32" s="6"/>
    </row>
    <row r="33" spans="2:22" s="5" customFormat="1" ht="16.5" customHeight="1">
      <c r="B33" s="51"/>
      <c r="C33" s="326">
        <v>37</v>
      </c>
      <c r="D33" s="422" t="s">
        <v>148</v>
      </c>
      <c r="E33" s="422" t="s">
        <v>149</v>
      </c>
      <c r="F33" s="423">
        <v>500</v>
      </c>
      <c r="G33" s="138">
        <f t="shared" si="0"/>
        <v>49.065</v>
      </c>
      <c r="H33" s="424">
        <v>39334.31875</v>
      </c>
      <c r="I33" s="154">
        <v>39334.67361111111</v>
      </c>
      <c r="J33" s="425">
        <f t="shared" si="1"/>
        <v>8.516666666662786</v>
      </c>
      <c r="K33" s="426">
        <f t="shared" si="2"/>
        <v>511</v>
      </c>
      <c r="L33" s="266" t="s">
        <v>109</v>
      </c>
      <c r="M33" s="156" t="str">
        <f t="shared" si="3"/>
        <v>--</v>
      </c>
      <c r="N33" s="427">
        <f t="shared" si="4"/>
        <v>200</v>
      </c>
      <c r="O33" s="428">
        <f t="shared" si="5"/>
        <v>8360.676</v>
      </c>
      <c r="P33" s="429" t="str">
        <f t="shared" si="6"/>
        <v>--</v>
      </c>
      <c r="Q33" s="430" t="str">
        <f t="shared" si="7"/>
        <v>--</v>
      </c>
      <c r="R33" s="163" t="str">
        <f t="shared" si="8"/>
        <v>--</v>
      </c>
      <c r="S33" s="156" t="str">
        <f t="shared" si="9"/>
        <v>SI</v>
      </c>
      <c r="T33" s="431">
        <v>0</v>
      </c>
      <c r="U33" s="431">
        <f t="shared" si="10"/>
        <v>0</v>
      </c>
      <c r="V33" s="6"/>
    </row>
    <row r="34" spans="2:22" s="5" customFormat="1" ht="16.5" customHeight="1">
      <c r="B34" s="51"/>
      <c r="C34" s="326">
        <v>38</v>
      </c>
      <c r="D34" s="422" t="s">
        <v>150</v>
      </c>
      <c r="E34" s="422" t="s">
        <v>151</v>
      </c>
      <c r="F34" s="423">
        <v>132</v>
      </c>
      <c r="G34" s="138">
        <f t="shared" si="0"/>
        <v>39.254</v>
      </c>
      <c r="H34" s="424">
        <v>39334.32916666667</v>
      </c>
      <c r="I34" s="154">
        <v>39334.683333333334</v>
      </c>
      <c r="J34" s="425">
        <v>8.499999999941792</v>
      </c>
      <c r="K34" s="426">
        <f t="shared" si="2"/>
        <v>510</v>
      </c>
      <c r="L34" s="266" t="s">
        <v>109</v>
      </c>
      <c r="M34" s="156" t="str">
        <f t="shared" si="3"/>
        <v>--</v>
      </c>
      <c r="N34" s="427">
        <f t="shared" si="4"/>
        <v>40</v>
      </c>
      <c r="O34" s="428">
        <f t="shared" si="5"/>
        <v>1334.636</v>
      </c>
      <c r="P34" s="429" t="str">
        <f t="shared" si="6"/>
        <v>--</v>
      </c>
      <c r="Q34" s="430" t="str">
        <f t="shared" si="7"/>
        <v>--</v>
      </c>
      <c r="R34" s="163" t="str">
        <f t="shared" si="8"/>
        <v>--</v>
      </c>
      <c r="S34" s="156" t="str">
        <f t="shared" si="9"/>
        <v>SI</v>
      </c>
      <c r="T34" s="431">
        <f t="shared" si="11"/>
        <v>1334.636</v>
      </c>
      <c r="U34" s="431">
        <f t="shared" si="10"/>
        <v>868.501468589599</v>
      </c>
      <c r="V34" s="6"/>
    </row>
    <row r="35" spans="2:22" s="5" customFormat="1" ht="16.5" customHeight="1">
      <c r="B35" s="51"/>
      <c r="C35" s="326">
        <v>39</v>
      </c>
      <c r="D35" s="422" t="s">
        <v>143</v>
      </c>
      <c r="E35" s="422" t="s">
        <v>152</v>
      </c>
      <c r="F35" s="423">
        <v>132</v>
      </c>
      <c r="G35" s="138">
        <f t="shared" si="0"/>
        <v>39.254</v>
      </c>
      <c r="H35" s="424">
        <v>39334.53888888889</v>
      </c>
      <c r="I35" s="154">
        <v>39334.64444444444</v>
      </c>
      <c r="J35" s="425">
        <f t="shared" si="1"/>
        <v>2.533333333209157</v>
      </c>
      <c r="K35" s="426">
        <f t="shared" si="2"/>
        <v>152</v>
      </c>
      <c r="L35" s="266" t="s">
        <v>109</v>
      </c>
      <c r="M35" s="156" t="str">
        <f t="shared" si="3"/>
        <v>--</v>
      </c>
      <c r="N35" s="427">
        <f t="shared" si="4"/>
        <v>40</v>
      </c>
      <c r="O35" s="428">
        <f t="shared" si="5"/>
        <v>397.2504799999999</v>
      </c>
      <c r="P35" s="429" t="str">
        <f t="shared" si="6"/>
        <v>--</v>
      </c>
      <c r="Q35" s="430" t="str">
        <f t="shared" si="7"/>
        <v>--</v>
      </c>
      <c r="R35" s="163" t="str">
        <f t="shared" si="8"/>
        <v>--</v>
      </c>
      <c r="S35" s="156" t="str">
        <f t="shared" si="9"/>
        <v>SI</v>
      </c>
      <c r="T35" s="431">
        <v>0</v>
      </c>
      <c r="U35" s="431">
        <f t="shared" si="10"/>
        <v>0</v>
      </c>
      <c r="V35" s="6"/>
    </row>
    <row r="36" spans="2:22" s="5" customFormat="1" ht="16.5" customHeight="1">
      <c r="B36" s="51"/>
      <c r="C36" s="326">
        <v>40</v>
      </c>
      <c r="D36" s="422" t="s">
        <v>141</v>
      </c>
      <c r="E36" s="422" t="s">
        <v>142</v>
      </c>
      <c r="F36" s="423">
        <v>132</v>
      </c>
      <c r="G36" s="138">
        <f t="shared" si="0"/>
        <v>39.254</v>
      </c>
      <c r="H36" s="424">
        <v>39335.402083333334</v>
      </c>
      <c r="I36" s="154">
        <v>39335.70208333333</v>
      </c>
      <c r="J36" s="425">
        <f t="shared" si="1"/>
        <v>7.199999999895226</v>
      </c>
      <c r="K36" s="426">
        <f t="shared" si="2"/>
        <v>432</v>
      </c>
      <c r="L36" s="266" t="s">
        <v>109</v>
      </c>
      <c r="M36" s="156" t="str">
        <f t="shared" si="3"/>
        <v>--</v>
      </c>
      <c r="N36" s="427">
        <f t="shared" si="4"/>
        <v>40</v>
      </c>
      <c r="O36" s="428">
        <f t="shared" si="5"/>
        <v>1130.5152</v>
      </c>
      <c r="P36" s="429" t="str">
        <f t="shared" si="6"/>
        <v>--</v>
      </c>
      <c r="Q36" s="430" t="str">
        <f t="shared" si="7"/>
        <v>--</v>
      </c>
      <c r="R36" s="163" t="str">
        <f t="shared" si="8"/>
        <v>--</v>
      </c>
      <c r="S36" s="156" t="str">
        <f t="shared" si="9"/>
        <v>SI</v>
      </c>
      <c r="T36" s="431">
        <v>0</v>
      </c>
      <c r="U36" s="431">
        <f>T36*(1-$W$24)</f>
        <v>0</v>
      </c>
      <c r="V36" s="6"/>
    </row>
    <row r="37" spans="2:22" s="5" customFormat="1" ht="16.5" customHeight="1">
      <c r="B37" s="51"/>
      <c r="C37" s="326">
        <v>41</v>
      </c>
      <c r="D37" s="422" t="s">
        <v>137</v>
      </c>
      <c r="E37" s="422" t="s">
        <v>153</v>
      </c>
      <c r="F37" s="423">
        <v>132</v>
      </c>
      <c r="G37" s="138">
        <f t="shared" si="0"/>
        <v>39.254</v>
      </c>
      <c r="H37" s="424">
        <v>39337.37222222222</v>
      </c>
      <c r="I37" s="154">
        <v>39337.71111111111</v>
      </c>
      <c r="J37" s="425">
        <f t="shared" si="1"/>
        <v>8.13333333330229</v>
      </c>
      <c r="K37" s="426">
        <f t="shared" si="2"/>
        <v>488</v>
      </c>
      <c r="L37" s="266" t="s">
        <v>109</v>
      </c>
      <c r="M37" s="156" t="str">
        <f t="shared" si="3"/>
        <v>--</v>
      </c>
      <c r="N37" s="427">
        <f t="shared" si="4"/>
        <v>40</v>
      </c>
      <c r="O37" s="428">
        <f t="shared" si="5"/>
        <v>1276.54008</v>
      </c>
      <c r="P37" s="429" t="str">
        <f t="shared" si="6"/>
        <v>--</v>
      </c>
      <c r="Q37" s="430" t="str">
        <f t="shared" si="7"/>
        <v>--</v>
      </c>
      <c r="R37" s="163" t="str">
        <f t="shared" si="8"/>
        <v>--</v>
      </c>
      <c r="S37" s="156" t="str">
        <f t="shared" si="9"/>
        <v>SI</v>
      </c>
      <c r="T37" s="431">
        <f t="shared" si="11"/>
        <v>1276.54008</v>
      </c>
      <c r="U37" s="431">
        <f t="shared" si="10"/>
        <v>830.6961105451105</v>
      </c>
      <c r="V37" s="6"/>
    </row>
    <row r="38" spans="2:22" s="5" customFormat="1" ht="16.5" customHeight="1">
      <c r="B38" s="51"/>
      <c r="C38" s="326">
        <v>42</v>
      </c>
      <c r="D38" s="422" t="s">
        <v>154</v>
      </c>
      <c r="E38" s="422" t="s">
        <v>155</v>
      </c>
      <c r="F38" s="423">
        <v>500</v>
      </c>
      <c r="G38" s="138">
        <f t="shared" si="0"/>
        <v>49.065</v>
      </c>
      <c r="H38" s="424">
        <v>39341.029861111114</v>
      </c>
      <c r="I38" s="154">
        <v>39341.09652777778</v>
      </c>
      <c r="J38" s="425">
        <f t="shared" si="1"/>
        <v>1.599999999976717</v>
      </c>
      <c r="K38" s="426">
        <f t="shared" si="2"/>
        <v>96</v>
      </c>
      <c r="L38" s="266" t="s">
        <v>117</v>
      </c>
      <c r="M38" s="156" t="str">
        <f t="shared" si="3"/>
        <v>NO</v>
      </c>
      <c r="N38" s="427">
        <f t="shared" si="4"/>
        <v>200</v>
      </c>
      <c r="O38" s="428" t="str">
        <f t="shared" si="5"/>
        <v>--</v>
      </c>
      <c r="P38" s="429">
        <f t="shared" si="6"/>
        <v>9813</v>
      </c>
      <c r="Q38" s="430">
        <f t="shared" si="7"/>
        <v>15700.800000000001</v>
      </c>
      <c r="R38" s="163" t="str">
        <f t="shared" si="8"/>
        <v>--</v>
      </c>
      <c r="S38" s="156" t="str">
        <f t="shared" si="9"/>
        <v>SI</v>
      </c>
      <c r="T38" s="431">
        <f t="shared" si="11"/>
        <v>25513.800000000003</v>
      </c>
      <c r="U38" s="431">
        <f t="shared" si="10"/>
        <v>16602.85858413928</v>
      </c>
      <c r="V38" s="6"/>
    </row>
    <row r="39" spans="2:22" s="5" customFormat="1" ht="16.5" customHeight="1">
      <c r="B39" s="51"/>
      <c r="C39" s="326">
        <v>43</v>
      </c>
      <c r="D39" s="422" t="s">
        <v>141</v>
      </c>
      <c r="E39" s="422" t="s">
        <v>156</v>
      </c>
      <c r="F39" s="423">
        <v>132</v>
      </c>
      <c r="G39" s="138">
        <f t="shared" si="0"/>
        <v>39.254</v>
      </c>
      <c r="H39" s="424">
        <v>39341.336805555555</v>
      </c>
      <c r="I39" s="154">
        <v>39341.75277777778</v>
      </c>
      <c r="J39" s="425">
        <f t="shared" si="1"/>
        <v>9.983333333395422</v>
      </c>
      <c r="K39" s="426">
        <f t="shared" si="2"/>
        <v>599</v>
      </c>
      <c r="L39" s="266" t="s">
        <v>109</v>
      </c>
      <c r="M39" s="156" t="str">
        <f t="shared" si="3"/>
        <v>--</v>
      </c>
      <c r="N39" s="427">
        <f t="shared" si="4"/>
        <v>40</v>
      </c>
      <c r="O39" s="428">
        <f t="shared" si="5"/>
        <v>1567.01968</v>
      </c>
      <c r="P39" s="429" t="str">
        <f t="shared" si="6"/>
        <v>--</v>
      </c>
      <c r="Q39" s="430" t="str">
        <f t="shared" si="7"/>
        <v>--</v>
      </c>
      <c r="R39" s="163" t="str">
        <f t="shared" si="8"/>
        <v>--</v>
      </c>
      <c r="S39" s="156" t="str">
        <f t="shared" si="9"/>
        <v>SI</v>
      </c>
      <c r="T39" s="431">
        <f t="shared" si="11"/>
        <v>1567.01968</v>
      </c>
      <c r="U39" s="431">
        <f t="shared" si="10"/>
        <v>1019.7229007675527</v>
      </c>
      <c r="V39" s="6"/>
    </row>
    <row r="40" spans="2:22" s="5" customFormat="1" ht="16.5" customHeight="1">
      <c r="B40" s="51"/>
      <c r="C40" s="326">
        <v>44</v>
      </c>
      <c r="D40" s="422" t="s">
        <v>150</v>
      </c>
      <c r="E40" s="422" t="s">
        <v>157</v>
      </c>
      <c r="F40" s="423">
        <v>132</v>
      </c>
      <c r="G40" s="138">
        <f t="shared" si="0"/>
        <v>39.254</v>
      </c>
      <c r="H40" s="424">
        <v>39341.35208333333</v>
      </c>
      <c r="I40" s="154">
        <v>39341.705555555556</v>
      </c>
      <c r="J40" s="425">
        <f t="shared" si="1"/>
        <v>8.483333333395422</v>
      </c>
      <c r="K40" s="426">
        <f t="shared" si="2"/>
        <v>509</v>
      </c>
      <c r="L40" s="266" t="s">
        <v>109</v>
      </c>
      <c r="M40" s="156" t="str">
        <f t="shared" si="3"/>
        <v>--</v>
      </c>
      <c r="N40" s="427">
        <f t="shared" si="4"/>
        <v>40</v>
      </c>
      <c r="O40" s="428">
        <f t="shared" si="5"/>
        <v>1331.49568</v>
      </c>
      <c r="P40" s="429" t="str">
        <f t="shared" si="6"/>
        <v>--</v>
      </c>
      <c r="Q40" s="430" t="str">
        <f t="shared" si="7"/>
        <v>--</v>
      </c>
      <c r="R40" s="163" t="str">
        <f t="shared" si="8"/>
        <v>--</v>
      </c>
      <c r="S40" s="156" t="str">
        <f t="shared" si="9"/>
        <v>SI</v>
      </c>
      <c r="T40" s="431">
        <f t="shared" si="11"/>
        <v>1331.49568</v>
      </c>
      <c r="U40" s="431">
        <f t="shared" si="10"/>
        <v>866.4579357223294</v>
      </c>
      <c r="V40" s="6"/>
    </row>
    <row r="41" spans="2:22" s="5" customFormat="1" ht="16.5" customHeight="1">
      <c r="B41" s="51"/>
      <c r="C41" s="326">
        <v>45</v>
      </c>
      <c r="D41" s="422" t="s">
        <v>158</v>
      </c>
      <c r="E41" s="422" t="s">
        <v>159</v>
      </c>
      <c r="F41" s="423">
        <v>132</v>
      </c>
      <c r="G41" s="138">
        <f t="shared" si="0"/>
        <v>39.254</v>
      </c>
      <c r="H41" s="424">
        <v>39342.36111111111</v>
      </c>
      <c r="I41" s="154">
        <v>39342.63680555556</v>
      </c>
      <c r="J41" s="425">
        <f t="shared" si="1"/>
        <v>6.616666666755918</v>
      </c>
      <c r="K41" s="426">
        <f t="shared" si="2"/>
        <v>397</v>
      </c>
      <c r="L41" s="266" t="s">
        <v>109</v>
      </c>
      <c r="M41" s="156" t="str">
        <f t="shared" si="3"/>
        <v>--</v>
      </c>
      <c r="N41" s="427">
        <f t="shared" si="4"/>
        <v>40</v>
      </c>
      <c r="O41" s="428">
        <f t="shared" si="5"/>
        <v>1039.44592</v>
      </c>
      <c r="P41" s="429" t="str">
        <f t="shared" si="6"/>
        <v>--</v>
      </c>
      <c r="Q41" s="430" t="str">
        <f t="shared" si="7"/>
        <v>--</v>
      </c>
      <c r="R41" s="163" t="str">
        <f t="shared" si="8"/>
        <v>--</v>
      </c>
      <c r="S41" s="156" t="str">
        <f t="shared" si="9"/>
        <v>SI</v>
      </c>
      <c r="T41" s="431">
        <v>0</v>
      </c>
      <c r="U41" s="431">
        <f t="shared" si="10"/>
        <v>0</v>
      </c>
      <c r="V41" s="6"/>
    </row>
    <row r="42" spans="2:22" s="5" customFormat="1" ht="16.5" customHeight="1">
      <c r="B42" s="51"/>
      <c r="C42" s="326">
        <v>46</v>
      </c>
      <c r="D42" s="422" t="s">
        <v>139</v>
      </c>
      <c r="E42" s="422" t="s">
        <v>160</v>
      </c>
      <c r="F42" s="423">
        <v>132</v>
      </c>
      <c r="G42" s="138">
        <f t="shared" si="0"/>
        <v>39.254</v>
      </c>
      <c r="H42" s="424">
        <v>39343.37222222222</v>
      </c>
      <c r="I42" s="154">
        <v>39343.597916666666</v>
      </c>
      <c r="J42" s="425">
        <f t="shared" si="1"/>
        <v>5.416666666686069</v>
      </c>
      <c r="K42" s="426">
        <f t="shared" si="2"/>
        <v>325</v>
      </c>
      <c r="L42" s="266" t="s">
        <v>109</v>
      </c>
      <c r="M42" s="156" t="str">
        <f t="shared" si="3"/>
        <v>--</v>
      </c>
      <c r="N42" s="427">
        <f t="shared" si="4"/>
        <v>40</v>
      </c>
      <c r="O42" s="428">
        <f t="shared" si="5"/>
        <v>851.0267199999998</v>
      </c>
      <c r="P42" s="429" t="str">
        <f t="shared" si="6"/>
        <v>--</v>
      </c>
      <c r="Q42" s="430" t="str">
        <f t="shared" si="7"/>
        <v>--</v>
      </c>
      <c r="R42" s="163" t="str">
        <f t="shared" si="8"/>
        <v>--</v>
      </c>
      <c r="S42" s="156" t="str">
        <f t="shared" si="9"/>
        <v>SI</v>
      </c>
      <c r="T42" s="431">
        <f t="shared" si="11"/>
        <v>851.0267199999998</v>
      </c>
      <c r="U42" s="431">
        <f t="shared" si="10"/>
        <v>553.7974070300736</v>
      </c>
      <c r="V42" s="6"/>
    </row>
    <row r="43" spans="2:22" s="5" customFormat="1" ht="16.5" customHeight="1">
      <c r="B43" s="51"/>
      <c r="C43" s="326"/>
      <c r="D43" s="422"/>
      <c r="E43" s="422"/>
      <c r="F43" s="423"/>
      <c r="G43" s="138">
        <f t="shared" si="0"/>
        <v>39.254</v>
      </c>
      <c r="H43" s="424"/>
      <c r="I43" s="154"/>
      <c r="J43" s="425">
        <f t="shared" si="1"/>
      </c>
      <c r="K43" s="426">
        <f t="shared" si="2"/>
      </c>
      <c r="L43" s="266"/>
      <c r="M43" s="156">
        <f t="shared" si="3"/>
      </c>
      <c r="N43" s="427">
        <f t="shared" si="4"/>
        <v>40</v>
      </c>
      <c r="O43" s="428" t="str">
        <f t="shared" si="5"/>
        <v>--</v>
      </c>
      <c r="P43" s="429" t="str">
        <f t="shared" si="6"/>
        <v>--</v>
      </c>
      <c r="Q43" s="430" t="str">
        <f t="shared" si="7"/>
        <v>--</v>
      </c>
      <c r="R43" s="163" t="str">
        <f t="shared" si="8"/>
        <v>--</v>
      </c>
      <c r="S43" s="156">
        <f t="shared" si="9"/>
      </c>
      <c r="T43" s="431">
        <f t="shared" si="11"/>
      </c>
      <c r="U43" s="431"/>
      <c r="V43" s="6"/>
    </row>
    <row r="44" spans="2:22" s="5" customFormat="1" ht="16.5" customHeight="1" thickBot="1">
      <c r="B44" s="51"/>
      <c r="C44" s="159"/>
      <c r="D44" s="150"/>
      <c r="E44" s="150"/>
      <c r="F44" s="274"/>
      <c r="G44" s="139"/>
      <c r="H44" s="432"/>
      <c r="I44" s="432"/>
      <c r="J44" s="433"/>
      <c r="K44" s="433"/>
      <c r="L44" s="432"/>
      <c r="M44" s="155"/>
      <c r="N44" s="434"/>
      <c r="O44" s="435"/>
      <c r="P44" s="436"/>
      <c r="Q44" s="437"/>
      <c r="R44" s="165"/>
      <c r="S44" s="155"/>
      <c r="T44" s="438"/>
      <c r="U44" s="438"/>
      <c r="V44" s="6"/>
    </row>
    <row r="45" spans="2:22" s="5" customFormat="1" ht="16.5" customHeight="1" thickBot="1" thickTop="1">
      <c r="B45" s="51"/>
      <c r="C45" s="129" t="s">
        <v>23</v>
      </c>
      <c r="D45" s="130" t="s">
        <v>195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39">
        <f>SUM(O22:O44)</f>
        <v>27015.54296</v>
      </c>
      <c r="P45" s="440">
        <f>SUM(P22:P44)</f>
        <v>11383.16</v>
      </c>
      <c r="Q45" s="441">
        <f>SUM(Q22:Q44)</f>
        <v>16014.832</v>
      </c>
      <c r="R45" s="442">
        <f>SUM(R22:R44)</f>
        <v>0</v>
      </c>
      <c r="S45" s="443"/>
      <c r="T45" s="100">
        <f>ROUND(SUM(T22:T44),2)</f>
        <v>37307.27</v>
      </c>
      <c r="U45" s="100">
        <f>SUM(U24:U42)</f>
        <v>24277.34626717043</v>
      </c>
      <c r="V45" s="6"/>
    </row>
    <row r="46" spans="2:22" s="135" customFormat="1" ht="13.5" thickTop="1">
      <c r="B46" s="134"/>
      <c r="C46" s="131"/>
      <c r="D46" s="132" t="s">
        <v>202</v>
      </c>
      <c r="E46"/>
      <c r="F46" s="133"/>
      <c r="G46" s="133"/>
      <c r="H46" s="133"/>
      <c r="I46" s="133"/>
      <c r="J46" s="133"/>
      <c r="K46" s="133"/>
      <c r="L46" s="133"/>
      <c r="M46" s="133"/>
      <c r="N46" s="133"/>
      <c r="O46" s="374"/>
      <c r="P46" s="374"/>
      <c r="Q46" s="374"/>
      <c r="R46" s="374"/>
      <c r="S46" s="374"/>
      <c r="T46" s="237"/>
      <c r="U46" s="237"/>
      <c r="V46" s="444"/>
    </row>
    <row r="47" spans="2:22" s="5" customFormat="1" ht="16.5" customHeight="1" thickBot="1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</row>
    <row r="48" spans="22:24" ht="16.5" customHeight="1" thickTop="1">
      <c r="V48" s="180"/>
      <c r="W48" s="180"/>
      <c r="X48" s="180"/>
    </row>
    <row r="49" spans="22:24" ht="16.5" customHeight="1">
      <c r="V49" s="180"/>
      <c r="W49" s="180"/>
      <c r="X49" s="180"/>
    </row>
    <row r="50" spans="22:24" ht="16.5" customHeight="1">
      <c r="V50" s="180"/>
      <c r="W50" s="180"/>
      <c r="X50" s="180"/>
    </row>
    <row r="51" spans="22:24" ht="16.5" customHeight="1">
      <c r="V51" s="180"/>
      <c r="W51" s="180"/>
      <c r="X51" s="180"/>
    </row>
    <row r="52" spans="22:24" ht="16.5" customHeight="1">
      <c r="V52" s="180"/>
      <c r="W52" s="180"/>
      <c r="X52" s="180"/>
    </row>
    <row r="53" spans="4:24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</row>
    <row r="54" spans="4:24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</row>
    <row r="55" spans="4:24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</row>
    <row r="56" spans="4:24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</row>
    <row r="57" spans="4:24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</row>
    <row r="58" spans="4:24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</row>
    <row r="59" spans="4:24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</row>
    <row r="60" spans="4:24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</row>
    <row r="61" spans="4:24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</row>
    <row r="62" spans="4:24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</row>
    <row r="63" spans="4:24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</row>
    <row r="64" spans="4:24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</row>
    <row r="65" spans="4:24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</row>
    <row r="66" spans="4:24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</row>
    <row r="67" spans="4:24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</row>
    <row r="68" spans="4:24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</row>
    <row r="69" spans="4:24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</row>
    <row r="70" spans="4:24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</row>
    <row r="71" spans="4:24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</row>
    <row r="72" spans="4:24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</row>
    <row r="73" spans="4:24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</row>
    <row r="74" spans="4:24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</row>
    <row r="75" spans="4:24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</row>
    <row r="76" spans="4:24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</row>
    <row r="77" spans="4:24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</row>
    <row r="78" spans="4:24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</row>
    <row r="79" spans="4:24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</row>
    <row r="80" spans="4:24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</row>
    <row r="81" spans="4:24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</row>
    <row r="82" spans="4:24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4:24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4:24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4:24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</row>
    <row r="86" spans="4:24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</row>
    <row r="87" spans="4:24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</row>
    <row r="88" spans="4:24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</row>
    <row r="89" spans="4:24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</row>
    <row r="90" spans="4:24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</row>
    <row r="91" spans="4:24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</row>
    <row r="92" spans="4:24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</row>
    <row r="93" spans="4:24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</row>
    <row r="94" spans="4:24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</row>
    <row r="95" spans="4:24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</row>
    <row r="96" spans="4:24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</row>
    <row r="97" spans="4:24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</row>
    <row r="98" spans="4:24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</row>
    <row r="99" spans="4:24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</row>
    <row r="100" spans="4:24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</row>
    <row r="101" spans="4:24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</row>
    <row r="102" spans="4:24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</row>
    <row r="103" spans="4:24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</row>
    <row r="104" spans="4:24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</row>
    <row r="105" spans="4:24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</row>
    <row r="106" spans="4:24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</row>
    <row r="107" spans="4:24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</row>
    <row r="108" spans="4:24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</row>
    <row r="109" spans="4:24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</row>
    <row r="110" spans="4:24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</row>
    <row r="111" spans="4:24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</row>
    <row r="112" spans="4:24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</row>
    <row r="113" spans="4:24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</row>
    <row r="114" spans="4:24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</row>
    <row r="115" spans="4:24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</row>
    <row r="116" spans="4:24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</row>
    <row r="117" spans="4:24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</row>
    <row r="118" spans="4:24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</row>
    <row r="119" spans="4:24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</row>
    <row r="120" spans="4:24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</row>
    <row r="121" spans="4:24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</row>
    <row r="122" spans="4:24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</row>
    <row r="123" spans="4:24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</row>
    <row r="124" spans="4:24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</row>
    <row r="125" spans="4:24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</row>
    <row r="126" spans="4:24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</row>
    <row r="127" spans="4:24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</row>
    <row r="128" spans="4:24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</row>
    <row r="129" spans="4:24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</row>
    <row r="130" spans="4:24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</row>
    <row r="131" spans="4:24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</row>
    <row r="132" spans="4:24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</row>
    <row r="133" spans="4:24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</row>
    <row r="134" spans="4:24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</row>
    <row r="135" spans="4:24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</row>
    <row r="136" spans="4:24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</row>
    <row r="137" spans="4:24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</row>
    <row r="138" spans="4:24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</row>
    <row r="139" spans="4:24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</row>
    <row r="140" spans="4:24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</row>
    <row r="141" spans="4:24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</row>
    <row r="142" spans="4:24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</row>
    <row r="143" spans="4:24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</row>
    <row r="144" spans="4:24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</row>
    <row r="145" spans="4:24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</row>
    <row r="146" spans="4:24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</row>
    <row r="147" spans="4:24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</row>
    <row r="148" spans="4:24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</row>
    <row r="149" spans="4:24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</row>
    <row r="150" spans="4:24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</row>
    <row r="151" spans="4:24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</row>
    <row r="152" spans="4:24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</row>
    <row r="153" spans="4:24" ht="16.5" customHeight="1"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</row>
    <row r="154" spans="4:24" ht="16.5" customHeight="1"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</row>
    <row r="155" spans="4:24" ht="16.5" customHeight="1"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</row>
    <row r="156" spans="4:24" ht="16.5" customHeight="1"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</row>
    <row r="157" spans="4:24" ht="16.5" customHeight="1"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</row>
    <row r="158" spans="4:24" ht="16.5" customHeight="1"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</row>
    <row r="159" spans="4:24" ht="16.5" customHeight="1"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</row>
    <row r="160" spans="4:24" ht="16.5" customHeight="1"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Roman,Normal"&amp;8&amp;F-&amp;A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21">
    <pageSetUpPr fitToPage="1"/>
  </sheetPr>
  <dimension ref="A1:X160"/>
  <sheetViews>
    <sheetView zoomScale="75" zoomScaleNormal="75" workbookViewId="0" topLeftCell="B1">
      <selection activeCell="J41" sqref="J41"/>
    </sheetView>
  </sheetViews>
  <sheetFormatPr defaultColWidth="11.421875" defaultRowHeight="16.5" customHeight="1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40.7109375" style="0" customWidth="1"/>
    <col min="6" max="6" width="9.7109375" style="0" customWidth="1"/>
    <col min="7" max="7" width="14.28125" style="0" hidden="1" customWidth="1"/>
    <col min="8" max="9" width="15.7109375" style="0" customWidth="1"/>
    <col min="10" max="12" width="9.7109375" style="0" customWidth="1"/>
    <col min="13" max="13" width="6.421875" style="0" customWidth="1"/>
    <col min="14" max="14" width="12.00390625" style="0" hidden="1" customWidth="1"/>
    <col min="15" max="15" width="16.28125" style="0" hidden="1" customWidth="1"/>
    <col min="16" max="16" width="17.140625" style="0" hidden="1" customWidth="1"/>
    <col min="17" max="18" width="15.421875" style="0" hidden="1" customWidth="1"/>
    <col min="19" max="19" width="9.7109375" style="0" customWidth="1"/>
    <col min="20" max="22" width="15.7109375" style="0" customWidth="1"/>
  </cols>
  <sheetData>
    <row r="1" s="19" customFormat="1" ht="26.25">
      <c r="V1" s="147"/>
    </row>
    <row r="2" spans="1:22" s="19" customFormat="1" ht="26.25">
      <c r="A2" s="90"/>
      <c r="B2" s="20" t="str">
        <f>+'TOT-0907'!B2</f>
        <v>ANEXO V al Memorandum D.T.E.E. N°  719/2011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="5" customFormat="1" ht="12.75">
      <c r="A3" s="89"/>
    </row>
    <row r="4" spans="1:2" s="26" customFormat="1" ht="11.25">
      <c r="A4" s="24" t="s">
        <v>1</v>
      </c>
      <c r="B4" s="126"/>
    </row>
    <row r="5" spans="1:2" s="26" customFormat="1" ht="11.25">
      <c r="A5" s="24" t="s">
        <v>2</v>
      </c>
      <c r="B5" s="126"/>
    </row>
    <row r="6" s="5" customFormat="1" ht="13.5" thickBot="1"/>
    <row r="7" spans="2:22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2"/>
    </row>
    <row r="8" spans="2:22" s="30" customFormat="1" ht="20.25">
      <c r="B8" s="80"/>
      <c r="C8" s="31"/>
      <c r="D8" s="12" t="s">
        <v>52</v>
      </c>
      <c r="L8" s="106"/>
      <c r="M8" s="106"/>
      <c r="N8" s="95"/>
      <c r="O8" s="31"/>
      <c r="P8" s="31"/>
      <c r="Q8" s="31"/>
      <c r="R8" s="31"/>
      <c r="S8" s="31"/>
      <c r="T8" s="31"/>
      <c r="U8" s="31"/>
      <c r="V8" s="81"/>
    </row>
    <row r="9" spans="2:22" s="5" customFormat="1" ht="12.75">
      <c r="B9" s="51"/>
      <c r="C9" s="4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4"/>
      <c r="P9" s="4"/>
      <c r="Q9" s="4"/>
      <c r="R9" s="4"/>
      <c r="S9" s="4"/>
      <c r="T9" s="4"/>
      <c r="U9" s="4"/>
      <c r="V9" s="6"/>
    </row>
    <row r="10" spans="2:22" s="30" customFormat="1" ht="20.25">
      <c r="B10" s="80"/>
      <c r="C10" s="31"/>
      <c r="D10" s="114" t="s">
        <v>63</v>
      </c>
      <c r="E10" s="379"/>
      <c r="F10" s="106"/>
      <c r="G10" s="109"/>
      <c r="I10" s="109"/>
      <c r="J10" s="109"/>
      <c r="K10" s="109"/>
      <c r="L10" s="109"/>
      <c r="M10" s="109"/>
      <c r="N10" s="109"/>
      <c r="O10" s="31"/>
      <c r="P10" s="31"/>
      <c r="Q10" s="31"/>
      <c r="R10" s="31"/>
      <c r="S10" s="31"/>
      <c r="T10" s="31"/>
      <c r="U10" s="31"/>
      <c r="V10" s="81"/>
    </row>
    <row r="11" spans="2:22" s="5" customFormat="1" ht="13.5">
      <c r="B11" s="51"/>
      <c r="C11" s="4"/>
      <c r="D11" s="380"/>
      <c r="E11" s="380"/>
      <c r="F11" s="89"/>
      <c r="G11" s="96"/>
      <c r="H11" s="53"/>
      <c r="I11" s="96"/>
      <c r="J11" s="96"/>
      <c r="K11" s="96"/>
      <c r="L11" s="96"/>
      <c r="M11" s="96"/>
      <c r="N11" s="96"/>
      <c r="O11" s="4"/>
      <c r="P11" s="4"/>
      <c r="Q11" s="4"/>
      <c r="R11" s="4"/>
      <c r="S11" s="4"/>
      <c r="T11" s="4"/>
      <c r="U11" s="4"/>
      <c r="V11" s="6"/>
    </row>
    <row r="12" spans="2:22" s="30" customFormat="1" ht="20.25">
      <c r="B12" s="80"/>
      <c r="C12" s="31"/>
      <c r="D12" s="114" t="s">
        <v>64</v>
      </c>
      <c r="E12" s="379"/>
      <c r="F12" s="106"/>
      <c r="G12" s="109"/>
      <c r="I12" s="109"/>
      <c r="J12" s="109"/>
      <c r="K12" s="109"/>
      <c r="L12" s="109"/>
      <c r="M12" s="109"/>
      <c r="N12" s="109"/>
      <c r="O12" s="31"/>
      <c r="P12" s="31"/>
      <c r="Q12" s="31"/>
      <c r="R12" s="31"/>
      <c r="S12" s="31"/>
      <c r="T12" s="31"/>
      <c r="U12" s="31"/>
      <c r="V12" s="81"/>
    </row>
    <row r="13" spans="2:22" s="5" customFormat="1" ht="13.5">
      <c r="B13" s="51"/>
      <c r="C13" s="4"/>
      <c r="D13" s="380"/>
      <c r="E13" s="380"/>
      <c r="F13" s="89"/>
      <c r="G13" s="96"/>
      <c r="H13" s="53"/>
      <c r="I13" s="96"/>
      <c r="J13" s="96"/>
      <c r="K13" s="96"/>
      <c r="L13" s="96"/>
      <c r="M13" s="96"/>
      <c r="N13" s="96"/>
      <c r="O13" s="4"/>
      <c r="P13" s="4"/>
      <c r="Q13" s="4"/>
      <c r="R13" s="4"/>
      <c r="S13" s="4"/>
      <c r="T13" s="4"/>
      <c r="U13" s="4"/>
      <c r="V13" s="6"/>
    </row>
    <row r="14" spans="2:22" s="5" customFormat="1" ht="19.5">
      <c r="B14" s="38" t="str">
        <f>'TOT-0907'!B14</f>
        <v>Desde el 01 al 30 de septiembre de 2007</v>
      </c>
      <c r="C14" s="41"/>
      <c r="D14" s="41"/>
      <c r="E14" s="41"/>
      <c r="F14" s="41"/>
      <c r="G14" s="381"/>
      <c r="H14" s="381"/>
      <c r="I14" s="381"/>
      <c r="J14" s="381"/>
      <c r="K14" s="381"/>
      <c r="L14" s="381"/>
      <c r="M14" s="381"/>
      <c r="N14" s="381"/>
      <c r="O14" s="41"/>
      <c r="P14" s="41"/>
      <c r="Q14" s="41"/>
      <c r="R14" s="41"/>
      <c r="S14" s="41"/>
      <c r="T14" s="41"/>
      <c r="U14" s="41"/>
      <c r="V14" s="382"/>
    </row>
    <row r="15" spans="2:22" s="5" customFormat="1" ht="14.25" thickBot="1">
      <c r="B15" s="383"/>
      <c r="C15" s="384"/>
      <c r="D15" s="384"/>
      <c r="E15" s="384"/>
      <c r="F15" s="384"/>
      <c r="G15" s="385"/>
      <c r="H15" s="385"/>
      <c r="I15" s="385"/>
      <c r="J15" s="385"/>
      <c r="K15" s="385"/>
      <c r="L15" s="385"/>
      <c r="M15" s="385"/>
      <c r="N15" s="385"/>
      <c r="O15" s="384"/>
      <c r="P15" s="384"/>
      <c r="Q15" s="384"/>
      <c r="R15" s="384"/>
      <c r="S15" s="384"/>
      <c r="T15" s="384"/>
      <c r="U15" s="384"/>
      <c r="V15" s="386"/>
    </row>
    <row r="16" spans="2:22" s="5" customFormat="1" ht="15" thickBot="1" thickTop="1">
      <c r="B16" s="51"/>
      <c r="C16" s="4"/>
      <c r="D16" s="387"/>
      <c r="E16" s="387"/>
      <c r="F16" s="119" t="s">
        <v>65</v>
      </c>
      <c r="G16" s="4"/>
      <c r="H16" s="53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6"/>
    </row>
    <row r="17" spans="2:22" s="5" customFormat="1" ht="16.5" customHeight="1" thickBot="1" thickTop="1">
      <c r="B17" s="51"/>
      <c r="C17" s="4"/>
      <c r="D17" s="388" t="s">
        <v>66</v>
      </c>
      <c r="E17" s="389">
        <v>49.065</v>
      </c>
      <c r="F17" s="390">
        <v>200</v>
      </c>
      <c r="T17" s="116"/>
      <c r="U17" s="116"/>
      <c r="V17" s="6"/>
    </row>
    <row r="18" spans="2:22" s="5" customFormat="1" ht="16.5" customHeight="1" thickBot="1" thickTop="1">
      <c r="B18" s="51"/>
      <c r="C18" s="4"/>
      <c r="D18" s="391" t="s">
        <v>67</v>
      </c>
      <c r="E18" s="392">
        <v>44.156</v>
      </c>
      <c r="F18" s="390">
        <v>100</v>
      </c>
      <c r="M18" s="4"/>
      <c r="N18" s="4"/>
      <c r="O18" s="4"/>
      <c r="P18" s="4"/>
      <c r="Q18" s="4"/>
      <c r="R18" s="4"/>
      <c r="S18" s="4"/>
      <c r="T18" s="4"/>
      <c r="U18" s="4"/>
      <c r="V18" s="6"/>
    </row>
    <row r="19" spans="2:22" s="5" customFormat="1" ht="16.5" customHeight="1" thickBot="1" thickTop="1">
      <c r="B19" s="51"/>
      <c r="C19" s="4"/>
      <c r="D19" s="393" t="s">
        <v>68</v>
      </c>
      <c r="E19" s="392">
        <v>39.254</v>
      </c>
      <c r="F19" s="390">
        <v>40</v>
      </c>
      <c r="I19" s="249"/>
      <c r="J19" s="250"/>
      <c r="K19" s="4"/>
      <c r="M19" s="4"/>
      <c r="O19" s="4"/>
      <c r="P19" s="4"/>
      <c r="Q19" s="4"/>
      <c r="R19" s="4"/>
      <c r="S19" s="4"/>
      <c r="T19" s="4"/>
      <c r="U19" s="4"/>
      <c r="V19" s="6"/>
    </row>
    <row r="20" spans="2:22" s="5" customFormat="1" ht="16.5" customHeight="1" thickBot="1" thickTop="1">
      <c r="B20" s="51"/>
      <c r="C20" s="394"/>
      <c r="D20" s="395"/>
      <c r="E20" s="395"/>
      <c r="F20" s="396"/>
      <c r="G20" s="397"/>
      <c r="H20" s="397"/>
      <c r="I20" s="397"/>
      <c r="J20" s="397"/>
      <c r="K20" s="397"/>
      <c r="L20" s="397"/>
      <c r="M20" s="397"/>
      <c r="N20" s="398"/>
      <c r="O20" s="399"/>
      <c r="P20" s="400"/>
      <c r="Q20" s="400"/>
      <c r="R20" s="400"/>
      <c r="S20" s="401"/>
      <c r="T20" s="402"/>
      <c r="U20" s="759"/>
      <c r="V20" s="6"/>
    </row>
    <row r="21" spans="2:22" s="5" customFormat="1" ht="33.75" customHeight="1" thickBot="1" thickTop="1">
      <c r="B21" s="51"/>
      <c r="C21" s="85" t="s">
        <v>12</v>
      </c>
      <c r="D21" s="87" t="s">
        <v>26</v>
      </c>
      <c r="E21" s="403" t="s">
        <v>27</v>
      </c>
      <c r="F21" s="404" t="s">
        <v>13</v>
      </c>
      <c r="G21" s="137" t="s">
        <v>15</v>
      </c>
      <c r="H21" s="86" t="s">
        <v>16</v>
      </c>
      <c r="I21" s="403" t="s">
        <v>17</v>
      </c>
      <c r="J21" s="405" t="s">
        <v>35</v>
      </c>
      <c r="K21" s="405" t="s">
        <v>30</v>
      </c>
      <c r="L21" s="88" t="s">
        <v>18</v>
      </c>
      <c r="M21" s="195" t="s">
        <v>31</v>
      </c>
      <c r="N21" s="143" t="s">
        <v>36</v>
      </c>
      <c r="O21" s="406" t="s">
        <v>54</v>
      </c>
      <c r="P21" s="199" t="s">
        <v>34</v>
      </c>
      <c r="Q21" s="407"/>
      <c r="R21" s="142" t="s">
        <v>21</v>
      </c>
      <c r="S21" s="140" t="s">
        <v>58</v>
      </c>
      <c r="T21" s="123" t="s">
        <v>22</v>
      </c>
      <c r="U21" s="123" t="s">
        <v>211</v>
      </c>
      <c r="V21" s="6"/>
    </row>
    <row r="22" spans="2:22" s="5" customFormat="1" ht="16.5" customHeight="1" thickTop="1">
      <c r="B22" s="51"/>
      <c r="C22" s="7"/>
      <c r="D22" s="408"/>
      <c r="E22" s="408"/>
      <c r="F22" s="408"/>
      <c r="G22" s="264"/>
      <c r="H22" s="408"/>
      <c r="I22" s="408"/>
      <c r="J22" s="408"/>
      <c r="K22" s="408"/>
      <c r="L22" s="408"/>
      <c r="M22" s="408"/>
      <c r="N22" s="409"/>
      <c r="O22" s="410"/>
      <c r="P22" s="411"/>
      <c r="Q22" s="412"/>
      <c r="R22" s="413"/>
      <c r="S22" s="408"/>
      <c r="T22" s="414">
        <f>'SA-09 (1)'!T45</f>
        <v>37307.27</v>
      </c>
      <c r="U22" s="414">
        <f>'SA-09 (1)'!U45</f>
        <v>24277.34626717043</v>
      </c>
      <c r="V22" s="6"/>
    </row>
    <row r="23" spans="2:22" s="5" customFormat="1" ht="16.5" customHeight="1">
      <c r="B23" s="51"/>
      <c r="C23" s="326"/>
      <c r="D23" s="415"/>
      <c r="E23" s="415"/>
      <c r="F23" s="415"/>
      <c r="G23" s="416"/>
      <c r="H23" s="415"/>
      <c r="I23" s="415"/>
      <c r="J23" s="415"/>
      <c r="K23" s="415"/>
      <c r="L23" s="415"/>
      <c r="M23" s="415"/>
      <c r="N23" s="417"/>
      <c r="O23" s="418"/>
      <c r="P23" s="222"/>
      <c r="Q23" s="419"/>
      <c r="R23" s="420"/>
      <c r="S23" s="415"/>
      <c r="T23" s="421"/>
      <c r="U23" s="421"/>
      <c r="V23" s="6"/>
    </row>
    <row r="24" spans="2:23" s="5" customFormat="1" ht="16.5" customHeight="1">
      <c r="B24" s="51"/>
      <c r="C24" s="159">
        <v>47</v>
      </c>
      <c r="D24" s="422" t="s">
        <v>158</v>
      </c>
      <c r="E24" s="422" t="s">
        <v>159</v>
      </c>
      <c r="F24" s="423">
        <v>132</v>
      </c>
      <c r="G24" s="138">
        <f aca="true" t="shared" si="0" ref="G24:G43">IF(F24=500,$E$17,IF(F24=220,$E$18,$E$19))</f>
        <v>39.254</v>
      </c>
      <c r="H24" s="424">
        <v>39344.34583333333</v>
      </c>
      <c r="I24" s="154">
        <v>39344.65</v>
      </c>
      <c r="J24" s="425">
        <f aca="true" t="shared" si="1" ref="J24:J43">IF(D24="","",(I24-H24)*24)</f>
        <v>7.300000000046566</v>
      </c>
      <c r="K24" s="426">
        <f aca="true" t="shared" si="2" ref="K24:K43">IF(D24="","",ROUND((I24-H24)*24*60,0))</f>
        <v>438</v>
      </c>
      <c r="L24" s="266" t="s">
        <v>109</v>
      </c>
      <c r="M24" s="156" t="str">
        <f aca="true" t="shared" si="3" ref="M24:M43">IF(D24="","",IF(L24="P","--","NO"))</f>
        <v>--</v>
      </c>
      <c r="N24" s="427">
        <f aca="true" t="shared" si="4" ref="N24:N43">IF(F24=500,$F$17,IF(F24=220,$F$18,$F$19))</f>
        <v>40</v>
      </c>
      <c r="O24" s="428">
        <f aca="true" t="shared" si="5" ref="O24:O43">IF(L24="P",G24*N24*ROUND(K24/60,2)*0.1,"--")</f>
        <v>1146.2168</v>
      </c>
      <c r="P24" s="429" t="str">
        <f aca="true" t="shared" si="6" ref="P24:P43">IF(AND(L24="F",M24="NO"),G24*N24,"--")</f>
        <v>--</v>
      </c>
      <c r="Q24" s="430" t="str">
        <f aca="true" t="shared" si="7" ref="Q24:Q43">IF(L24="F",G24*N24*ROUND(K24/60,2),"--")</f>
        <v>--</v>
      </c>
      <c r="R24" s="163" t="str">
        <f aca="true" t="shared" si="8" ref="R24:R43">IF(L24="RF",G24*N24*ROUND(K24/60,2),"--")</f>
        <v>--</v>
      </c>
      <c r="S24" s="156" t="str">
        <f aca="true" t="shared" si="9" ref="S24:S43">IF(D24="","","SI")</f>
        <v>SI</v>
      </c>
      <c r="T24" s="431">
        <v>0</v>
      </c>
      <c r="U24" s="431">
        <f>T24*(1-$W$24)</f>
        <v>0</v>
      </c>
      <c r="V24" s="6"/>
      <c r="W24" s="756">
        <v>0.3492596718583952</v>
      </c>
    </row>
    <row r="25" spans="2:22" s="5" customFormat="1" ht="16.5" customHeight="1">
      <c r="B25" s="51"/>
      <c r="C25" s="326">
        <v>48</v>
      </c>
      <c r="D25" s="422" t="s">
        <v>137</v>
      </c>
      <c r="E25" s="422" t="s">
        <v>138</v>
      </c>
      <c r="F25" s="423">
        <v>132</v>
      </c>
      <c r="G25" s="138">
        <f t="shared" si="0"/>
        <v>39.254</v>
      </c>
      <c r="H25" s="424">
        <v>39344.381944444445</v>
      </c>
      <c r="I25" s="154">
        <v>39344.711805555555</v>
      </c>
      <c r="J25" s="425">
        <f t="shared" si="1"/>
        <v>7.916666666627862</v>
      </c>
      <c r="K25" s="426">
        <f t="shared" si="2"/>
        <v>475</v>
      </c>
      <c r="L25" s="266" t="s">
        <v>109</v>
      </c>
      <c r="M25" s="156" t="str">
        <f t="shared" si="3"/>
        <v>--</v>
      </c>
      <c r="N25" s="427">
        <f t="shared" si="4"/>
        <v>40</v>
      </c>
      <c r="O25" s="428">
        <f t="shared" si="5"/>
        <v>1243.5667199999998</v>
      </c>
      <c r="P25" s="429" t="str">
        <f t="shared" si="6"/>
        <v>--</v>
      </c>
      <c r="Q25" s="430" t="str">
        <f t="shared" si="7"/>
        <v>--</v>
      </c>
      <c r="R25" s="163" t="str">
        <f t="shared" si="8"/>
        <v>--</v>
      </c>
      <c r="S25" s="156" t="str">
        <f t="shared" si="9"/>
        <v>SI</v>
      </c>
      <c r="T25" s="431">
        <f aca="true" t="shared" si="10" ref="T25:T43">IF(D25="","",SUM(O25:R25)*IF(S25="SI",1,2))</f>
        <v>1243.5667199999998</v>
      </c>
      <c r="U25" s="431">
        <f aca="true" t="shared" si="11" ref="U25:U40">T25*(1-$W$24)</f>
        <v>809.2390154387791</v>
      </c>
      <c r="V25" s="6"/>
    </row>
    <row r="26" spans="2:22" s="5" customFormat="1" ht="16.5" customHeight="1">
      <c r="B26" s="51"/>
      <c r="C26" s="326">
        <v>49</v>
      </c>
      <c r="D26" s="422" t="s">
        <v>137</v>
      </c>
      <c r="E26" s="422" t="s">
        <v>153</v>
      </c>
      <c r="F26" s="423">
        <v>132</v>
      </c>
      <c r="G26" s="138">
        <f t="shared" si="0"/>
        <v>39.254</v>
      </c>
      <c r="H26" s="424">
        <v>39345.356944444444</v>
      </c>
      <c r="I26" s="154">
        <v>39345.73263888889</v>
      </c>
      <c r="J26" s="425">
        <f t="shared" si="1"/>
        <v>9.016666666720994</v>
      </c>
      <c r="K26" s="426">
        <f t="shared" si="2"/>
        <v>541</v>
      </c>
      <c r="L26" s="266" t="s">
        <v>109</v>
      </c>
      <c r="M26" s="156" t="str">
        <f t="shared" si="3"/>
        <v>--</v>
      </c>
      <c r="N26" s="427">
        <f t="shared" si="4"/>
        <v>40</v>
      </c>
      <c r="O26" s="428">
        <f t="shared" si="5"/>
        <v>1416.2843199999998</v>
      </c>
      <c r="P26" s="429" t="str">
        <f t="shared" si="6"/>
        <v>--</v>
      </c>
      <c r="Q26" s="430" t="str">
        <f t="shared" si="7"/>
        <v>--</v>
      </c>
      <c r="R26" s="163" t="str">
        <f t="shared" si="8"/>
        <v>--</v>
      </c>
      <c r="S26" s="156" t="str">
        <f t="shared" si="9"/>
        <v>SI</v>
      </c>
      <c r="T26" s="431">
        <f t="shared" si="10"/>
        <v>1416.2843199999998</v>
      </c>
      <c r="U26" s="431">
        <f t="shared" si="11"/>
        <v>921.6333231386095</v>
      </c>
      <c r="V26" s="6"/>
    </row>
    <row r="27" spans="2:22" s="5" customFormat="1" ht="16.5" customHeight="1">
      <c r="B27" s="51"/>
      <c r="C27" s="326">
        <v>50</v>
      </c>
      <c r="D27" s="422" t="s">
        <v>161</v>
      </c>
      <c r="E27" s="422" t="s">
        <v>162</v>
      </c>
      <c r="F27" s="423">
        <v>132</v>
      </c>
      <c r="G27" s="138">
        <f t="shared" si="0"/>
        <v>39.254</v>
      </c>
      <c r="H27" s="424">
        <v>39345.36041666667</v>
      </c>
      <c r="I27" s="154">
        <v>39345.66875</v>
      </c>
      <c r="J27" s="425">
        <f t="shared" si="1"/>
        <v>7.39999999984866</v>
      </c>
      <c r="K27" s="426">
        <f t="shared" si="2"/>
        <v>444</v>
      </c>
      <c r="L27" s="266" t="s">
        <v>109</v>
      </c>
      <c r="M27" s="156" t="str">
        <f t="shared" si="3"/>
        <v>--</v>
      </c>
      <c r="N27" s="427">
        <f t="shared" si="4"/>
        <v>40</v>
      </c>
      <c r="O27" s="428">
        <f t="shared" si="5"/>
        <v>1161.9184</v>
      </c>
      <c r="P27" s="429" t="str">
        <f t="shared" si="6"/>
        <v>--</v>
      </c>
      <c r="Q27" s="430" t="str">
        <f t="shared" si="7"/>
        <v>--</v>
      </c>
      <c r="R27" s="163" t="str">
        <f t="shared" si="8"/>
        <v>--</v>
      </c>
      <c r="S27" s="156" t="str">
        <f t="shared" si="9"/>
        <v>SI</v>
      </c>
      <c r="T27" s="431">
        <f t="shared" si="10"/>
        <v>1161.9184</v>
      </c>
      <c r="U27" s="431">
        <f t="shared" si="11"/>
        <v>756.1071608897685</v>
      </c>
      <c r="V27" s="6"/>
    </row>
    <row r="28" spans="2:22" s="5" customFormat="1" ht="16.5" customHeight="1">
      <c r="B28" s="51"/>
      <c r="C28" s="326">
        <v>51</v>
      </c>
      <c r="D28" s="422" t="s">
        <v>145</v>
      </c>
      <c r="E28" s="422" t="s">
        <v>146</v>
      </c>
      <c r="F28" s="423">
        <v>500</v>
      </c>
      <c r="G28" s="138">
        <f t="shared" si="0"/>
        <v>49.065</v>
      </c>
      <c r="H28" s="424">
        <v>39347.39097222222</v>
      </c>
      <c r="I28" s="154">
        <v>39347.63263888889</v>
      </c>
      <c r="J28" s="425">
        <f t="shared" si="1"/>
        <v>5.800000000046566</v>
      </c>
      <c r="K28" s="426">
        <f t="shared" si="2"/>
        <v>348</v>
      </c>
      <c r="L28" s="266" t="s">
        <v>109</v>
      </c>
      <c r="M28" s="156" t="str">
        <f t="shared" si="3"/>
        <v>--</v>
      </c>
      <c r="N28" s="427">
        <f t="shared" si="4"/>
        <v>200</v>
      </c>
      <c r="O28" s="428">
        <f t="shared" si="5"/>
        <v>5691.540000000001</v>
      </c>
      <c r="P28" s="429" t="str">
        <f t="shared" si="6"/>
        <v>--</v>
      </c>
      <c r="Q28" s="430" t="str">
        <f t="shared" si="7"/>
        <v>--</v>
      </c>
      <c r="R28" s="163" t="str">
        <f t="shared" si="8"/>
        <v>--</v>
      </c>
      <c r="S28" s="156" t="str">
        <f t="shared" si="9"/>
        <v>SI</v>
      </c>
      <c r="T28" s="431">
        <v>0</v>
      </c>
      <c r="U28" s="431">
        <f t="shared" si="11"/>
        <v>0</v>
      </c>
      <c r="V28" s="6"/>
    </row>
    <row r="29" spans="2:22" s="5" customFormat="1" ht="16.5" customHeight="1">
      <c r="B29" s="51"/>
      <c r="C29" s="326">
        <v>52</v>
      </c>
      <c r="D29" s="422" t="s">
        <v>158</v>
      </c>
      <c r="E29" s="422" t="s">
        <v>163</v>
      </c>
      <c r="F29" s="423">
        <v>132</v>
      </c>
      <c r="G29" s="138">
        <f t="shared" si="0"/>
        <v>39.254</v>
      </c>
      <c r="H29" s="424">
        <v>39348.279861111114</v>
      </c>
      <c r="I29" s="154">
        <v>39348.37708333333</v>
      </c>
      <c r="J29" s="425">
        <f t="shared" si="1"/>
        <v>2.333333333255723</v>
      </c>
      <c r="K29" s="426">
        <f t="shared" si="2"/>
        <v>140</v>
      </c>
      <c r="L29" s="266" t="s">
        <v>109</v>
      </c>
      <c r="M29" s="156" t="str">
        <f t="shared" si="3"/>
        <v>--</v>
      </c>
      <c r="N29" s="427">
        <f t="shared" si="4"/>
        <v>40</v>
      </c>
      <c r="O29" s="428">
        <f t="shared" si="5"/>
        <v>365.84727999999996</v>
      </c>
      <c r="P29" s="429" t="str">
        <f t="shared" si="6"/>
        <v>--</v>
      </c>
      <c r="Q29" s="430" t="str">
        <f t="shared" si="7"/>
        <v>--</v>
      </c>
      <c r="R29" s="163" t="str">
        <f t="shared" si="8"/>
        <v>--</v>
      </c>
      <c r="S29" s="156" t="str">
        <f t="shared" si="9"/>
        <v>SI</v>
      </c>
      <c r="T29" s="431">
        <f t="shared" si="10"/>
        <v>365.84727999999996</v>
      </c>
      <c r="U29" s="431">
        <f t="shared" si="11"/>
        <v>238.07157903691356</v>
      </c>
      <c r="V29" s="6"/>
    </row>
    <row r="30" spans="2:22" s="5" customFormat="1" ht="16.5" customHeight="1">
      <c r="B30" s="51"/>
      <c r="C30" s="326">
        <v>53</v>
      </c>
      <c r="D30" s="422" t="s">
        <v>143</v>
      </c>
      <c r="E30" s="422" t="s">
        <v>152</v>
      </c>
      <c r="F30" s="423">
        <v>132</v>
      </c>
      <c r="G30" s="138">
        <f t="shared" si="0"/>
        <v>39.254</v>
      </c>
      <c r="H30" s="424">
        <v>39348.30972222222</v>
      </c>
      <c r="I30" s="154">
        <v>39348.51597222222</v>
      </c>
      <c r="J30" s="425">
        <f t="shared" si="1"/>
        <v>4.950000000069849</v>
      </c>
      <c r="K30" s="426">
        <f t="shared" si="2"/>
        <v>297</v>
      </c>
      <c r="L30" s="266" t="s">
        <v>109</v>
      </c>
      <c r="M30" s="156" t="str">
        <f t="shared" si="3"/>
        <v>--</v>
      </c>
      <c r="N30" s="427">
        <f t="shared" si="4"/>
        <v>40</v>
      </c>
      <c r="O30" s="428">
        <f t="shared" si="5"/>
        <v>777.2292</v>
      </c>
      <c r="P30" s="429" t="str">
        <f t="shared" si="6"/>
        <v>--</v>
      </c>
      <c r="Q30" s="430" t="str">
        <f t="shared" si="7"/>
        <v>--</v>
      </c>
      <c r="R30" s="163" t="str">
        <f t="shared" si="8"/>
        <v>--</v>
      </c>
      <c r="S30" s="156" t="str">
        <f t="shared" si="9"/>
        <v>SI</v>
      </c>
      <c r="T30" s="431">
        <f t="shared" si="10"/>
        <v>777.2292</v>
      </c>
      <c r="U30" s="431">
        <f t="shared" si="11"/>
        <v>505.77438464923705</v>
      </c>
      <c r="V30" s="6"/>
    </row>
    <row r="31" spans="2:22" s="5" customFormat="1" ht="16.5" customHeight="1">
      <c r="B31" s="51"/>
      <c r="C31" s="326">
        <v>54</v>
      </c>
      <c r="D31" s="422" t="s">
        <v>141</v>
      </c>
      <c r="E31" s="422" t="s">
        <v>164</v>
      </c>
      <c r="F31" s="423">
        <v>132</v>
      </c>
      <c r="G31" s="138">
        <f t="shared" si="0"/>
        <v>39.254</v>
      </c>
      <c r="H31" s="424">
        <v>39348.34166666667</v>
      </c>
      <c r="I31" s="154">
        <v>39348.725</v>
      </c>
      <c r="J31" s="425">
        <f t="shared" si="1"/>
        <v>9.199999999953434</v>
      </c>
      <c r="K31" s="426">
        <f t="shared" si="2"/>
        <v>552</v>
      </c>
      <c r="L31" s="266" t="s">
        <v>109</v>
      </c>
      <c r="M31" s="156" t="str">
        <f t="shared" si="3"/>
        <v>--</v>
      </c>
      <c r="N31" s="427">
        <f t="shared" si="4"/>
        <v>40</v>
      </c>
      <c r="O31" s="428">
        <f t="shared" si="5"/>
        <v>1444.5472</v>
      </c>
      <c r="P31" s="429" t="str">
        <f t="shared" si="6"/>
        <v>--</v>
      </c>
      <c r="Q31" s="430" t="str">
        <f t="shared" si="7"/>
        <v>--</v>
      </c>
      <c r="R31" s="163" t="str">
        <f t="shared" si="8"/>
        <v>--</v>
      </c>
      <c r="S31" s="156" t="str">
        <f t="shared" si="9"/>
        <v>SI</v>
      </c>
      <c r="T31" s="431">
        <f t="shared" si="10"/>
        <v>1444.5472</v>
      </c>
      <c r="U31" s="431">
        <f t="shared" si="11"/>
        <v>940.0251189440365</v>
      </c>
      <c r="V31" s="6"/>
    </row>
    <row r="32" spans="2:22" s="5" customFormat="1" ht="16.5" customHeight="1">
      <c r="B32" s="51"/>
      <c r="C32" s="326">
        <v>55</v>
      </c>
      <c r="D32" s="422" t="s">
        <v>141</v>
      </c>
      <c r="E32" s="422" t="s">
        <v>165</v>
      </c>
      <c r="F32" s="423">
        <v>132</v>
      </c>
      <c r="G32" s="138">
        <f t="shared" si="0"/>
        <v>39.254</v>
      </c>
      <c r="H32" s="424">
        <v>39348.36736111111</v>
      </c>
      <c r="I32" s="154">
        <v>39348.66527777778</v>
      </c>
      <c r="J32" s="425">
        <f t="shared" si="1"/>
        <v>7.150000000081491</v>
      </c>
      <c r="K32" s="426">
        <f t="shared" si="2"/>
        <v>429</v>
      </c>
      <c r="L32" s="266" t="s">
        <v>109</v>
      </c>
      <c r="M32" s="156" t="str">
        <f t="shared" si="3"/>
        <v>--</v>
      </c>
      <c r="N32" s="427">
        <f t="shared" si="4"/>
        <v>40</v>
      </c>
      <c r="O32" s="428">
        <f t="shared" si="5"/>
        <v>1122.6644000000001</v>
      </c>
      <c r="P32" s="429" t="str">
        <f t="shared" si="6"/>
        <v>--</v>
      </c>
      <c r="Q32" s="430" t="str">
        <f t="shared" si="7"/>
        <v>--</v>
      </c>
      <c r="R32" s="163" t="str">
        <f t="shared" si="8"/>
        <v>--</v>
      </c>
      <c r="S32" s="156" t="str">
        <f t="shared" si="9"/>
        <v>SI</v>
      </c>
      <c r="T32" s="431">
        <f t="shared" si="10"/>
        <v>1122.6644000000001</v>
      </c>
      <c r="U32" s="431">
        <f t="shared" si="11"/>
        <v>730.5630000488981</v>
      </c>
      <c r="V32" s="6"/>
    </row>
    <row r="33" spans="2:22" s="5" customFormat="1" ht="16.5" customHeight="1">
      <c r="B33" s="51"/>
      <c r="C33" s="326">
        <v>56</v>
      </c>
      <c r="D33" s="422" t="s">
        <v>148</v>
      </c>
      <c r="E33" s="422" t="s">
        <v>166</v>
      </c>
      <c r="F33" s="423">
        <v>500</v>
      </c>
      <c r="G33" s="138">
        <f t="shared" si="0"/>
        <v>49.065</v>
      </c>
      <c r="H33" s="424">
        <v>39348.373611111114</v>
      </c>
      <c r="I33" s="154">
        <v>39348.67222222222</v>
      </c>
      <c r="J33" s="425">
        <f t="shared" si="1"/>
        <v>7.166666666627862</v>
      </c>
      <c r="K33" s="426">
        <f t="shared" si="2"/>
        <v>430</v>
      </c>
      <c r="L33" s="266" t="s">
        <v>109</v>
      </c>
      <c r="M33" s="156" t="str">
        <f t="shared" si="3"/>
        <v>--</v>
      </c>
      <c r="N33" s="427">
        <f t="shared" si="4"/>
        <v>200</v>
      </c>
      <c r="O33" s="428">
        <f t="shared" si="5"/>
        <v>7035.921000000001</v>
      </c>
      <c r="P33" s="429" t="str">
        <f t="shared" si="6"/>
        <v>--</v>
      </c>
      <c r="Q33" s="430" t="str">
        <f t="shared" si="7"/>
        <v>--</v>
      </c>
      <c r="R33" s="163" t="str">
        <f t="shared" si="8"/>
        <v>--</v>
      </c>
      <c r="S33" s="156" t="str">
        <f t="shared" si="9"/>
        <v>SI</v>
      </c>
      <c r="T33" s="431">
        <v>0</v>
      </c>
      <c r="U33" s="431">
        <f t="shared" si="11"/>
        <v>0</v>
      </c>
      <c r="V33" s="6"/>
    </row>
    <row r="34" spans="2:22" s="5" customFormat="1" ht="16.5" customHeight="1">
      <c r="B34" s="51"/>
      <c r="C34" s="326">
        <v>57</v>
      </c>
      <c r="D34" s="422" t="s">
        <v>141</v>
      </c>
      <c r="E34" s="422" t="s">
        <v>165</v>
      </c>
      <c r="F34" s="423">
        <v>132</v>
      </c>
      <c r="G34" s="138">
        <f t="shared" si="0"/>
        <v>39.254</v>
      </c>
      <c r="H34" s="424">
        <v>39348.72222222222</v>
      </c>
      <c r="I34" s="154">
        <v>39348.74166666667</v>
      </c>
      <c r="J34" s="425">
        <v>0.466666666790843</v>
      </c>
      <c r="K34" s="426">
        <f t="shared" si="2"/>
        <v>28</v>
      </c>
      <c r="L34" s="266" t="s">
        <v>109</v>
      </c>
      <c r="M34" s="156" t="str">
        <f t="shared" si="3"/>
        <v>--</v>
      </c>
      <c r="N34" s="427">
        <f t="shared" si="4"/>
        <v>40</v>
      </c>
      <c r="O34" s="428">
        <f t="shared" si="5"/>
        <v>73.79751999999999</v>
      </c>
      <c r="P34" s="429" t="str">
        <f t="shared" si="6"/>
        <v>--</v>
      </c>
      <c r="Q34" s="430" t="str">
        <f t="shared" si="7"/>
        <v>--</v>
      </c>
      <c r="R34" s="163" t="str">
        <f t="shared" si="8"/>
        <v>--</v>
      </c>
      <c r="S34" s="156" t="str">
        <f t="shared" si="9"/>
        <v>SI</v>
      </c>
      <c r="T34" s="431">
        <v>0</v>
      </c>
      <c r="U34" s="431">
        <f t="shared" si="11"/>
        <v>0</v>
      </c>
      <c r="V34" s="6"/>
    </row>
    <row r="35" spans="2:22" s="5" customFormat="1" ht="16.5" customHeight="1">
      <c r="B35" s="51"/>
      <c r="C35" s="326">
        <v>58</v>
      </c>
      <c r="D35" s="422" t="s">
        <v>143</v>
      </c>
      <c r="E35" s="422" t="s">
        <v>167</v>
      </c>
      <c r="F35" s="423">
        <v>132</v>
      </c>
      <c r="G35" s="138">
        <f t="shared" si="0"/>
        <v>39.254</v>
      </c>
      <c r="H35" s="424">
        <v>39350.39513888889</v>
      </c>
      <c r="I35" s="154">
        <v>39350.63888888889</v>
      </c>
      <c r="J35" s="425">
        <f t="shared" si="1"/>
        <v>5.850000000034925</v>
      </c>
      <c r="K35" s="426">
        <f t="shared" si="2"/>
        <v>351</v>
      </c>
      <c r="L35" s="266" t="s">
        <v>109</v>
      </c>
      <c r="M35" s="156" t="str">
        <f t="shared" si="3"/>
        <v>--</v>
      </c>
      <c r="N35" s="427">
        <f t="shared" si="4"/>
        <v>40</v>
      </c>
      <c r="O35" s="428">
        <f t="shared" si="5"/>
        <v>918.5435999999999</v>
      </c>
      <c r="P35" s="429" t="str">
        <f t="shared" si="6"/>
        <v>--</v>
      </c>
      <c r="Q35" s="430" t="str">
        <f t="shared" si="7"/>
        <v>--</v>
      </c>
      <c r="R35" s="163" t="str">
        <f t="shared" si="8"/>
        <v>--</v>
      </c>
      <c r="S35" s="156" t="str">
        <f t="shared" si="9"/>
        <v>SI</v>
      </c>
      <c r="T35" s="431">
        <v>0</v>
      </c>
      <c r="U35" s="431">
        <f t="shared" si="11"/>
        <v>0</v>
      </c>
      <c r="V35" s="6"/>
    </row>
    <row r="36" spans="2:22" s="5" customFormat="1" ht="16.5" customHeight="1">
      <c r="B36" s="51"/>
      <c r="C36" s="326">
        <v>59</v>
      </c>
      <c r="D36" s="422" t="s">
        <v>168</v>
      </c>
      <c r="E36" s="422" t="s">
        <v>169</v>
      </c>
      <c r="F36" s="423">
        <v>500</v>
      </c>
      <c r="G36" s="138">
        <f t="shared" si="0"/>
        <v>49.065</v>
      </c>
      <c r="H36" s="424">
        <v>39350.58125</v>
      </c>
      <c r="I36" s="154">
        <v>39353.70972222222</v>
      </c>
      <c r="J36" s="425">
        <f t="shared" si="1"/>
        <v>75.08333333325572</v>
      </c>
      <c r="K36" s="426">
        <f t="shared" si="2"/>
        <v>4505</v>
      </c>
      <c r="L36" s="266" t="s">
        <v>109</v>
      </c>
      <c r="M36" s="156" t="str">
        <f t="shared" si="3"/>
        <v>--</v>
      </c>
      <c r="N36" s="427">
        <f t="shared" si="4"/>
        <v>200</v>
      </c>
      <c r="O36" s="428">
        <f t="shared" si="5"/>
        <v>73676.004</v>
      </c>
      <c r="P36" s="429" t="str">
        <f t="shared" si="6"/>
        <v>--</v>
      </c>
      <c r="Q36" s="430" t="str">
        <f t="shared" si="7"/>
        <v>--</v>
      </c>
      <c r="R36" s="163" t="str">
        <f t="shared" si="8"/>
        <v>--</v>
      </c>
      <c r="S36" s="156" t="str">
        <f t="shared" si="9"/>
        <v>SI</v>
      </c>
      <c r="T36" s="431">
        <f t="shared" si="10"/>
        <v>73676.004</v>
      </c>
      <c r="U36" s="431">
        <f t="shared" si="11"/>
        <v>47943.94701912219</v>
      </c>
      <c r="V36" s="6"/>
    </row>
    <row r="37" spans="2:22" s="5" customFormat="1" ht="16.5" customHeight="1">
      <c r="B37" s="51"/>
      <c r="C37" s="326">
        <v>60</v>
      </c>
      <c r="D37" s="422" t="s">
        <v>170</v>
      </c>
      <c r="E37" s="422" t="s">
        <v>146</v>
      </c>
      <c r="F37" s="423">
        <v>500</v>
      </c>
      <c r="G37" s="138">
        <f t="shared" si="0"/>
        <v>49.065</v>
      </c>
      <c r="H37" s="424">
        <v>39352.356944444444</v>
      </c>
      <c r="I37" s="154">
        <v>39352.77361111111</v>
      </c>
      <c r="J37" s="425">
        <f t="shared" si="1"/>
        <v>9.999999999941792</v>
      </c>
      <c r="K37" s="426">
        <f t="shared" si="2"/>
        <v>600</v>
      </c>
      <c r="L37" s="266" t="s">
        <v>109</v>
      </c>
      <c r="M37" s="156" t="str">
        <f t="shared" si="3"/>
        <v>--</v>
      </c>
      <c r="N37" s="427">
        <f t="shared" si="4"/>
        <v>200</v>
      </c>
      <c r="O37" s="428">
        <f t="shared" si="5"/>
        <v>9813</v>
      </c>
      <c r="P37" s="429" t="str">
        <f t="shared" si="6"/>
        <v>--</v>
      </c>
      <c r="Q37" s="430" t="str">
        <f t="shared" si="7"/>
        <v>--</v>
      </c>
      <c r="R37" s="163" t="str">
        <f t="shared" si="8"/>
        <v>--</v>
      </c>
      <c r="S37" s="156" t="str">
        <f t="shared" si="9"/>
        <v>SI</v>
      </c>
      <c r="T37" s="431">
        <v>0</v>
      </c>
      <c r="U37" s="431">
        <f t="shared" si="11"/>
        <v>0</v>
      </c>
      <c r="V37" s="6"/>
    </row>
    <row r="38" spans="2:22" s="5" customFormat="1" ht="16.5" customHeight="1">
      <c r="B38" s="51"/>
      <c r="C38" s="326">
        <v>61</v>
      </c>
      <c r="D38" s="422" t="s">
        <v>143</v>
      </c>
      <c r="E38" s="422" t="s">
        <v>171</v>
      </c>
      <c r="F38" s="423">
        <v>132</v>
      </c>
      <c r="G38" s="138">
        <f t="shared" si="0"/>
        <v>39.254</v>
      </c>
      <c r="H38" s="424">
        <v>39355.30138888889</v>
      </c>
      <c r="I38" s="154">
        <v>39355.64722222222</v>
      </c>
      <c r="J38" s="425">
        <f t="shared" si="1"/>
        <v>8.299999999988358</v>
      </c>
      <c r="K38" s="426">
        <f t="shared" si="2"/>
        <v>498</v>
      </c>
      <c r="L38" s="266" t="s">
        <v>109</v>
      </c>
      <c r="M38" s="156" t="str">
        <f t="shared" si="3"/>
        <v>--</v>
      </c>
      <c r="N38" s="427">
        <f t="shared" si="4"/>
        <v>40</v>
      </c>
      <c r="O38" s="428">
        <f t="shared" si="5"/>
        <v>1303.2328</v>
      </c>
      <c r="P38" s="429" t="str">
        <f t="shared" si="6"/>
        <v>--</v>
      </c>
      <c r="Q38" s="430" t="str">
        <f t="shared" si="7"/>
        <v>--</v>
      </c>
      <c r="R38" s="163" t="str">
        <f t="shared" si="8"/>
        <v>--</v>
      </c>
      <c r="S38" s="156" t="str">
        <f t="shared" si="9"/>
        <v>SI</v>
      </c>
      <c r="T38" s="431">
        <f t="shared" si="10"/>
        <v>1303.2328</v>
      </c>
      <c r="U38" s="431">
        <f t="shared" si="11"/>
        <v>848.0661399169026</v>
      </c>
      <c r="V38" s="6"/>
    </row>
    <row r="39" spans="2:22" s="5" customFormat="1" ht="16.5" customHeight="1">
      <c r="B39" s="51"/>
      <c r="C39" s="326">
        <v>62</v>
      </c>
      <c r="D39" s="422" t="s">
        <v>133</v>
      </c>
      <c r="E39" s="422" t="s">
        <v>172</v>
      </c>
      <c r="F39" s="423">
        <v>132</v>
      </c>
      <c r="G39" s="138">
        <f t="shared" si="0"/>
        <v>39.254</v>
      </c>
      <c r="H39" s="424">
        <v>39355.30625</v>
      </c>
      <c r="I39" s="154">
        <v>39355.62430555555</v>
      </c>
      <c r="J39" s="425">
        <f t="shared" si="1"/>
        <v>7.633333333244082</v>
      </c>
      <c r="K39" s="426">
        <f t="shared" si="2"/>
        <v>458</v>
      </c>
      <c r="L39" s="266" t="s">
        <v>109</v>
      </c>
      <c r="M39" s="156" t="str">
        <f t="shared" si="3"/>
        <v>--</v>
      </c>
      <c r="N39" s="427">
        <f t="shared" si="4"/>
        <v>40</v>
      </c>
      <c r="O39" s="428">
        <f t="shared" si="5"/>
        <v>1198.03208</v>
      </c>
      <c r="P39" s="429" t="str">
        <f t="shared" si="6"/>
        <v>--</v>
      </c>
      <c r="Q39" s="430" t="str">
        <f t="shared" si="7"/>
        <v>--</v>
      </c>
      <c r="R39" s="163" t="str">
        <f t="shared" si="8"/>
        <v>--</v>
      </c>
      <c r="S39" s="156" t="str">
        <f t="shared" si="9"/>
        <v>SI</v>
      </c>
      <c r="T39" s="431">
        <f t="shared" si="10"/>
        <v>1198.03208</v>
      </c>
      <c r="U39" s="431">
        <f t="shared" si="11"/>
        <v>779.6077888633694</v>
      </c>
      <c r="V39" s="6"/>
    </row>
    <row r="40" spans="2:22" s="5" customFormat="1" ht="16.5" customHeight="1">
      <c r="B40" s="51"/>
      <c r="C40" s="326">
        <v>63</v>
      </c>
      <c r="D40" s="422" t="s">
        <v>143</v>
      </c>
      <c r="E40" s="422" t="s">
        <v>144</v>
      </c>
      <c r="F40" s="423">
        <v>132</v>
      </c>
      <c r="G40" s="138">
        <f t="shared" si="0"/>
        <v>39.254</v>
      </c>
      <c r="H40" s="424">
        <v>39355.33263888889</v>
      </c>
      <c r="I40" s="154">
        <v>39355.59305555555</v>
      </c>
      <c r="J40" s="425">
        <f t="shared" si="1"/>
        <v>6.249999999941792</v>
      </c>
      <c r="K40" s="426">
        <f t="shared" si="2"/>
        <v>375</v>
      </c>
      <c r="L40" s="266" t="s">
        <v>109</v>
      </c>
      <c r="M40" s="156" t="str">
        <f t="shared" si="3"/>
        <v>--</v>
      </c>
      <c r="N40" s="427">
        <f t="shared" si="4"/>
        <v>40</v>
      </c>
      <c r="O40" s="428">
        <f t="shared" si="5"/>
        <v>981.35</v>
      </c>
      <c r="P40" s="429" t="str">
        <f t="shared" si="6"/>
        <v>--</v>
      </c>
      <c r="Q40" s="430" t="str">
        <f t="shared" si="7"/>
        <v>--</v>
      </c>
      <c r="R40" s="163" t="str">
        <f t="shared" si="8"/>
        <v>--</v>
      </c>
      <c r="S40" s="156" t="str">
        <f t="shared" si="9"/>
        <v>SI</v>
      </c>
      <c r="T40" s="431">
        <v>0</v>
      </c>
      <c r="U40" s="431">
        <f t="shared" si="11"/>
        <v>0</v>
      </c>
      <c r="V40" s="6"/>
    </row>
    <row r="41" spans="2:22" s="5" customFormat="1" ht="16.5" customHeight="1">
      <c r="B41" s="51"/>
      <c r="C41" s="326"/>
      <c r="D41" s="422"/>
      <c r="E41" s="422"/>
      <c r="F41" s="423"/>
      <c r="G41" s="138">
        <f t="shared" si="0"/>
        <v>39.254</v>
      </c>
      <c r="H41" s="424"/>
      <c r="I41" s="154"/>
      <c r="J41" s="425">
        <f t="shared" si="1"/>
      </c>
      <c r="K41" s="426">
        <f t="shared" si="2"/>
      </c>
      <c r="L41" s="266"/>
      <c r="M41" s="156">
        <f t="shared" si="3"/>
      </c>
      <c r="N41" s="427">
        <f t="shared" si="4"/>
        <v>40</v>
      </c>
      <c r="O41" s="428" t="str">
        <f t="shared" si="5"/>
        <v>--</v>
      </c>
      <c r="P41" s="429" t="str">
        <f t="shared" si="6"/>
        <v>--</v>
      </c>
      <c r="Q41" s="430" t="str">
        <f t="shared" si="7"/>
        <v>--</v>
      </c>
      <c r="R41" s="163" t="str">
        <f t="shared" si="8"/>
        <v>--</v>
      </c>
      <c r="S41" s="156">
        <f t="shared" si="9"/>
      </c>
      <c r="T41" s="431">
        <f t="shared" si="10"/>
      </c>
      <c r="U41" s="431"/>
      <c r="V41" s="6"/>
    </row>
    <row r="42" spans="2:22" s="5" customFormat="1" ht="16.5" customHeight="1">
      <c r="B42" s="51"/>
      <c r="C42" s="159"/>
      <c r="D42" s="422"/>
      <c r="E42" s="422"/>
      <c r="F42" s="423"/>
      <c r="G42" s="138">
        <f t="shared" si="0"/>
        <v>39.254</v>
      </c>
      <c r="H42" s="424"/>
      <c r="I42" s="154"/>
      <c r="J42" s="425">
        <f t="shared" si="1"/>
      </c>
      <c r="K42" s="426">
        <f t="shared" si="2"/>
      </c>
      <c r="L42" s="266"/>
      <c r="M42" s="156">
        <f t="shared" si="3"/>
      </c>
      <c r="N42" s="427">
        <f t="shared" si="4"/>
        <v>40</v>
      </c>
      <c r="O42" s="428" t="str">
        <f t="shared" si="5"/>
        <v>--</v>
      </c>
      <c r="P42" s="429" t="str">
        <f t="shared" si="6"/>
        <v>--</v>
      </c>
      <c r="Q42" s="430" t="str">
        <f t="shared" si="7"/>
        <v>--</v>
      </c>
      <c r="R42" s="163" t="str">
        <f t="shared" si="8"/>
        <v>--</v>
      </c>
      <c r="S42" s="156">
        <f t="shared" si="9"/>
      </c>
      <c r="T42" s="431">
        <f t="shared" si="10"/>
      </c>
      <c r="U42" s="431"/>
      <c r="V42" s="6"/>
    </row>
    <row r="43" spans="2:22" s="5" customFormat="1" ht="16.5" customHeight="1">
      <c r="B43" s="51"/>
      <c r="C43" s="326"/>
      <c r="D43" s="422"/>
      <c r="E43" s="422"/>
      <c r="F43" s="423"/>
      <c r="G43" s="138">
        <f t="shared" si="0"/>
        <v>39.254</v>
      </c>
      <c r="H43" s="424"/>
      <c r="I43" s="154"/>
      <c r="J43" s="425">
        <f t="shared" si="1"/>
      </c>
      <c r="K43" s="426">
        <f t="shared" si="2"/>
      </c>
      <c r="L43" s="266"/>
      <c r="M43" s="156">
        <f t="shared" si="3"/>
      </c>
      <c r="N43" s="427">
        <f t="shared" si="4"/>
        <v>40</v>
      </c>
      <c r="O43" s="428" t="str">
        <f t="shared" si="5"/>
        <v>--</v>
      </c>
      <c r="P43" s="429" t="str">
        <f t="shared" si="6"/>
        <v>--</v>
      </c>
      <c r="Q43" s="430" t="str">
        <f t="shared" si="7"/>
        <v>--</v>
      </c>
      <c r="R43" s="163" t="str">
        <f t="shared" si="8"/>
        <v>--</v>
      </c>
      <c r="S43" s="156">
        <f t="shared" si="9"/>
      </c>
      <c r="T43" s="431">
        <f t="shared" si="10"/>
      </c>
      <c r="U43" s="431"/>
      <c r="V43" s="6"/>
    </row>
    <row r="44" spans="2:22" s="5" customFormat="1" ht="16.5" customHeight="1" thickBot="1">
      <c r="B44" s="51"/>
      <c r="C44" s="159"/>
      <c r="D44" s="150"/>
      <c r="E44" s="150"/>
      <c r="F44" s="274"/>
      <c r="G44" s="139"/>
      <c r="H44" s="432"/>
      <c r="I44" s="432"/>
      <c r="J44" s="433"/>
      <c r="K44" s="433"/>
      <c r="L44" s="432"/>
      <c r="M44" s="155"/>
      <c r="N44" s="434"/>
      <c r="O44" s="435"/>
      <c r="P44" s="436"/>
      <c r="Q44" s="437"/>
      <c r="R44" s="165"/>
      <c r="S44" s="155"/>
      <c r="T44" s="438"/>
      <c r="U44" s="438"/>
      <c r="V44" s="6"/>
    </row>
    <row r="45" spans="2:22" s="5" customFormat="1" ht="16.5" customHeight="1" thickBot="1" thickTop="1">
      <c r="B45" s="51"/>
      <c r="C45" s="129" t="s">
        <v>23</v>
      </c>
      <c r="D45" s="130" t="s">
        <v>193</v>
      </c>
      <c r="E45"/>
      <c r="F45" s="4"/>
      <c r="G45" s="4"/>
      <c r="H45" s="4"/>
      <c r="I45" s="4"/>
      <c r="J45" s="4"/>
      <c r="K45" s="4"/>
      <c r="L45" s="4"/>
      <c r="M45" s="4"/>
      <c r="N45" s="4"/>
      <c r="O45" s="439">
        <f>SUM(O22:O44)</f>
        <v>109369.69532000001</v>
      </c>
      <c r="P45" s="440">
        <f>SUM(P22:P44)</f>
        <v>0</v>
      </c>
      <c r="Q45" s="441">
        <f>SUM(Q22:Q44)</f>
        <v>0</v>
      </c>
      <c r="R45" s="442">
        <f>SUM(R22:R44)</f>
        <v>0</v>
      </c>
      <c r="S45" s="443"/>
      <c r="T45" s="100">
        <f>ROUND(SUM(T22:T44),2)</f>
        <v>121016.6</v>
      </c>
      <c r="U45" s="100">
        <f>SUM(U22:U40)</f>
        <v>78750.38079721914</v>
      </c>
      <c r="V45" s="6"/>
    </row>
    <row r="46" spans="2:22" s="135" customFormat="1" ht="13.5" thickTop="1">
      <c r="B46" s="134"/>
      <c r="C46" s="131"/>
      <c r="D46" s="132"/>
      <c r="E46"/>
      <c r="F46" s="133"/>
      <c r="G46" s="133"/>
      <c r="H46" s="133"/>
      <c r="I46" s="133"/>
      <c r="J46" s="133"/>
      <c r="K46" s="133"/>
      <c r="L46" s="133"/>
      <c r="M46" s="133"/>
      <c r="N46" s="133"/>
      <c r="O46" s="374"/>
      <c r="P46" s="374"/>
      <c r="Q46" s="374"/>
      <c r="R46" s="374"/>
      <c r="S46" s="374"/>
      <c r="T46" s="237"/>
      <c r="U46" s="237"/>
      <c r="V46" s="444"/>
    </row>
    <row r="47" spans="2:22" s="5" customFormat="1" ht="16.5" customHeight="1" thickBot="1">
      <c r="B47" s="75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</row>
    <row r="48" spans="22:24" ht="16.5" customHeight="1" thickTop="1">
      <c r="V48" s="180"/>
      <c r="W48" s="180"/>
      <c r="X48" s="180"/>
    </row>
    <row r="49" spans="22:24" ht="16.5" customHeight="1">
      <c r="V49" s="180"/>
      <c r="W49" s="180"/>
      <c r="X49" s="180"/>
    </row>
    <row r="50" spans="22:24" ht="16.5" customHeight="1">
      <c r="V50" s="180"/>
      <c r="W50" s="180"/>
      <c r="X50" s="180"/>
    </row>
    <row r="51" spans="22:24" ht="16.5" customHeight="1">
      <c r="V51" s="180"/>
      <c r="W51" s="180"/>
      <c r="X51" s="180"/>
    </row>
    <row r="52" spans="22:24" ht="16.5" customHeight="1">
      <c r="V52" s="180"/>
      <c r="W52" s="180"/>
      <c r="X52" s="180"/>
    </row>
    <row r="53" spans="4:24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</row>
    <row r="54" spans="4:24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</row>
    <row r="55" spans="4:24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18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</row>
    <row r="56" spans="4:24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</row>
    <row r="57" spans="4:24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</row>
    <row r="58" spans="4:24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18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</row>
    <row r="59" spans="4:24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</row>
    <row r="60" spans="4:24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</row>
    <row r="61" spans="4:24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</row>
    <row r="62" spans="4:24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</row>
    <row r="63" spans="4:24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</row>
    <row r="64" spans="4:24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</row>
    <row r="65" spans="4:24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</row>
    <row r="66" spans="4:24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</row>
    <row r="67" spans="4:24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</row>
    <row r="68" spans="4:24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</row>
    <row r="69" spans="4:24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</row>
    <row r="70" spans="4:24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</row>
    <row r="71" spans="4:24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</row>
    <row r="72" spans="4:24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</row>
    <row r="73" spans="4:24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</row>
    <row r="74" spans="4:24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</row>
    <row r="75" spans="4:24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</row>
    <row r="76" spans="4:24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</row>
    <row r="77" spans="4:24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</row>
    <row r="78" spans="4:24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</row>
    <row r="79" spans="4:24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</row>
    <row r="80" spans="4:24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</row>
    <row r="81" spans="4:24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</row>
    <row r="82" spans="4:24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</row>
    <row r="83" spans="4:24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</row>
    <row r="84" spans="4:24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</row>
    <row r="85" spans="4:24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</row>
    <row r="86" spans="4:24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</row>
    <row r="87" spans="4:24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</row>
    <row r="88" spans="4:24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</row>
    <row r="89" spans="4:24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</row>
    <row r="90" spans="4:24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</row>
    <row r="91" spans="4:24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</row>
    <row r="92" spans="4:24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</row>
    <row r="93" spans="4:24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</row>
    <row r="94" spans="4:24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</row>
    <row r="95" spans="4:24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</row>
    <row r="96" spans="4:24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</row>
    <row r="97" spans="4:24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</row>
    <row r="98" spans="4:24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</row>
    <row r="99" spans="4:24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</row>
    <row r="100" spans="4:24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</row>
    <row r="101" spans="4:24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</row>
    <row r="102" spans="4:24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</row>
    <row r="103" spans="4:24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</row>
    <row r="104" spans="4:24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</row>
    <row r="105" spans="4:24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</row>
    <row r="106" spans="4:24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</row>
    <row r="107" spans="4:24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</row>
    <row r="108" spans="4:24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</row>
    <row r="109" spans="4:24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</row>
    <row r="110" spans="4:24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</row>
    <row r="111" spans="4:24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</row>
    <row r="112" spans="4:24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</row>
    <row r="113" spans="4:24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</row>
    <row r="114" spans="4:24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</row>
    <row r="115" spans="4:24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</row>
    <row r="116" spans="4:24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</row>
    <row r="117" spans="4:24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</row>
    <row r="118" spans="4:24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</row>
    <row r="119" spans="4:24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</row>
    <row r="120" spans="4:24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</row>
    <row r="121" spans="4:24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</row>
    <row r="122" spans="4:24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</row>
    <row r="123" spans="4:24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</row>
    <row r="124" spans="4:24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</row>
    <row r="125" spans="4:24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</row>
    <row r="126" spans="4:24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</row>
    <row r="127" spans="4:24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</row>
    <row r="128" spans="4:24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</row>
    <row r="129" spans="4:24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</row>
    <row r="130" spans="4:24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</row>
    <row r="131" spans="4:24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</row>
    <row r="132" spans="4:24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</row>
    <row r="133" spans="4:24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</row>
    <row r="134" spans="4:24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</row>
    <row r="135" spans="4:24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</row>
    <row r="136" spans="4:24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</row>
    <row r="137" spans="4:24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</row>
    <row r="138" spans="4:24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</row>
    <row r="139" spans="4:24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</row>
    <row r="140" spans="4:24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</row>
    <row r="141" spans="4:24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</row>
    <row r="142" spans="4:24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</row>
    <row r="143" spans="4:24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</row>
    <row r="144" spans="4:24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</row>
    <row r="145" spans="4:24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</row>
    <row r="146" spans="4:24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</row>
    <row r="147" spans="4:24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</row>
    <row r="148" spans="4:24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</row>
    <row r="149" spans="4:24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</row>
    <row r="150" spans="4:24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</row>
    <row r="151" spans="4:24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</row>
    <row r="152" spans="4:24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</row>
    <row r="153" spans="4:24" ht="16.5" customHeight="1"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</row>
    <row r="154" spans="4:24" ht="16.5" customHeight="1"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</row>
    <row r="155" spans="4:24" ht="16.5" customHeight="1"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</row>
    <row r="156" spans="4:24" ht="16.5" customHeight="1"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</row>
    <row r="157" spans="4:24" ht="16.5" customHeight="1"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</row>
    <row r="158" spans="4:24" ht="16.5" customHeight="1"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</row>
    <row r="159" spans="4:24" ht="16.5" customHeight="1"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</row>
    <row r="160" spans="4:24" ht="16.5" customHeight="1"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8" r:id="rId2"/>
  <headerFooter alignWithMargins="0">
    <oddFooter>&amp;L&amp;"Times New Roman,Normal"&amp;8&amp;F-&amp;A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36">
    <pageSetUpPr fitToPage="1"/>
  </sheetPr>
  <dimension ref="A1:Z157"/>
  <sheetViews>
    <sheetView zoomScale="75" zoomScaleNormal="75" workbookViewId="0" topLeftCell="B1">
      <selection activeCell="B3" sqref="B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1" width="9.7109375" style="0" customWidth="1"/>
    <col min="12" max="12" width="10.8515625" style="0" customWidth="1"/>
    <col min="13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20" width="15.140625" style="0" hidden="1" customWidth="1"/>
    <col min="21" max="21" width="9.7109375" style="0" customWidth="1"/>
    <col min="22" max="24" width="15.7109375" style="0" customWidth="1"/>
  </cols>
  <sheetData>
    <row r="1" s="19" customFormat="1" ht="26.25">
      <c r="X1" s="147"/>
    </row>
    <row r="2" spans="1:24" s="19" customFormat="1" ht="26.25">
      <c r="A2" s="90"/>
      <c r="B2" s="445" t="str">
        <f>+'TOT-0907'!B2</f>
        <v>ANEXO V al Memorandum D.T.E.E. N°  719/2011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</row>
    <row r="3" s="5" customFormat="1" ht="12.75">
      <c r="A3" s="89"/>
    </row>
    <row r="4" spans="1:2" s="26" customFormat="1" ht="11.25">
      <c r="A4" s="24" t="s">
        <v>1</v>
      </c>
      <c r="B4" s="126"/>
    </row>
    <row r="5" spans="1:2" s="26" customFormat="1" ht="11.25">
      <c r="A5" s="24" t="s">
        <v>2</v>
      </c>
      <c r="B5" s="126"/>
    </row>
    <row r="6" s="5" customFormat="1" ht="13.5" thickBot="1"/>
    <row r="7" spans="2:24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2:24" s="30" customFormat="1" ht="20.25">
      <c r="B8" s="80"/>
      <c r="D8" s="179" t="s">
        <v>69</v>
      </c>
      <c r="E8" s="446"/>
      <c r="F8" s="176"/>
      <c r="G8" s="175"/>
      <c r="H8" s="175"/>
      <c r="I8" s="175"/>
      <c r="J8" s="175"/>
      <c r="K8" s="175"/>
      <c r="L8" s="175"/>
      <c r="M8" s="175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447"/>
    </row>
    <row r="9" spans="2:24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2:24" s="30" customFormat="1" ht="20.25">
      <c r="B10" s="80"/>
      <c r="D10" s="11" t="s">
        <v>70</v>
      </c>
      <c r="F10" s="448"/>
      <c r="G10" s="82"/>
      <c r="H10" s="82"/>
      <c r="I10" s="82"/>
      <c r="J10" s="82"/>
      <c r="K10" s="82"/>
      <c r="L10" s="82"/>
      <c r="M10" s="82"/>
      <c r="N10" s="82"/>
      <c r="O10" s="82"/>
      <c r="P10" s="31"/>
      <c r="Q10" s="31"/>
      <c r="R10" s="31"/>
      <c r="S10" s="31"/>
      <c r="T10" s="31"/>
      <c r="U10" s="31"/>
      <c r="V10" s="31"/>
      <c r="W10" s="31"/>
      <c r="X10" s="81"/>
    </row>
    <row r="11" spans="2:24" s="5" customFormat="1" ht="16.5" customHeight="1">
      <c r="B11" s="51"/>
      <c r="C11" s="4"/>
      <c r="D11" s="79"/>
      <c r="F11" s="32"/>
      <c r="G11" s="73"/>
      <c r="H11" s="73"/>
      <c r="I11" s="73"/>
      <c r="J11" s="73"/>
      <c r="K11" s="73"/>
      <c r="L11" s="73"/>
      <c r="M11" s="73"/>
      <c r="N11" s="73"/>
      <c r="O11" s="73"/>
      <c r="P11" s="4"/>
      <c r="Q11" s="4"/>
      <c r="R11" s="4"/>
      <c r="S11" s="4"/>
      <c r="T11" s="4"/>
      <c r="U11" s="4"/>
      <c r="V11" s="4"/>
      <c r="W11" s="4"/>
      <c r="X11" s="6"/>
    </row>
    <row r="12" spans="2:24" s="30" customFormat="1" ht="20.25">
      <c r="B12" s="80"/>
      <c r="D12" s="11" t="s">
        <v>71</v>
      </c>
      <c r="F12" s="448"/>
      <c r="G12" s="82"/>
      <c r="H12" s="82"/>
      <c r="I12" s="82"/>
      <c r="J12" s="82"/>
      <c r="K12" s="82"/>
      <c r="L12" s="82"/>
      <c r="M12" s="82"/>
      <c r="N12" s="82"/>
      <c r="O12" s="82"/>
      <c r="P12" s="31"/>
      <c r="Q12" s="31"/>
      <c r="R12" s="31"/>
      <c r="S12" s="31"/>
      <c r="T12" s="31"/>
      <c r="U12" s="31"/>
      <c r="V12" s="31"/>
      <c r="W12" s="31"/>
      <c r="X12" s="81"/>
    </row>
    <row r="13" spans="2:24" s="5" customFormat="1" ht="16.5" customHeight="1">
      <c r="B13" s="51"/>
      <c r="C13" s="4"/>
      <c r="D13" s="79"/>
      <c r="F13" s="32"/>
      <c r="G13" s="73"/>
      <c r="H13" s="73"/>
      <c r="I13" s="73"/>
      <c r="J13" s="73"/>
      <c r="K13" s="73"/>
      <c r="L13" s="73"/>
      <c r="M13" s="73"/>
      <c r="N13" s="73"/>
      <c r="O13" s="73"/>
      <c r="P13" s="4"/>
      <c r="Q13" s="4"/>
      <c r="R13" s="4"/>
      <c r="S13" s="4"/>
      <c r="T13" s="4"/>
      <c r="U13" s="4"/>
      <c r="V13" s="4"/>
      <c r="W13" s="4"/>
      <c r="X13" s="6"/>
    </row>
    <row r="14" spans="2:24" s="37" customFormat="1" ht="16.5" customHeight="1">
      <c r="B14" s="38" t="str">
        <f>'[1]TOT-0907'!B14</f>
        <v>Desde el 01 al 30 de septiembre de 2007</v>
      </c>
      <c r="C14" s="449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49"/>
      <c r="Q14" s="449"/>
      <c r="R14" s="449"/>
      <c r="S14" s="449"/>
      <c r="T14" s="449"/>
      <c r="U14" s="449"/>
      <c r="V14" s="449"/>
      <c r="W14" s="449"/>
      <c r="X14" s="451"/>
    </row>
    <row r="15" spans="2:24" s="5" customFormat="1" ht="16.5" customHeight="1" thickBot="1">
      <c r="B15" s="51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6"/>
    </row>
    <row r="16" spans="2:24" s="5" customFormat="1" ht="16.5" customHeight="1" thickBot="1" thickTop="1">
      <c r="B16" s="51"/>
      <c r="C16" s="4"/>
      <c r="D16" s="118" t="s">
        <v>60</v>
      </c>
      <c r="E16" s="452"/>
      <c r="F16" s="728">
        <v>0.245</v>
      </c>
      <c r="G16" s="38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2:24" s="5" customFormat="1" ht="16.5" customHeight="1" thickBot="1" thickTop="1">
      <c r="B17" s="51"/>
      <c r="C17" s="4"/>
      <c r="D17" s="453" t="s">
        <v>25</v>
      </c>
      <c r="E17" s="454"/>
      <c r="F17" s="729">
        <v>20</v>
      </c>
      <c r="G17" s="387"/>
      <c r="H17"/>
      <c r="I17" s="249"/>
      <c r="J17" s="250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6"/>
    </row>
    <row r="18" spans="2:24" s="5" customFormat="1" ht="16.5" customHeight="1" thickBot="1" thickTop="1">
      <c r="B18" s="51"/>
      <c r="C18" s="67"/>
      <c r="D18" s="455"/>
      <c r="E18" s="456"/>
      <c r="F18" s="456"/>
      <c r="G18" s="227"/>
      <c r="H18" s="227"/>
      <c r="I18" s="227"/>
      <c r="J18" s="227"/>
      <c r="K18" s="227"/>
      <c r="L18" s="227"/>
      <c r="M18" s="227"/>
      <c r="N18" s="227"/>
      <c r="O18" s="457"/>
      <c r="P18" s="458"/>
      <c r="Q18" s="459"/>
      <c r="R18" s="459"/>
      <c r="S18" s="459"/>
      <c r="T18" s="459"/>
      <c r="U18" s="460"/>
      <c r="V18" s="461"/>
      <c r="W18" s="461"/>
      <c r="X18" s="6"/>
    </row>
    <row r="19" spans="2:24" s="5" customFormat="1" ht="33.75" customHeight="1" thickBot="1" thickTop="1">
      <c r="B19" s="51"/>
      <c r="C19" s="85" t="s">
        <v>12</v>
      </c>
      <c r="D19" s="87" t="s">
        <v>26</v>
      </c>
      <c r="E19" s="86" t="s">
        <v>27</v>
      </c>
      <c r="F19" s="462" t="s">
        <v>28</v>
      </c>
      <c r="G19" s="137" t="s">
        <v>15</v>
      </c>
      <c r="H19" s="86" t="s">
        <v>16</v>
      </c>
      <c r="I19" s="86" t="s">
        <v>17</v>
      </c>
      <c r="J19" s="87" t="s">
        <v>35</v>
      </c>
      <c r="K19" s="87" t="s">
        <v>30</v>
      </c>
      <c r="L19" s="88" t="s">
        <v>18</v>
      </c>
      <c r="M19" s="88" t="s">
        <v>43</v>
      </c>
      <c r="N19" s="86" t="s">
        <v>31</v>
      </c>
      <c r="O19" s="137" t="s">
        <v>36</v>
      </c>
      <c r="P19" s="463" t="s">
        <v>54</v>
      </c>
      <c r="Q19" s="464" t="s">
        <v>72</v>
      </c>
      <c r="R19" s="465"/>
      <c r="S19" s="466" t="s">
        <v>21</v>
      </c>
      <c r="T19" s="307" t="s">
        <v>20</v>
      </c>
      <c r="U19" s="140" t="s">
        <v>58</v>
      </c>
      <c r="V19" s="467" t="s">
        <v>22</v>
      </c>
      <c r="W19" s="467" t="s">
        <v>211</v>
      </c>
      <c r="X19" s="6"/>
    </row>
    <row r="20" spans="2:25" s="5" customFormat="1" ht="16.5" customHeight="1" thickTop="1">
      <c r="B20" s="51"/>
      <c r="C20" s="468"/>
      <c r="D20" s="469"/>
      <c r="E20" s="469"/>
      <c r="F20" s="469"/>
      <c r="G20" s="376"/>
      <c r="H20" s="470"/>
      <c r="I20" s="470"/>
      <c r="J20" s="468"/>
      <c r="K20" s="468"/>
      <c r="L20" s="210"/>
      <c r="M20" s="7"/>
      <c r="N20" s="468"/>
      <c r="O20" s="471"/>
      <c r="P20" s="472"/>
      <c r="Q20" s="753"/>
      <c r="R20" s="754"/>
      <c r="S20" s="475"/>
      <c r="T20" s="475"/>
      <c r="U20" s="476"/>
      <c r="V20" s="477"/>
      <c r="W20" s="477"/>
      <c r="X20" s="6"/>
      <c r="Y20" s="756">
        <v>0.3492596718583952</v>
      </c>
    </row>
    <row r="21" spans="2:24" s="5" customFormat="1" ht="16.5" customHeight="1">
      <c r="B21" s="51"/>
      <c r="C21" s="159">
        <v>64</v>
      </c>
      <c r="D21" s="578" t="s">
        <v>122</v>
      </c>
      <c r="E21" s="748" t="s">
        <v>173</v>
      </c>
      <c r="F21" s="149">
        <v>245</v>
      </c>
      <c r="G21" s="330">
        <f aca="true" t="shared" si="0" ref="G21:G40">F21*$F$16</f>
        <v>60.025</v>
      </c>
      <c r="H21" s="482">
        <v>39326</v>
      </c>
      <c r="I21" s="483">
        <v>39330.270833333336</v>
      </c>
      <c r="J21" s="425">
        <f aca="true" t="shared" si="1" ref="J21:J40">IF(D21="","",(I21-H21)*24)</f>
        <v>102.50000000005821</v>
      </c>
      <c r="K21" s="426">
        <f aca="true" t="shared" si="2" ref="K21:K40">IF(D21="","",ROUND((I21-H21)*24*60,0))</f>
        <v>6150</v>
      </c>
      <c r="L21" s="267" t="s">
        <v>109</v>
      </c>
      <c r="M21" s="212">
        <v>95.92</v>
      </c>
      <c r="N21" s="377" t="str">
        <f>IF(D21="","",IF(OR(L21="P",L21="RP"),"--","NO"))</f>
        <v>--</v>
      </c>
      <c r="O21" s="755">
        <f aca="true" t="shared" si="3" ref="O21:O40">IF(OR(L21="P",L21="RP"),$F$17/10,$F$17)</f>
        <v>2</v>
      </c>
      <c r="P21" s="757">
        <f aca="true" t="shared" si="4" ref="P21:P40">IF(L21="P",G21*O21*ROUND(K21/60,2),"--")</f>
        <v>12305.125</v>
      </c>
      <c r="Q21" s="494" t="str">
        <f aca="true" t="shared" si="5" ref="Q21:Q40">IF(AND(L21="F",N21="NO"),G21*O21,"--")</f>
        <v>--</v>
      </c>
      <c r="R21" s="495" t="str">
        <f aca="true" t="shared" si="6" ref="R21:R40">IF(L21="F",G21*O21*ROUND(K21/60,2),"--")</f>
        <v>--</v>
      </c>
      <c r="S21" s="496" t="str">
        <f aca="true" t="shared" si="7" ref="S21:S40">IF(L21="RF",G21*O21*ROUND(K21/60,2),"--")</f>
        <v>--</v>
      </c>
      <c r="T21" s="758"/>
      <c r="U21" s="377" t="str">
        <f aca="true" t="shared" si="8" ref="U21:U40">IF(D21="","","SI")</f>
        <v>SI</v>
      </c>
      <c r="V21" s="378">
        <f>IF(D21="","",SUM(P21:T21)*IF(U21="SI",1,2))*M21/100</f>
        <v>11803.075900000002</v>
      </c>
      <c r="W21" s="378">
        <f>V21*(1-$Y$20)</f>
        <v>7680.73748424627</v>
      </c>
      <c r="X21" s="6"/>
    </row>
    <row r="22" spans="2:24" s="5" customFormat="1" ht="16.5" customHeight="1">
      <c r="B22" s="51"/>
      <c r="C22" s="326">
        <v>65</v>
      </c>
      <c r="D22" s="578" t="s">
        <v>143</v>
      </c>
      <c r="E22" s="748" t="s">
        <v>186</v>
      </c>
      <c r="F22" s="149">
        <v>25</v>
      </c>
      <c r="G22" s="330">
        <f t="shared" si="0"/>
        <v>6.125</v>
      </c>
      <c r="H22" s="482">
        <v>39328.40833333333</v>
      </c>
      <c r="I22" s="483">
        <v>39328.61597222222</v>
      </c>
      <c r="J22" s="425">
        <f t="shared" si="1"/>
        <v>4.983333333337214</v>
      </c>
      <c r="K22" s="426">
        <f t="shared" si="2"/>
        <v>299</v>
      </c>
      <c r="L22" s="267" t="s">
        <v>117</v>
      </c>
      <c r="M22" s="212" t="str">
        <f>IF(D22="","","--")</f>
        <v>--</v>
      </c>
      <c r="N22" s="156" t="s">
        <v>110</v>
      </c>
      <c r="O22" s="492">
        <f t="shared" si="3"/>
        <v>20</v>
      </c>
      <c r="P22" s="493" t="str">
        <f t="shared" si="4"/>
        <v>--</v>
      </c>
      <c r="Q22" s="494" t="str">
        <f t="shared" si="5"/>
        <v>--</v>
      </c>
      <c r="R22" s="495">
        <f t="shared" si="6"/>
        <v>610.0500000000001</v>
      </c>
      <c r="S22" s="496" t="str">
        <f t="shared" si="7"/>
        <v>--</v>
      </c>
      <c r="T22" s="334"/>
      <c r="U22" s="156" t="str">
        <f t="shared" si="8"/>
        <v>SI</v>
      </c>
      <c r="V22" s="431">
        <f>IF(D22="","",SUM(P22:T22)*IF(U22="SI",1,2))</f>
        <v>610.0500000000001</v>
      </c>
      <c r="W22" s="378">
        <f aca="true" t="shared" si="9" ref="W22:W40">V22*(1-$Y$20)</f>
        <v>396.98413718278607</v>
      </c>
      <c r="X22" s="6"/>
    </row>
    <row r="23" spans="2:24" s="5" customFormat="1" ht="16.5" customHeight="1">
      <c r="B23" s="51"/>
      <c r="C23" s="326">
        <v>66</v>
      </c>
      <c r="D23" s="578" t="s">
        <v>122</v>
      </c>
      <c r="E23" s="748" t="s">
        <v>173</v>
      </c>
      <c r="F23" s="149">
        <v>245</v>
      </c>
      <c r="G23" s="330">
        <f t="shared" si="0"/>
        <v>60.025</v>
      </c>
      <c r="H23" s="482">
        <v>39330.271527777775</v>
      </c>
      <c r="I23" s="483">
        <v>39330.75277777778</v>
      </c>
      <c r="J23" s="425">
        <f t="shared" si="1"/>
        <v>11.550000000104774</v>
      </c>
      <c r="K23" s="426">
        <f t="shared" si="2"/>
        <v>693</v>
      </c>
      <c r="L23" s="267" t="s">
        <v>109</v>
      </c>
      <c r="M23" s="212" t="str">
        <f>IF(D23="","","--")</f>
        <v>--</v>
      </c>
      <c r="N23" s="156" t="str">
        <f aca="true" t="shared" si="10" ref="N23:N40">IF(D23="","",IF(OR(L23="P",L23="RP"),"--","NO"))</f>
        <v>--</v>
      </c>
      <c r="O23" s="492">
        <f t="shared" si="3"/>
        <v>2</v>
      </c>
      <c r="P23" s="493">
        <f t="shared" si="4"/>
        <v>1386.5775</v>
      </c>
      <c r="Q23" s="494" t="str">
        <f t="shared" si="5"/>
        <v>--</v>
      </c>
      <c r="R23" s="495" t="str">
        <f t="shared" si="6"/>
        <v>--</v>
      </c>
      <c r="S23" s="496" t="str">
        <f t="shared" si="7"/>
        <v>--</v>
      </c>
      <c r="T23" s="334"/>
      <c r="U23" s="156" t="str">
        <f t="shared" si="8"/>
        <v>SI</v>
      </c>
      <c r="V23" s="431">
        <f>IF(D23="","",SUM(P23:T23)*IF(U23="SI",1,2))</f>
        <v>1386.5775</v>
      </c>
      <c r="W23" s="378">
        <f t="shared" si="9"/>
        <v>902.3018973437662</v>
      </c>
      <c r="X23" s="497"/>
    </row>
    <row r="24" spans="2:24" s="5" customFormat="1" ht="16.5" customHeight="1">
      <c r="B24" s="51"/>
      <c r="C24" s="326">
        <v>67</v>
      </c>
      <c r="D24" s="578" t="s">
        <v>185</v>
      </c>
      <c r="E24" s="748" t="s">
        <v>181</v>
      </c>
      <c r="F24" s="149">
        <v>140</v>
      </c>
      <c r="G24" s="330">
        <f t="shared" si="0"/>
        <v>34.3</v>
      </c>
      <c r="H24" s="482">
        <v>39330.45347222222</v>
      </c>
      <c r="I24" s="483">
        <v>39330.48541666667</v>
      </c>
      <c r="J24" s="425">
        <f t="shared" si="1"/>
        <v>0.7666666667209938</v>
      </c>
      <c r="K24" s="426">
        <f t="shared" si="2"/>
        <v>46</v>
      </c>
      <c r="L24" s="267" t="s">
        <v>117</v>
      </c>
      <c r="M24" s="212" t="str">
        <f>IF(D24="","","--")</f>
        <v>--</v>
      </c>
      <c r="N24" s="156" t="str">
        <f t="shared" si="10"/>
        <v>NO</v>
      </c>
      <c r="O24" s="492">
        <f t="shared" si="3"/>
        <v>20</v>
      </c>
      <c r="P24" s="493" t="str">
        <f t="shared" si="4"/>
        <v>--</v>
      </c>
      <c r="Q24" s="494">
        <f t="shared" si="5"/>
        <v>686</v>
      </c>
      <c r="R24" s="495">
        <f t="shared" si="6"/>
        <v>528.22</v>
      </c>
      <c r="S24" s="496" t="str">
        <f t="shared" si="7"/>
        <v>--</v>
      </c>
      <c r="T24" s="334"/>
      <c r="U24" s="156" t="str">
        <f t="shared" si="8"/>
        <v>SI</v>
      </c>
      <c r="V24" s="431">
        <f>IF(D24="","",SUM(P24:T24)*IF(U24="SI",1,2))</f>
        <v>1214.22</v>
      </c>
      <c r="W24" s="378">
        <f t="shared" si="9"/>
        <v>790.1419212360995</v>
      </c>
      <c r="X24" s="6"/>
    </row>
    <row r="25" spans="2:24" s="5" customFormat="1" ht="16.5" customHeight="1">
      <c r="B25" s="51"/>
      <c r="C25" s="326">
        <v>68</v>
      </c>
      <c r="D25" s="578" t="s">
        <v>122</v>
      </c>
      <c r="E25" s="748" t="s">
        <v>173</v>
      </c>
      <c r="F25" s="149">
        <v>245</v>
      </c>
      <c r="G25" s="330">
        <f t="shared" si="0"/>
        <v>60.025</v>
      </c>
      <c r="H25" s="482">
        <v>39330.75347222222</v>
      </c>
      <c r="I25" s="483">
        <v>39331.354166666664</v>
      </c>
      <c r="J25" s="425">
        <f t="shared" si="1"/>
        <v>14.41666666668607</v>
      </c>
      <c r="K25" s="426">
        <f t="shared" si="2"/>
        <v>865</v>
      </c>
      <c r="L25" s="267" t="s">
        <v>109</v>
      </c>
      <c r="M25" s="212">
        <v>100</v>
      </c>
      <c r="N25" s="156" t="str">
        <f t="shared" si="10"/>
        <v>--</v>
      </c>
      <c r="O25" s="492">
        <f t="shared" si="3"/>
        <v>2</v>
      </c>
      <c r="P25" s="493">
        <f t="shared" si="4"/>
        <v>1731.1209999999999</v>
      </c>
      <c r="Q25" s="494" t="str">
        <f t="shared" si="5"/>
        <v>--</v>
      </c>
      <c r="R25" s="495" t="str">
        <f t="shared" si="6"/>
        <v>--</v>
      </c>
      <c r="S25" s="496" t="str">
        <f t="shared" si="7"/>
        <v>--</v>
      </c>
      <c r="T25" s="334"/>
      <c r="U25" s="156" t="str">
        <f t="shared" si="8"/>
        <v>SI</v>
      </c>
      <c r="V25" s="431">
        <f>IF(D25="","",SUM(P25:T25)*IF(U25="SI",1,2))*M25/100</f>
        <v>1731.1209999999999</v>
      </c>
      <c r="W25" s="378">
        <f t="shared" si="9"/>
        <v>1126.5102475928231</v>
      </c>
      <c r="X25" s="6"/>
    </row>
    <row r="26" spans="2:24" s="5" customFormat="1" ht="16.5" customHeight="1">
      <c r="B26" s="51"/>
      <c r="C26" s="326">
        <v>69</v>
      </c>
      <c r="D26" s="578" t="s">
        <v>122</v>
      </c>
      <c r="E26" s="748" t="s">
        <v>173</v>
      </c>
      <c r="F26" s="149">
        <v>245</v>
      </c>
      <c r="G26" s="330">
        <f t="shared" si="0"/>
        <v>60.025</v>
      </c>
      <c r="H26" s="482">
        <v>39331.35486111111</v>
      </c>
      <c r="I26" s="483">
        <v>39331.44861111111</v>
      </c>
      <c r="J26" s="425">
        <f t="shared" si="1"/>
        <v>2.25</v>
      </c>
      <c r="K26" s="426">
        <f t="shared" si="2"/>
        <v>135</v>
      </c>
      <c r="L26" s="267" t="s">
        <v>109</v>
      </c>
      <c r="M26" s="212" t="str">
        <f>IF(D26="","","--")</f>
        <v>--</v>
      </c>
      <c r="N26" s="156" t="str">
        <f t="shared" si="10"/>
        <v>--</v>
      </c>
      <c r="O26" s="492">
        <f t="shared" si="3"/>
        <v>2</v>
      </c>
      <c r="P26" s="493">
        <f t="shared" si="4"/>
        <v>270.1125</v>
      </c>
      <c r="Q26" s="494" t="str">
        <f t="shared" si="5"/>
        <v>--</v>
      </c>
      <c r="R26" s="495" t="str">
        <f t="shared" si="6"/>
        <v>--</v>
      </c>
      <c r="S26" s="496" t="str">
        <f t="shared" si="7"/>
        <v>--</v>
      </c>
      <c r="T26" s="334"/>
      <c r="U26" s="156" t="str">
        <f t="shared" si="8"/>
        <v>SI</v>
      </c>
      <c r="V26" s="431">
        <f>IF(D26="","",SUM(P26:T26)*IF(U26="SI",1,2))</f>
        <v>270.1125</v>
      </c>
      <c r="W26" s="378">
        <f t="shared" si="9"/>
        <v>175.77309688514924</v>
      </c>
      <c r="X26" s="6"/>
    </row>
    <row r="27" spans="2:24" s="5" customFormat="1" ht="16.5" customHeight="1">
      <c r="B27" s="51"/>
      <c r="C27" s="326">
        <v>70</v>
      </c>
      <c r="D27" s="578" t="s">
        <v>122</v>
      </c>
      <c r="E27" s="748" t="s">
        <v>173</v>
      </c>
      <c r="F27" s="149">
        <v>245</v>
      </c>
      <c r="G27" s="330">
        <f t="shared" si="0"/>
        <v>60.025</v>
      </c>
      <c r="H27" s="482">
        <v>39331.44930555556</v>
      </c>
      <c r="I27" s="483">
        <v>39331.67638888889</v>
      </c>
      <c r="J27" s="425">
        <f t="shared" si="1"/>
        <v>5.449999999953434</v>
      </c>
      <c r="K27" s="426">
        <f t="shared" si="2"/>
        <v>327</v>
      </c>
      <c r="L27" s="267" t="s">
        <v>109</v>
      </c>
      <c r="M27" s="212">
        <v>75.51</v>
      </c>
      <c r="N27" s="156" t="str">
        <f t="shared" si="10"/>
        <v>--</v>
      </c>
      <c r="O27" s="492">
        <f t="shared" si="3"/>
        <v>2</v>
      </c>
      <c r="P27" s="493">
        <f t="shared" si="4"/>
        <v>654.2725</v>
      </c>
      <c r="Q27" s="494" t="str">
        <f t="shared" si="5"/>
        <v>--</v>
      </c>
      <c r="R27" s="495" t="str">
        <f t="shared" si="6"/>
        <v>--</v>
      </c>
      <c r="S27" s="496" t="str">
        <f t="shared" si="7"/>
        <v>--</v>
      </c>
      <c r="T27" s="334"/>
      <c r="U27" s="156" t="str">
        <f t="shared" si="8"/>
        <v>SI</v>
      </c>
      <c r="V27" s="431">
        <f>IF(D27="","",SUM(P27:T27)*IF(U27="SI",1,2))*M27/100</f>
        <v>494.04116475</v>
      </c>
      <c r="W27" s="378">
        <f t="shared" si="9"/>
        <v>321.4925096648757</v>
      </c>
      <c r="X27" s="6"/>
    </row>
    <row r="28" spans="2:24" s="5" customFormat="1" ht="16.5" customHeight="1">
      <c r="B28" s="51"/>
      <c r="C28" s="326">
        <v>71</v>
      </c>
      <c r="D28" s="578" t="s">
        <v>122</v>
      </c>
      <c r="E28" s="748" t="s">
        <v>173</v>
      </c>
      <c r="F28" s="149">
        <v>245</v>
      </c>
      <c r="G28" s="330">
        <f t="shared" si="0"/>
        <v>60.025</v>
      </c>
      <c r="H28" s="482">
        <v>39331.677083333336</v>
      </c>
      <c r="I28" s="483">
        <v>39331.760416666664</v>
      </c>
      <c r="J28" s="425">
        <f t="shared" si="1"/>
        <v>1.9999999998835847</v>
      </c>
      <c r="K28" s="426">
        <f t="shared" si="2"/>
        <v>120</v>
      </c>
      <c r="L28" s="267" t="s">
        <v>109</v>
      </c>
      <c r="M28" s="212" t="str">
        <f>IF(D28="","","--")</f>
        <v>--</v>
      </c>
      <c r="N28" s="156" t="str">
        <f t="shared" si="10"/>
        <v>--</v>
      </c>
      <c r="O28" s="492">
        <f t="shared" si="3"/>
        <v>2</v>
      </c>
      <c r="P28" s="493">
        <f t="shared" si="4"/>
        <v>240.1</v>
      </c>
      <c r="Q28" s="494" t="str">
        <f t="shared" si="5"/>
        <v>--</v>
      </c>
      <c r="R28" s="495" t="str">
        <f t="shared" si="6"/>
        <v>--</v>
      </c>
      <c r="S28" s="496" t="str">
        <f t="shared" si="7"/>
        <v>--</v>
      </c>
      <c r="T28" s="334"/>
      <c r="U28" s="156" t="str">
        <f t="shared" si="8"/>
        <v>SI</v>
      </c>
      <c r="V28" s="431">
        <f>IF(D28="","",SUM(P28:T28)*IF(U28="SI",1,2))</f>
        <v>240.1</v>
      </c>
      <c r="W28" s="378">
        <f t="shared" si="9"/>
        <v>156.24275278679931</v>
      </c>
      <c r="X28" s="6"/>
    </row>
    <row r="29" spans="2:24" s="5" customFormat="1" ht="16.5" customHeight="1">
      <c r="B29" s="51"/>
      <c r="C29" s="326">
        <v>72</v>
      </c>
      <c r="D29" s="578" t="s">
        <v>122</v>
      </c>
      <c r="E29" s="748" t="s">
        <v>173</v>
      </c>
      <c r="F29" s="149">
        <v>245</v>
      </c>
      <c r="G29" s="330">
        <f t="shared" si="0"/>
        <v>60.025</v>
      </c>
      <c r="H29" s="482">
        <v>39331.76111111111</v>
      </c>
      <c r="I29" s="483">
        <v>39332.379166666666</v>
      </c>
      <c r="J29" s="425">
        <f t="shared" si="1"/>
        <v>14.83333333331393</v>
      </c>
      <c r="K29" s="426">
        <f t="shared" si="2"/>
        <v>890</v>
      </c>
      <c r="L29" s="267" t="s">
        <v>109</v>
      </c>
      <c r="M29" s="212">
        <v>95.92</v>
      </c>
      <c r="N29" s="156" t="str">
        <f t="shared" si="10"/>
        <v>--</v>
      </c>
      <c r="O29" s="492">
        <f t="shared" si="3"/>
        <v>2</v>
      </c>
      <c r="P29" s="493">
        <f t="shared" si="4"/>
        <v>1780.3415</v>
      </c>
      <c r="Q29" s="494" t="str">
        <f t="shared" si="5"/>
        <v>--</v>
      </c>
      <c r="R29" s="495" t="str">
        <f t="shared" si="6"/>
        <v>--</v>
      </c>
      <c r="S29" s="496" t="str">
        <f t="shared" si="7"/>
        <v>--</v>
      </c>
      <c r="T29" s="334"/>
      <c r="U29" s="156" t="str">
        <f t="shared" si="8"/>
        <v>SI</v>
      </c>
      <c r="V29" s="431">
        <f>IF(D29="","",SUM(P29:T29)*IF(U29="SI",1,2))*M29/100</f>
        <v>1707.7035667999999</v>
      </c>
      <c r="W29" s="378">
        <f t="shared" si="9"/>
        <v>1111.271579428021</v>
      </c>
      <c r="X29" s="6"/>
    </row>
    <row r="30" spans="2:24" s="5" customFormat="1" ht="16.5" customHeight="1">
      <c r="B30" s="51"/>
      <c r="C30" s="326">
        <v>74</v>
      </c>
      <c r="D30" s="578" t="s">
        <v>122</v>
      </c>
      <c r="E30" s="748" t="s">
        <v>173</v>
      </c>
      <c r="F30" s="149">
        <v>245</v>
      </c>
      <c r="G30" s="330">
        <f t="shared" si="0"/>
        <v>60.025</v>
      </c>
      <c r="H30" s="482">
        <v>39332.37986111111</v>
      </c>
      <c r="I30" s="483">
        <v>39332.67569444444</v>
      </c>
      <c r="J30" s="425">
        <f t="shared" si="1"/>
        <v>7.099999999918509</v>
      </c>
      <c r="K30" s="426">
        <f t="shared" si="2"/>
        <v>426</v>
      </c>
      <c r="L30" s="267" t="s">
        <v>109</v>
      </c>
      <c r="M30" s="212" t="str">
        <f>IF(D30="","","--")</f>
        <v>--</v>
      </c>
      <c r="N30" s="156" t="str">
        <f t="shared" si="10"/>
        <v>--</v>
      </c>
      <c r="O30" s="492">
        <f t="shared" si="3"/>
        <v>2</v>
      </c>
      <c r="P30" s="493">
        <f t="shared" si="4"/>
        <v>852.3549999999999</v>
      </c>
      <c r="Q30" s="494" t="str">
        <f t="shared" si="5"/>
        <v>--</v>
      </c>
      <c r="R30" s="495" t="str">
        <f t="shared" si="6"/>
        <v>--</v>
      </c>
      <c r="S30" s="496" t="str">
        <f t="shared" si="7"/>
        <v>--</v>
      </c>
      <c r="T30" s="334"/>
      <c r="U30" s="156" t="str">
        <f t="shared" si="8"/>
        <v>SI</v>
      </c>
      <c r="V30" s="431">
        <f>IF(D30="","",SUM(P30:T30)*IF(U30="SI",1,2))</f>
        <v>852.3549999999999</v>
      </c>
      <c r="W30" s="378">
        <f t="shared" si="9"/>
        <v>554.6617723931375</v>
      </c>
      <c r="X30" s="6"/>
    </row>
    <row r="31" spans="2:24" s="5" customFormat="1" ht="16.5" customHeight="1">
      <c r="B31" s="51"/>
      <c r="C31" s="326">
        <v>75</v>
      </c>
      <c r="D31" s="578" t="s">
        <v>122</v>
      </c>
      <c r="E31" s="748" t="s">
        <v>173</v>
      </c>
      <c r="F31" s="149">
        <v>245</v>
      </c>
      <c r="G31" s="330">
        <f t="shared" si="0"/>
        <v>60.025</v>
      </c>
      <c r="H31" s="482">
        <v>39332.67638888889</v>
      </c>
      <c r="I31" s="483">
        <v>39333.3625</v>
      </c>
      <c r="J31" s="425">
        <f t="shared" si="1"/>
        <v>16.466666666732635</v>
      </c>
      <c r="K31" s="426">
        <f t="shared" si="2"/>
        <v>988</v>
      </c>
      <c r="L31" s="267" t="s">
        <v>109</v>
      </c>
      <c r="M31" s="212">
        <v>100</v>
      </c>
      <c r="N31" s="156" t="str">
        <f t="shared" si="10"/>
        <v>--</v>
      </c>
      <c r="O31" s="492">
        <f t="shared" si="3"/>
        <v>2</v>
      </c>
      <c r="P31" s="493">
        <f t="shared" si="4"/>
        <v>1977.2234999999998</v>
      </c>
      <c r="Q31" s="494" t="str">
        <f t="shared" si="5"/>
        <v>--</v>
      </c>
      <c r="R31" s="495" t="str">
        <f t="shared" si="6"/>
        <v>--</v>
      </c>
      <c r="S31" s="496" t="str">
        <f t="shared" si="7"/>
        <v>--</v>
      </c>
      <c r="T31" s="334"/>
      <c r="U31" s="156" t="str">
        <f t="shared" si="8"/>
        <v>SI</v>
      </c>
      <c r="V31" s="431">
        <f>IF(D31="","",SUM(P31:T31)*IF(U31="SI",1,2))*M31/100</f>
        <v>1977.2234999999998</v>
      </c>
      <c r="W31" s="378">
        <f t="shared" si="9"/>
        <v>1286.6590691992924</v>
      </c>
      <c r="X31" s="6"/>
    </row>
    <row r="32" spans="2:24" s="5" customFormat="1" ht="16.5" customHeight="1">
      <c r="B32" s="51"/>
      <c r="C32" s="326">
        <v>76</v>
      </c>
      <c r="D32" s="578" t="s">
        <v>122</v>
      </c>
      <c r="E32" s="748" t="s">
        <v>173</v>
      </c>
      <c r="F32" s="149">
        <v>245</v>
      </c>
      <c r="G32" s="330">
        <f t="shared" si="0"/>
        <v>60.025</v>
      </c>
      <c r="H32" s="482">
        <v>39333.36319444444</v>
      </c>
      <c r="I32" s="483">
        <v>39333.46527777778</v>
      </c>
      <c r="J32" s="425">
        <f t="shared" si="1"/>
        <v>2.450000000128057</v>
      </c>
      <c r="K32" s="426">
        <f t="shared" si="2"/>
        <v>147</v>
      </c>
      <c r="L32" s="267" t="s">
        <v>109</v>
      </c>
      <c r="M32" s="212" t="str">
        <f>IF(D32="","","--")</f>
        <v>--</v>
      </c>
      <c r="N32" s="156" t="str">
        <f t="shared" si="10"/>
        <v>--</v>
      </c>
      <c r="O32" s="492">
        <f t="shared" si="3"/>
        <v>2</v>
      </c>
      <c r="P32" s="493">
        <f t="shared" si="4"/>
        <v>294.1225</v>
      </c>
      <c r="Q32" s="494" t="str">
        <f t="shared" si="5"/>
        <v>--</v>
      </c>
      <c r="R32" s="495" t="str">
        <f t="shared" si="6"/>
        <v>--</v>
      </c>
      <c r="S32" s="496" t="str">
        <f t="shared" si="7"/>
        <v>--</v>
      </c>
      <c r="T32" s="334"/>
      <c r="U32" s="156" t="str">
        <f t="shared" si="8"/>
        <v>SI</v>
      </c>
      <c r="V32" s="431">
        <f>IF(D32="","",SUM(P32:T32)*IF(U32="SI",1,2))</f>
        <v>294.1225</v>
      </c>
      <c r="W32" s="378">
        <f t="shared" si="9"/>
        <v>191.39737216382917</v>
      </c>
      <c r="X32" s="6"/>
    </row>
    <row r="33" spans="2:24" s="5" customFormat="1" ht="16.5" customHeight="1">
      <c r="B33" s="51"/>
      <c r="C33" s="326">
        <v>77</v>
      </c>
      <c r="D33" s="578" t="s">
        <v>122</v>
      </c>
      <c r="E33" s="748" t="s">
        <v>173</v>
      </c>
      <c r="F33" s="149">
        <v>245</v>
      </c>
      <c r="G33" s="330">
        <f t="shared" si="0"/>
        <v>60.025</v>
      </c>
      <c r="H33" s="482">
        <v>39333.46597222222</v>
      </c>
      <c r="I33" s="483">
        <v>39333.50347222222</v>
      </c>
      <c r="J33" s="425">
        <f t="shared" si="1"/>
        <v>0.8999999999650754</v>
      </c>
      <c r="K33" s="426">
        <f t="shared" si="2"/>
        <v>54</v>
      </c>
      <c r="L33" s="267" t="s">
        <v>109</v>
      </c>
      <c r="M33" s="212">
        <v>95.92</v>
      </c>
      <c r="N33" s="156" t="str">
        <f t="shared" si="10"/>
        <v>--</v>
      </c>
      <c r="O33" s="492">
        <f t="shared" si="3"/>
        <v>2</v>
      </c>
      <c r="P33" s="493">
        <f t="shared" si="4"/>
        <v>108.045</v>
      </c>
      <c r="Q33" s="494" t="str">
        <f t="shared" si="5"/>
        <v>--</v>
      </c>
      <c r="R33" s="495" t="str">
        <f t="shared" si="6"/>
        <v>--</v>
      </c>
      <c r="S33" s="496" t="str">
        <f t="shared" si="7"/>
        <v>--</v>
      </c>
      <c r="T33" s="334"/>
      <c r="U33" s="156" t="str">
        <f t="shared" si="8"/>
        <v>SI</v>
      </c>
      <c r="V33" s="431">
        <f>IF(D33="","",SUM(P33:T33)*IF(U33="SI",1,2))*M33/100</f>
        <v>103.636764</v>
      </c>
      <c r="W33" s="378">
        <f t="shared" si="9"/>
        <v>67.44062181289407</v>
      </c>
      <c r="X33" s="6"/>
    </row>
    <row r="34" spans="2:24" s="5" customFormat="1" ht="16.5" customHeight="1">
      <c r="B34" s="51"/>
      <c r="C34" s="326">
        <v>78</v>
      </c>
      <c r="D34" s="578" t="s">
        <v>122</v>
      </c>
      <c r="E34" s="748" t="s">
        <v>173</v>
      </c>
      <c r="F34" s="149">
        <v>245</v>
      </c>
      <c r="G34" s="330">
        <f t="shared" si="0"/>
        <v>60.025</v>
      </c>
      <c r="H34" s="482">
        <v>39333.504166666666</v>
      </c>
      <c r="I34" s="483">
        <v>39333.68541666667</v>
      </c>
      <c r="J34" s="425">
        <v>4.350000000034925</v>
      </c>
      <c r="K34" s="426">
        <f t="shared" si="2"/>
        <v>261</v>
      </c>
      <c r="L34" s="267" t="s">
        <v>109</v>
      </c>
      <c r="M34" s="212" t="str">
        <f>IF(D34="","","--")</f>
        <v>--</v>
      </c>
      <c r="N34" s="156" t="str">
        <f t="shared" si="10"/>
        <v>--</v>
      </c>
      <c r="O34" s="492">
        <f t="shared" si="3"/>
        <v>2</v>
      </c>
      <c r="P34" s="493">
        <f t="shared" si="4"/>
        <v>522.2175</v>
      </c>
      <c r="Q34" s="494" t="str">
        <f t="shared" si="5"/>
        <v>--</v>
      </c>
      <c r="R34" s="495" t="str">
        <f t="shared" si="6"/>
        <v>--</v>
      </c>
      <c r="S34" s="496" t="str">
        <f t="shared" si="7"/>
        <v>--</v>
      </c>
      <c r="T34" s="334"/>
      <c r="U34" s="156" t="str">
        <f t="shared" si="8"/>
        <v>SI</v>
      </c>
      <c r="V34" s="431">
        <f>IF(D34="","",SUM(P34:T34)*IF(U34="SI",1,2))</f>
        <v>522.2175</v>
      </c>
      <c r="W34" s="378">
        <f t="shared" si="9"/>
        <v>339.82798731128855</v>
      </c>
      <c r="X34" s="6"/>
    </row>
    <row r="35" spans="2:24" s="5" customFormat="1" ht="16.5" customHeight="1">
      <c r="B35" s="51"/>
      <c r="C35" s="326">
        <v>79</v>
      </c>
      <c r="D35" s="578" t="s">
        <v>122</v>
      </c>
      <c r="E35" s="748" t="s">
        <v>173</v>
      </c>
      <c r="F35" s="149">
        <v>245</v>
      </c>
      <c r="G35" s="330">
        <f t="shared" si="0"/>
        <v>60.025</v>
      </c>
      <c r="H35" s="482">
        <v>39333.686111111114</v>
      </c>
      <c r="I35" s="483">
        <v>39335.49652777778</v>
      </c>
      <c r="J35" s="425">
        <f t="shared" si="1"/>
        <v>43.45000000001164</v>
      </c>
      <c r="K35" s="426">
        <f t="shared" si="2"/>
        <v>2607</v>
      </c>
      <c r="L35" s="267" t="s">
        <v>109</v>
      </c>
      <c r="M35" s="212">
        <v>95.92</v>
      </c>
      <c r="N35" s="156" t="str">
        <f t="shared" si="10"/>
        <v>--</v>
      </c>
      <c r="O35" s="492">
        <f t="shared" si="3"/>
        <v>2</v>
      </c>
      <c r="P35" s="493">
        <f t="shared" si="4"/>
        <v>5216.172500000001</v>
      </c>
      <c r="Q35" s="494" t="str">
        <f t="shared" si="5"/>
        <v>--</v>
      </c>
      <c r="R35" s="495" t="str">
        <f t="shared" si="6"/>
        <v>--</v>
      </c>
      <c r="S35" s="496" t="str">
        <f t="shared" si="7"/>
        <v>--</v>
      </c>
      <c r="T35" s="334"/>
      <c r="U35" s="156" t="str">
        <f t="shared" si="8"/>
        <v>SI</v>
      </c>
      <c r="V35" s="431">
        <f>IF(D35="","",SUM(P35:T35)*IF(U35="SI",1,2))*M35/100</f>
        <v>5003.352662000001</v>
      </c>
      <c r="W35" s="378">
        <f t="shared" si="9"/>
        <v>3255.883353078053</v>
      </c>
      <c r="X35" s="6"/>
    </row>
    <row r="36" spans="2:24" s="5" customFormat="1" ht="16.5" customHeight="1">
      <c r="B36" s="51"/>
      <c r="C36" s="326">
        <v>80</v>
      </c>
      <c r="D36" s="578" t="s">
        <v>122</v>
      </c>
      <c r="E36" s="748" t="s">
        <v>173</v>
      </c>
      <c r="F36" s="149">
        <v>245</v>
      </c>
      <c r="G36" s="330">
        <f t="shared" si="0"/>
        <v>60.025</v>
      </c>
      <c r="H36" s="482">
        <v>39335.49722222222</v>
      </c>
      <c r="I36" s="483">
        <v>39337.56041666667</v>
      </c>
      <c r="J36" s="425">
        <f t="shared" si="1"/>
        <v>49.516666666720994</v>
      </c>
      <c r="K36" s="426">
        <f t="shared" si="2"/>
        <v>2971</v>
      </c>
      <c r="L36" s="267" t="s">
        <v>109</v>
      </c>
      <c r="M36" s="212" t="str">
        <f>IF(D36="","","--")</f>
        <v>--</v>
      </c>
      <c r="N36" s="156" t="str">
        <f t="shared" si="10"/>
        <v>--</v>
      </c>
      <c r="O36" s="492">
        <f t="shared" si="3"/>
        <v>2</v>
      </c>
      <c r="P36" s="493">
        <f t="shared" si="4"/>
        <v>5944.876</v>
      </c>
      <c r="Q36" s="494" t="str">
        <f t="shared" si="5"/>
        <v>--</v>
      </c>
      <c r="R36" s="495" t="str">
        <f t="shared" si="6"/>
        <v>--</v>
      </c>
      <c r="S36" s="496" t="str">
        <f t="shared" si="7"/>
        <v>--</v>
      </c>
      <c r="T36" s="334"/>
      <c r="U36" s="156" t="str">
        <f t="shared" si="8"/>
        <v>SI</v>
      </c>
      <c r="V36" s="431">
        <f>IF(D36="","",SUM(P36:T36)*IF(U36="SI",1,2))</f>
        <v>5944.876</v>
      </c>
      <c r="W36" s="378">
        <f t="shared" si="9"/>
        <v>3868.5705590011517</v>
      </c>
      <c r="X36" s="6"/>
    </row>
    <row r="37" spans="2:24" s="5" customFormat="1" ht="16.5" customHeight="1">
      <c r="B37" s="51"/>
      <c r="C37" s="326">
        <v>81</v>
      </c>
      <c r="D37" s="578" t="s">
        <v>122</v>
      </c>
      <c r="E37" s="748" t="s">
        <v>173</v>
      </c>
      <c r="F37" s="149">
        <v>245</v>
      </c>
      <c r="G37" s="330">
        <f t="shared" si="0"/>
        <v>60.025</v>
      </c>
      <c r="H37" s="482">
        <v>39337.75763888889</v>
      </c>
      <c r="I37" s="483">
        <v>39345.2625</v>
      </c>
      <c r="J37" s="425">
        <f t="shared" si="1"/>
        <v>180.1166666665231</v>
      </c>
      <c r="K37" s="426">
        <f t="shared" si="2"/>
        <v>10807</v>
      </c>
      <c r="L37" s="267" t="s">
        <v>117</v>
      </c>
      <c r="M37" s="212">
        <v>51.02</v>
      </c>
      <c r="N37" s="156" t="str">
        <f t="shared" si="10"/>
        <v>NO</v>
      </c>
      <c r="O37" s="492">
        <f t="shared" si="3"/>
        <v>20</v>
      </c>
      <c r="P37" s="493" t="str">
        <f t="shared" si="4"/>
        <v>--</v>
      </c>
      <c r="Q37" s="494">
        <f t="shared" si="5"/>
        <v>1200.5</v>
      </c>
      <c r="R37" s="495">
        <f t="shared" si="6"/>
        <v>216234.06</v>
      </c>
      <c r="S37" s="496" t="str">
        <f t="shared" si="7"/>
        <v>--</v>
      </c>
      <c r="T37" s="334"/>
      <c r="U37" s="156" t="str">
        <f t="shared" si="8"/>
        <v>SI</v>
      </c>
      <c r="V37" s="431">
        <v>0</v>
      </c>
      <c r="W37" s="378">
        <f t="shared" si="9"/>
        <v>0</v>
      </c>
      <c r="X37" s="6"/>
    </row>
    <row r="38" spans="2:24" s="5" customFormat="1" ht="16.5" customHeight="1">
      <c r="B38" s="51"/>
      <c r="C38" s="326">
        <v>82</v>
      </c>
      <c r="D38" s="578" t="s">
        <v>122</v>
      </c>
      <c r="E38" s="748" t="s">
        <v>174</v>
      </c>
      <c r="F38" s="149">
        <v>245</v>
      </c>
      <c r="G38" s="330">
        <f t="shared" si="0"/>
        <v>60.025</v>
      </c>
      <c r="H38" s="482">
        <v>39337.75763888889</v>
      </c>
      <c r="I38" s="483">
        <v>39345.2625</v>
      </c>
      <c r="J38" s="425">
        <f t="shared" si="1"/>
        <v>180.1166666665231</v>
      </c>
      <c r="K38" s="426">
        <f t="shared" si="2"/>
        <v>10807</v>
      </c>
      <c r="L38" s="267" t="s">
        <v>117</v>
      </c>
      <c r="M38" s="212">
        <v>51.02</v>
      </c>
      <c r="N38" s="156" t="str">
        <f t="shared" si="10"/>
        <v>NO</v>
      </c>
      <c r="O38" s="492">
        <f t="shared" si="3"/>
        <v>20</v>
      </c>
      <c r="P38" s="493" t="str">
        <f t="shared" si="4"/>
        <v>--</v>
      </c>
      <c r="Q38" s="494">
        <f t="shared" si="5"/>
        <v>1200.5</v>
      </c>
      <c r="R38" s="495">
        <f t="shared" si="6"/>
        <v>216234.06</v>
      </c>
      <c r="S38" s="496" t="str">
        <f t="shared" si="7"/>
        <v>--</v>
      </c>
      <c r="T38" s="334"/>
      <c r="U38" s="156" t="str">
        <f t="shared" si="8"/>
        <v>SI</v>
      </c>
      <c r="V38" s="431">
        <v>0</v>
      </c>
      <c r="W38" s="378">
        <f t="shared" si="9"/>
        <v>0</v>
      </c>
      <c r="X38" s="6"/>
    </row>
    <row r="39" spans="2:24" s="5" customFormat="1" ht="16.5" customHeight="1">
      <c r="B39" s="51"/>
      <c r="C39" s="326">
        <v>83</v>
      </c>
      <c r="D39" s="578" t="s">
        <v>122</v>
      </c>
      <c r="E39" s="748" t="s">
        <v>175</v>
      </c>
      <c r="F39" s="149">
        <v>245</v>
      </c>
      <c r="G39" s="330">
        <f t="shared" si="0"/>
        <v>60.025</v>
      </c>
      <c r="H39" s="482">
        <v>39339.35486111111</v>
      </c>
      <c r="I39" s="483">
        <v>39339.677083333336</v>
      </c>
      <c r="J39" s="425">
        <f t="shared" si="1"/>
        <v>7.7333333333954215</v>
      </c>
      <c r="K39" s="426">
        <f t="shared" si="2"/>
        <v>464</v>
      </c>
      <c r="L39" s="267" t="s">
        <v>109</v>
      </c>
      <c r="M39" s="212" t="str">
        <f>IF(D39="","","--")</f>
        <v>--</v>
      </c>
      <c r="N39" s="156" t="str">
        <f t="shared" si="10"/>
        <v>--</v>
      </c>
      <c r="O39" s="492">
        <f t="shared" si="3"/>
        <v>2</v>
      </c>
      <c r="P39" s="493">
        <f t="shared" si="4"/>
        <v>927.9865</v>
      </c>
      <c r="Q39" s="494" t="str">
        <f t="shared" si="5"/>
        <v>--</v>
      </c>
      <c r="R39" s="495" t="str">
        <f t="shared" si="6"/>
        <v>--</v>
      </c>
      <c r="S39" s="496" t="str">
        <f t="shared" si="7"/>
        <v>--</v>
      </c>
      <c r="T39" s="334"/>
      <c r="U39" s="156" t="str">
        <f t="shared" si="8"/>
        <v>SI</v>
      </c>
      <c r="V39" s="431">
        <f>IF(D39="","",SUM(P39:T39)*IF(U39="SI",1,2))</f>
        <v>927.9865</v>
      </c>
      <c r="W39" s="378">
        <f t="shared" si="9"/>
        <v>603.8782395209794</v>
      </c>
      <c r="X39" s="6"/>
    </row>
    <row r="40" spans="2:24" s="5" customFormat="1" ht="16.5" customHeight="1">
      <c r="B40" s="51"/>
      <c r="C40" s="326">
        <v>84</v>
      </c>
      <c r="D40" s="578" t="s">
        <v>176</v>
      </c>
      <c r="E40" s="748" t="s">
        <v>177</v>
      </c>
      <c r="F40" s="149">
        <v>150</v>
      </c>
      <c r="G40" s="330">
        <f t="shared" si="0"/>
        <v>36.75</v>
      </c>
      <c r="H40" s="482">
        <v>39341.029861111114</v>
      </c>
      <c r="I40" s="483">
        <v>39342.61111111111</v>
      </c>
      <c r="J40" s="425">
        <f t="shared" si="1"/>
        <v>37.949999999895226</v>
      </c>
      <c r="K40" s="426">
        <f t="shared" si="2"/>
        <v>2277</v>
      </c>
      <c r="L40" s="267" t="s">
        <v>117</v>
      </c>
      <c r="M40" s="212" t="str">
        <f>IF(D40="","","--")</f>
        <v>--</v>
      </c>
      <c r="N40" s="156" t="str">
        <f t="shared" si="10"/>
        <v>NO</v>
      </c>
      <c r="O40" s="492">
        <f t="shared" si="3"/>
        <v>20</v>
      </c>
      <c r="P40" s="493" t="str">
        <f t="shared" si="4"/>
        <v>--</v>
      </c>
      <c r="Q40" s="494">
        <f t="shared" si="5"/>
        <v>735</v>
      </c>
      <c r="R40" s="495">
        <f t="shared" si="6"/>
        <v>27893.250000000004</v>
      </c>
      <c r="S40" s="496" t="str">
        <f t="shared" si="7"/>
        <v>--</v>
      </c>
      <c r="T40" s="334"/>
      <c r="U40" s="156" t="str">
        <f t="shared" si="8"/>
        <v>SI</v>
      </c>
      <c r="V40" s="431">
        <f>IF(D40="","",SUM(P40:T40)*IF(U40="SI",1,2))</f>
        <v>28628.250000000004</v>
      </c>
      <c r="W40" s="378">
        <f t="shared" si="9"/>
        <v>18629.556799119902</v>
      </c>
      <c r="X40" s="6"/>
    </row>
    <row r="41" spans="2:24" s="5" customFormat="1" ht="16.5" customHeight="1" thickBot="1">
      <c r="B41" s="51"/>
      <c r="C41" s="751"/>
      <c r="D41" s="498"/>
      <c r="E41" s="150"/>
      <c r="F41" s="499"/>
      <c r="G41" s="139"/>
      <c r="H41" s="432"/>
      <c r="I41" s="432"/>
      <c r="J41" s="433"/>
      <c r="K41" s="433"/>
      <c r="L41" s="226"/>
      <c r="M41" s="226"/>
      <c r="N41" s="155"/>
      <c r="O41" s="500"/>
      <c r="P41" s="501"/>
      <c r="Q41" s="502"/>
      <c r="R41" s="503"/>
      <c r="S41" s="504"/>
      <c r="T41" s="504"/>
      <c r="U41" s="155"/>
      <c r="V41" s="505"/>
      <c r="W41" s="505"/>
      <c r="X41" s="6"/>
    </row>
    <row r="42" spans="2:24" s="5" customFormat="1" ht="16.5" customHeight="1" thickBot="1" thickTop="1">
      <c r="B42" s="51"/>
      <c r="C42" s="131"/>
      <c r="D42" s="130" t="s">
        <v>199</v>
      </c>
      <c r="G42" s="4"/>
      <c r="H42" s="4"/>
      <c r="I42" s="4"/>
      <c r="J42" s="4"/>
      <c r="K42" s="4"/>
      <c r="L42" s="4"/>
      <c r="M42" s="67"/>
      <c r="N42" s="4"/>
      <c r="O42" s="4"/>
      <c r="P42" s="506">
        <f>SUM(P20:P41)</f>
        <v>34210.648499999996</v>
      </c>
      <c r="Q42" s="507">
        <f>SUM(Q20:Q41)</f>
        <v>3822</v>
      </c>
      <c r="R42" s="508">
        <f>SUM(R20:R41)</f>
        <v>461499.64</v>
      </c>
      <c r="S42" s="509">
        <f>SUM(S20:S41)</f>
        <v>0</v>
      </c>
      <c r="T42" s="509">
        <f>SUM(T20:T41)</f>
        <v>0</v>
      </c>
      <c r="V42" s="100">
        <f>ROUND(SUM(V20:V41),2)</f>
        <v>63711.02</v>
      </c>
      <c r="W42" s="100">
        <f>SUM(W21:W40)</f>
        <v>41459.331399967115</v>
      </c>
      <c r="X42" s="510"/>
    </row>
    <row r="43" spans="2:24" s="135" customFormat="1" ht="9.75" thickTop="1">
      <c r="B43" s="134"/>
      <c r="C43" s="131"/>
      <c r="D43" s="132" t="s">
        <v>203</v>
      </c>
      <c r="G43" s="133"/>
      <c r="H43" s="133"/>
      <c r="I43" s="133"/>
      <c r="J43" s="133"/>
      <c r="K43" s="133"/>
      <c r="L43" s="133"/>
      <c r="M43" s="131"/>
      <c r="N43" s="133"/>
      <c r="O43" s="133"/>
      <c r="P43" s="374"/>
      <c r="Q43" s="374"/>
      <c r="R43" s="374"/>
      <c r="S43" s="374"/>
      <c r="T43" s="374"/>
      <c r="V43" s="237"/>
      <c r="W43" s="237"/>
      <c r="X43" s="444"/>
    </row>
    <row r="44" spans="2:24" s="5" customFormat="1" ht="16.5" customHeight="1" thickBot="1">
      <c r="B44" s="75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49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7"/>
    </row>
    <row r="45" spans="4:26" ht="16.5" customHeight="1" thickTop="1">
      <c r="D45" s="190"/>
      <c r="E45" s="190"/>
      <c r="F45" s="190"/>
      <c r="G45" s="180"/>
      <c r="H45" s="180"/>
      <c r="I45" s="180"/>
      <c r="J45" s="180"/>
      <c r="K45" s="180"/>
      <c r="L45" s="180"/>
      <c r="M45" s="750"/>
      <c r="N45" s="180"/>
      <c r="O45" s="180"/>
      <c r="P45" s="180"/>
      <c r="Q45" s="180"/>
      <c r="R45" s="180"/>
      <c r="S45" s="180"/>
      <c r="T45" s="180"/>
      <c r="U45" s="180"/>
      <c r="V45" s="180"/>
      <c r="W45" s="180"/>
      <c r="X45" s="180"/>
      <c r="Y45" s="180"/>
      <c r="Z45" s="180"/>
    </row>
    <row r="46" spans="4:26" ht="16.5" customHeight="1">
      <c r="D46" s="190"/>
      <c r="E46" s="190"/>
      <c r="F46" s="190"/>
      <c r="G46" s="180"/>
      <c r="H46" s="180"/>
      <c r="I46" s="180"/>
      <c r="J46" s="180"/>
      <c r="K46" s="180"/>
      <c r="L46" s="180"/>
      <c r="M46" s="750"/>
      <c r="N46" s="180"/>
      <c r="O46" s="180"/>
      <c r="P46" s="180"/>
      <c r="Q46" s="180"/>
      <c r="R46" s="180"/>
      <c r="S46" s="180"/>
      <c r="T46" s="180"/>
      <c r="U46" s="180"/>
      <c r="V46" s="180"/>
      <c r="W46" s="180"/>
      <c r="X46" s="180"/>
      <c r="Y46" s="180"/>
      <c r="Z46" s="180"/>
    </row>
    <row r="47" spans="4:26" ht="16.5" customHeight="1">
      <c r="D47" s="190"/>
      <c r="E47" s="190"/>
      <c r="F47" s="190"/>
      <c r="G47" s="180"/>
      <c r="H47" s="180"/>
      <c r="I47" s="180"/>
      <c r="J47" s="180"/>
      <c r="K47" s="180"/>
      <c r="L47" s="180"/>
      <c r="M47" s="75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80"/>
      <c r="Y47" s="180"/>
      <c r="Z47" s="180"/>
    </row>
    <row r="48" spans="4:26" ht="16.5" customHeight="1">
      <c r="D48" s="190"/>
      <c r="E48" s="190"/>
      <c r="F48" s="190"/>
      <c r="G48" s="180"/>
      <c r="H48" s="180"/>
      <c r="I48" s="180"/>
      <c r="J48" s="180"/>
      <c r="K48" s="180"/>
      <c r="L48" s="180"/>
      <c r="M48" s="750"/>
      <c r="N48" s="180"/>
      <c r="O48" s="180"/>
      <c r="P48" s="180"/>
      <c r="Q48" s="180"/>
      <c r="R48" s="180"/>
      <c r="S48" s="180"/>
      <c r="T48" s="180"/>
      <c r="U48" s="180"/>
      <c r="V48" s="180"/>
      <c r="W48" s="180"/>
      <c r="X48" s="180"/>
      <c r="Y48" s="180"/>
      <c r="Z48" s="180"/>
    </row>
    <row r="49" spans="4:26" ht="16.5" customHeight="1">
      <c r="D49" s="190"/>
      <c r="E49" s="190"/>
      <c r="F49" s="190"/>
      <c r="G49" s="180"/>
      <c r="H49" s="180"/>
      <c r="I49" s="180"/>
      <c r="J49" s="180"/>
      <c r="K49" s="180"/>
      <c r="L49" s="180"/>
      <c r="M49" s="750"/>
      <c r="N49" s="180"/>
      <c r="O49" s="180"/>
      <c r="P49" s="180"/>
      <c r="Q49" s="180"/>
      <c r="R49" s="180"/>
      <c r="S49" s="180"/>
      <c r="T49" s="180"/>
      <c r="U49" s="180"/>
      <c r="V49" s="180"/>
      <c r="W49" s="180"/>
      <c r="X49" s="180"/>
      <c r="Y49" s="180"/>
      <c r="Z49" s="180"/>
    </row>
    <row r="50" spans="4:26" ht="16.5" customHeight="1">
      <c r="D50" s="190"/>
      <c r="E50" s="190"/>
      <c r="F50" s="190"/>
      <c r="G50" s="180"/>
      <c r="H50" s="180"/>
      <c r="I50" s="180"/>
      <c r="J50" s="180"/>
      <c r="K50" s="180"/>
      <c r="L50" s="180"/>
      <c r="M50" s="750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</row>
    <row r="51" spans="4:26" ht="16.5" customHeight="1">
      <c r="D51" s="180"/>
      <c r="E51" s="180"/>
      <c r="F51" s="180"/>
      <c r="G51" s="180"/>
      <c r="H51" s="180"/>
      <c r="I51" s="180"/>
      <c r="J51" s="180"/>
      <c r="K51" s="180"/>
      <c r="L51" s="180"/>
      <c r="M51" s="750"/>
      <c r="N51" s="180"/>
      <c r="O51" s="180"/>
      <c r="P51" s="180"/>
      <c r="Q51" s="180"/>
      <c r="R51" s="180"/>
      <c r="S51" s="180"/>
      <c r="T51" s="180"/>
      <c r="U51" s="180"/>
      <c r="V51" s="180"/>
      <c r="W51" s="180"/>
      <c r="X51" s="180"/>
      <c r="Y51" s="180"/>
      <c r="Z51" s="180"/>
    </row>
    <row r="52" spans="4:26" ht="16.5" customHeight="1">
      <c r="D52" s="180"/>
      <c r="E52" s="180"/>
      <c r="F52" s="180"/>
      <c r="G52" s="180"/>
      <c r="H52" s="180"/>
      <c r="I52" s="180"/>
      <c r="J52" s="180"/>
      <c r="K52" s="180"/>
      <c r="L52" s="180"/>
      <c r="M52" s="750"/>
      <c r="N52" s="180"/>
      <c r="O52" s="180"/>
      <c r="P52" s="180"/>
      <c r="Q52" s="180"/>
      <c r="R52" s="180"/>
      <c r="S52" s="180"/>
      <c r="T52" s="180"/>
      <c r="U52" s="180"/>
      <c r="V52" s="180"/>
      <c r="W52" s="180"/>
      <c r="X52" s="180"/>
      <c r="Y52" s="180"/>
      <c r="Z52" s="180"/>
    </row>
    <row r="53" spans="4:26" ht="16.5" customHeight="1">
      <c r="D53" s="180"/>
      <c r="E53" s="180"/>
      <c r="F53" s="180"/>
      <c r="G53" s="180"/>
      <c r="H53" s="180"/>
      <c r="I53" s="180"/>
      <c r="J53" s="180"/>
      <c r="K53" s="180"/>
      <c r="L53" s="180"/>
      <c r="M53" s="750"/>
      <c r="N53" s="180"/>
      <c r="O53" s="180"/>
      <c r="P53" s="180"/>
      <c r="Q53" s="180"/>
      <c r="R53" s="180"/>
      <c r="S53" s="180"/>
      <c r="T53" s="180"/>
      <c r="U53" s="180"/>
      <c r="V53" s="180"/>
      <c r="W53" s="180"/>
      <c r="X53" s="180"/>
      <c r="Y53" s="180"/>
      <c r="Z53" s="180"/>
    </row>
    <row r="54" spans="4:26" ht="16.5" customHeight="1">
      <c r="D54" s="180"/>
      <c r="E54" s="180"/>
      <c r="F54" s="180"/>
      <c r="G54" s="180"/>
      <c r="H54" s="180"/>
      <c r="I54" s="180"/>
      <c r="J54" s="180"/>
      <c r="K54" s="180"/>
      <c r="L54" s="180"/>
      <c r="M54" s="75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4:26" ht="16.5" customHeight="1">
      <c r="D55" s="180"/>
      <c r="E55" s="180"/>
      <c r="F55" s="180"/>
      <c r="G55" s="180"/>
      <c r="H55" s="180"/>
      <c r="I55" s="180"/>
      <c r="J55" s="180"/>
      <c r="K55" s="180"/>
      <c r="L55" s="180"/>
      <c r="M55" s="75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4:26" ht="16.5" customHeight="1">
      <c r="D56" s="180"/>
      <c r="E56" s="180"/>
      <c r="F56" s="180"/>
      <c r="G56" s="180"/>
      <c r="H56" s="180"/>
      <c r="I56" s="180"/>
      <c r="J56" s="180"/>
      <c r="K56" s="180"/>
      <c r="L56" s="180"/>
      <c r="M56" s="75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4:26" ht="16.5" customHeight="1">
      <c r="D57" s="180"/>
      <c r="E57" s="180"/>
      <c r="F57" s="180"/>
      <c r="G57" s="180"/>
      <c r="H57" s="180"/>
      <c r="I57" s="180"/>
      <c r="J57" s="180"/>
      <c r="K57" s="180"/>
      <c r="L57" s="180"/>
      <c r="M57" s="75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4:26" ht="16.5" customHeight="1">
      <c r="D58" s="180"/>
      <c r="E58" s="180"/>
      <c r="F58" s="180"/>
      <c r="G58" s="180"/>
      <c r="H58" s="180"/>
      <c r="I58" s="180"/>
      <c r="J58" s="180"/>
      <c r="K58" s="180"/>
      <c r="L58" s="180"/>
      <c r="M58" s="75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4:26" ht="16.5" customHeight="1">
      <c r="D59" s="180"/>
      <c r="E59" s="180"/>
      <c r="F59" s="180"/>
      <c r="G59" s="180"/>
      <c r="H59" s="180"/>
      <c r="I59" s="180"/>
      <c r="J59" s="180"/>
      <c r="K59" s="180"/>
      <c r="L59" s="180"/>
      <c r="M59" s="75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4:26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4:26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4:26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18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4:26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4:26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18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4:26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18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4:26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4:26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18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4:26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4:26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4:26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4:26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4:26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4:26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4:26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4:26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4:26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4:26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4:26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4:26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4:26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4:26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4:26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4:26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4:26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4:26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4:26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4:26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4:26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4:26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4:26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4:26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4:26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4:26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4:26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4:26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4:26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4:26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4:26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4:26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4:26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4:26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4:26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4:26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4:26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4:26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4:26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4:26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4:26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4:26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4:26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4:26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4:26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4:26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4:26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4:26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4:26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4:26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4:26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4:26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4:26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4:26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4:26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4:26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4:26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4:26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4:26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4:26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4:26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4:26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4:26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4:26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4:26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4:26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4:26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4:26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4:26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4:26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4:26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4:26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4:26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4:26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4:26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4:26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4:26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4:26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4:26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4:26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4:26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4:26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4:26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4:26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4:26" ht="16.5" customHeight="1">
      <c r="D152" s="180"/>
      <c r="E152" s="180"/>
      <c r="F152" s="180"/>
      <c r="Y152" s="180"/>
      <c r="Z152" s="180"/>
    </row>
    <row r="153" spans="4:6" ht="16.5" customHeight="1">
      <c r="D153" s="180"/>
      <c r="E153" s="180"/>
      <c r="F153" s="180"/>
    </row>
    <row r="154" spans="4:6" ht="16.5" customHeight="1">
      <c r="D154" s="180"/>
      <c r="E154" s="180"/>
      <c r="F154" s="180"/>
    </row>
    <row r="155" spans="4:6" ht="16.5" customHeight="1">
      <c r="D155" s="180"/>
      <c r="E155" s="180"/>
      <c r="F155" s="180"/>
    </row>
    <row r="156" spans="4:6" ht="16.5" customHeight="1">
      <c r="D156" s="180"/>
      <c r="E156" s="180"/>
      <c r="F156" s="180"/>
    </row>
    <row r="157" spans="4:6" ht="16.5" customHeight="1">
      <c r="D157" s="180"/>
      <c r="E157" s="180"/>
      <c r="F157" s="180"/>
    </row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0" r:id="rId2"/>
  <headerFooter alignWithMargins="0">
    <oddFooter>&amp;L&amp;"Times New Roman,Normal"&amp;8&amp;F-&amp;A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39">
    <pageSetUpPr fitToPage="1"/>
  </sheetPr>
  <dimension ref="A1:Z166"/>
  <sheetViews>
    <sheetView zoomScale="75" zoomScaleNormal="75" workbookViewId="0" topLeftCell="A1">
      <selection activeCell="B3" sqref="B3"/>
    </sheetView>
  </sheetViews>
  <sheetFormatPr defaultColWidth="11.421875" defaultRowHeight="12.75"/>
  <cols>
    <col min="1" max="1" width="20.7109375" style="0" customWidth="1"/>
    <col min="2" max="2" width="15.7109375" style="0" customWidth="1"/>
    <col min="3" max="3" width="4.7109375" style="0" customWidth="1"/>
    <col min="4" max="4" width="30.7109375" style="0" customWidth="1"/>
    <col min="5" max="5" width="25.7109375" style="0" customWidth="1"/>
    <col min="6" max="6" width="8.7109375" style="0" customWidth="1"/>
    <col min="7" max="7" width="13.421875" style="0" hidden="1" customWidth="1"/>
    <col min="8" max="9" width="15.7109375" style="0" customWidth="1"/>
    <col min="10" max="11" width="9.7109375" style="0" customWidth="1"/>
    <col min="12" max="12" width="10.8515625" style="0" customWidth="1"/>
    <col min="13" max="13" width="9.7109375" style="0" customWidth="1"/>
    <col min="14" max="14" width="6.00390625" style="0" customWidth="1"/>
    <col min="15" max="15" width="12.421875" style="0" hidden="1" customWidth="1"/>
    <col min="16" max="16" width="14.57421875" style="0" hidden="1" customWidth="1"/>
    <col min="17" max="17" width="16.57421875" style="0" hidden="1" customWidth="1"/>
    <col min="18" max="20" width="15.140625" style="0" hidden="1" customWidth="1"/>
    <col min="21" max="21" width="9.7109375" style="0" customWidth="1"/>
    <col min="22" max="24" width="15.7109375" style="0" customWidth="1"/>
  </cols>
  <sheetData>
    <row r="1" s="19" customFormat="1" ht="26.25">
      <c r="X1" s="147"/>
    </row>
    <row r="2" spans="1:24" s="19" customFormat="1" ht="26.25">
      <c r="A2" s="90"/>
      <c r="B2" s="445" t="str">
        <f>+'TOT-0907'!B2</f>
        <v>ANEXO V al Memorandum D.T.E.E. N°  719/2011</v>
      </c>
      <c r="C2" s="445"/>
      <c r="D2" s="445"/>
      <c r="E2" s="445"/>
      <c r="F2" s="445"/>
      <c r="G2" s="445"/>
      <c r="H2" s="445"/>
      <c r="I2" s="445"/>
      <c r="J2" s="445"/>
      <c r="K2" s="445"/>
      <c r="L2" s="445"/>
      <c r="M2" s="445"/>
      <c r="N2" s="445"/>
      <c r="O2" s="445"/>
      <c r="P2" s="445"/>
      <c r="Q2" s="445"/>
      <c r="R2" s="445"/>
      <c r="S2" s="445"/>
      <c r="T2" s="445"/>
      <c r="U2" s="445"/>
      <c r="V2" s="445"/>
      <c r="W2" s="445"/>
      <c r="X2" s="445"/>
    </row>
    <row r="3" s="5" customFormat="1" ht="12.75">
      <c r="A3" s="89"/>
    </row>
    <row r="4" spans="1:2" s="26" customFormat="1" ht="11.25">
      <c r="A4" s="24" t="s">
        <v>1</v>
      </c>
      <c r="B4" s="126"/>
    </row>
    <row r="5" spans="1:2" s="26" customFormat="1" ht="11.25">
      <c r="A5" s="24" t="s">
        <v>2</v>
      </c>
      <c r="B5" s="126"/>
    </row>
    <row r="6" s="5" customFormat="1" ht="13.5" thickBot="1"/>
    <row r="7" spans="2:24" s="5" customFormat="1" ht="13.5" thickTop="1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2"/>
    </row>
    <row r="8" spans="2:24" s="30" customFormat="1" ht="20.25">
      <c r="B8" s="80"/>
      <c r="D8" s="179" t="s">
        <v>69</v>
      </c>
      <c r="E8" s="446"/>
      <c r="F8" s="176"/>
      <c r="G8" s="175"/>
      <c r="H8" s="175"/>
      <c r="I8" s="175"/>
      <c r="J8" s="175"/>
      <c r="K8" s="175"/>
      <c r="L8" s="175"/>
      <c r="M8" s="175"/>
      <c r="N8" s="176"/>
      <c r="O8" s="176"/>
      <c r="P8" s="176"/>
      <c r="Q8" s="176"/>
      <c r="R8" s="176"/>
      <c r="S8" s="176"/>
      <c r="T8" s="176"/>
      <c r="U8" s="176"/>
      <c r="V8" s="176"/>
      <c r="W8" s="176"/>
      <c r="X8" s="447"/>
    </row>
    <row r="9" spans="2:24" s="5" customFormat="1" ht="12.75">
      <c r="B9" s="51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6"/>
    </row>
    <row r="10" spans="2:24" s="30" customFormat="1" ht="20.25">
      <c r="B10" s="80"/>
      <c r="D10" s="11" t="s">
        <v>70</v>
      </c>
      <c r="F10" s="448"/>
      <c r="G10" s="82"/>
      <c r="H10" s="82"/>
      <c r="I10" s="82"/>
      <c r="J10" s="82"/>
      <c r="K10" s="82"/>
      <c r="L10" s="82"/>
      <c r="M10" s="82"/>
      <c r="N10" s="82"/>
      <c r="O10" s="82"/>
      <c r="P10" s="31"/>
      <c r="Q10" s="31"/>
      <c r="R10" s="31"/>
      <c r="S10" s="31"/>
      <c r="T10" s="31"/>
      <c r="U10" s="31"/>
      <c r="V10" s="31"/>
      <c r="W10" s="31"/>
      <c r="X10" s="81"/>
    </row>
    <row r="11" spans="2:24" s="5" customFormat="1" ht="16.5" customHeight="1">
      <c r="B11" s="51"/>
      <c r="C11" s="4"/>
      <c r="D11" s="79"/>
      <c r="F11" s="32"/>
      <c r="G11" s="73"/>
      <c r="H11" s="73"/>
      <c r="I11" s="73"/>
      <c r="J11" s="73"/>
      <c r="K11" s="73"/>
      <c r="L11" s="73"/>
      <c r="M11" s="73"/>
      <c r="N11" s="73"/>
      <c r="O11" s="73"/>
      <c r="P11" s="4"/>
      <c r="Q11" s="4"/>
      <c r="R11" s="4"/>
      <c r="S11" s="4"/>
      <c r="T11" s="4"/>
      <c r="U11" s="4"/>
      <c r="V11" s="4"/>
      <c r="W11" s="4"/>
      <c r="X11" s="6"/>
    </row>
    <row r="12" spans="2:24" s="30" customFormat="1" ht="20.25">
      <c r="B12" s="80"/>
      <c r="D12" s="11" t="s">
        <v>71</v>
      </c>
      <c r="F12" s="448"/>
      <c r="G12" s="82"/>
      <c r="H12" s="82"/>
      <c r="I12" s="82"/>
      <c r="J12" s="82"/>
      <c r="K12" s="82"/>
      <c r="L12" s="82"/>
      <c r="M12" s="82"/>
      <c r="N12" s="82"/>
      <c r="O12" s="82"/>
      <c r="P12" s="31"/>
      <c r="Q12" s="31"/>
      <c r="R12" s="31"/>
      <c r="S12" s="31"/>
      <c r="T12" s="31"/>
      <c r="U12" s="31"/>
      <c r="V12" s="31"/>
      <c r="W12" s="31"/>
      <c r="X12" s="81"/>
    </row>
    <row r="13" spans="2:24" s="5" customFormat="1" ht="16.5" customHeight="1">
      <c r="B13" s="51"/>
      <c r="C13" s="4"/>
      <c r="D13" s="79"/>
      <c r="F13" s="32"/>
      <c r="G13" s="73"/>
      <c r="H13" s="73"/>
      <c r="I13" s="73"/>
      <c r="J13" s="73"/>
      <c r="K13" s="73"/>
      <c r="L13" s="73"/>
      <c r="M13" s="73"/>
      <c r="N13" s="73"/>
      <c r="O13" s="73"/>
      <c r="P13" s="4"/>
      <c r="Q13" s="4"/>
      <c r="R13" s="4"/>
      <c r="S13" s="4"/>
      <c r="T13" s="4"/>
      <c r="U13" s="4"/>
      <c r="V13" s="4"/>
      <c r="W13" s="4"/>
      <c r="X13" s="6"/>
    </row>
    <row r="14" spans="2:24" s="37" customFormat="1" ht="16.5" customHeight="1">
      <c r="B14" s="38" t="str">
        <f>'[1]TOT-0907'!B14</f>
        <v>Desde el 01 al 30 de septiembre de 2007</v>
      </c>
      <c r="C14" s="449"/>
      <c r="D14" s="450"/>
      <c r="E14" s="450"/>
      <c r="F14" s="450"/>
      <c r="G14" s="450"/>
      <c r="H14" s="450"/>
      <c r="I14" s="450"/>
      <c r="J14" s="450"/>
      <c r="K14" s="450"/>
      <c r="L14" s="450"/>
      <c r="M14" s="450"/>
      <c r="N14" s="450"/>
      <c r="O14" s="450"/>
      <c r="P14" s="449"/>
      <c r="Q14" s="449"/>
      <c r="R14" s="449"/>
      <c r="S14" s="449"/>
      <c r="T14" s="449"/>
      <c r="U14" s="449"/>
      <c r="V14" s="449"/>
      <c r="W14" s="449"/>
      <c r="X14" s="451"/>
    </row>
    <row r="15" spans="2:24" s="5" customFormat="1" ht="16.5" customHeight="1" thickBot="1">
      <c r="B15" s="51"/>
      <c r="C15" s="4"/>
      <c r="D15" s="4"/>
      <c r="E15" s="4"/>
      <c r="F15" s="4"/>
      <c r="G15" s="4"/>
      <c r="H15" s="4"/>
      <c r="I15" s="4"/>
      <c r="J15" s="4"/>
      <c r="K15" s="4"/>
      <c r="P15" s="4"/>
      <c r="Q15" s="4"/>
      <c r="R15" s="4"/>
      <c r="S15" s="4"/>
      <c r="T15" s="4"/>
      <c r="U15" s="4"/>
      <c r="V15" s="4"/>
      <c r="W15" s="4"/>
      <c r="X15" s="6"/>
    </row>
    <row r="16" spans="2:24" s="5" customFormat="1" ht="16.5" customHeight="1" thickBot="1" thickTop="1">
      <c r="B16" s="51"/>
      <c r="C16" s="4"/>
      <c r="D16" s="118" t="s">
        <v>60</v>
      </c>
      <c r="E16" s="452"/>
      <c r="F16" s="728">
        <v>0.245</v>
      </c>
      <c r="G16" s="387"/>
      <c r="H16"/>
      <c r="I16" s="4"/>
      <c r="J16" s="4"/>
      <c r="K16" s="4"/>
      <c r="L16" s="4"/>
      <c r="M16" s="4"/>
      <c r="O16" s="4"/>
      <c r="P16" s="4"/>
      <c r="Q16" s="4"/>
      <c r="R16" s="4"/>
      <c r="S16" s="4"/>
      <c r="T16" s="4"/>
      <c r="U16" s="4"/>
      <c r="V16" s="4"/>
      <c r="W16" s="4"/>
      <c r="X16" s="6"/>
    </row>
    <row r="17" spans="2:24" s="5" customFormat="1" ht="16.5" customHeight="1" thickBot="1" thickTop="1">
      <c r="B17" s="51"/>
      <c r="C17" s="4"/>
      <c r="D17" s="453" t="s">
        <v>25</v>
      </c>
      <c r="E17" s="454"/>
      <c r="F17" s="729">
        <v>20</v>
      </c>
      <c r="G17" s="387"/>
      <c r="H17"/>
      <c r="I17" s="249"/>
      <c r="J17" s="250"/>
      <c r="K17" s="4"/>
      <c r="L17" s="4"/>
      <c r="M17" s="4"/>
      <c r="O17" s="4"/>
      <c r="P17" s="4"/>
      <c r="Q17" s="4"/>
      <c r="R17" s="116"/>
      <c r="S17" s="116"/>
      <c r="T17" s="116"/>
      <c r="U17" s="116"/>
      <c r="V17" s="116"/>
      <c r="W17" s="116"/>
      <c r="X17" s="6"/>
    </row>
    <row r="18" spans="2:24" s="5" customFormat="1" ht="16.5" customHeight="1" thickBot="1" thickTop="1">
      <c r="B18" s="51"/>
      <c r="C18" s="67"/>
      <c r="D18" s="455"/>
      <c r="E18" s="456"/>
      <c r="F18" s="456"/>
      <c r="G18" s="227"/>
      <c r="H18" s="227"/>
      <c r="I18" s="227"/>
      <c r="J18" s="227"/>
      <c r="K18" s="227"/>
      <c r="L18" s="227"/>
      <c r="M18" s="227"/>
      <c r="N18" s="227"/>
      <c r="O18" s="457"/>
      <c r="P18" s="458"/>
      <c r="Q18" s="459"/>
      <c r="R18" s="459"/>
      <c r="S18" s="459"/>
      <c r="T18" s="459"/>
      <c r="U18" s="460"/>
      <c r="V18" s="461"/>
      <c r="W18" s="461"/>
      <c r="X18" s="6"/>
    </row>
    <row r="19" spans="2:24" s="5" customFormat="1" ht="33.75" customHeight="1" thickBot="1" thickTop="1">
      <c r="B19" s="51"/>
      <c r="C19" s="85" t="s">
        <v>12</v>
      </c>
      <c r="D19" s="87" t="s">
        <v>26</v>
      </c>
      <c r="E19" s="86" t="s">
        <v>27</v>
      </c>
      <c r="F19" s="462" t="s">
        <v>28</v>
      </c>
      <c r="G19" s="137" t="s">
        <v>15</v>
      </c>
      <c r="H19" s="86" t="s">
        <v>16</v>
      </c>
      <c r="I19" s="86" t="s">
        <v>17</v>
      </c>
      <c r="J19" s="87" t="s">
        <v>35</v>
      </c>
      <c r="K19" s="87" t="s">
        <v>30</v>
      </c>
      <c r="L19" s="88" t="s">
        <v>18</v>
      </c>
      <c r="M19" s="88" t="s">
        <v>43</v>
      </c>
      <c r="N19" s="86" t="s">
        <v>31</v>
      </c>
      <c r="O19" s="137" t="s">
        <v>36</v>
      </c>
      <c r="P19" s="463" t="s">
        <v>54</v>
      </c>
      <c r="Q19" s="464" t="s">
        <v>72</v>
      </c>
      <c r="R19" s="465"/>
      <c r="S19" s="466" t="s">
        <v>21</v>
      </c>
      <c r="T19" s="307" t="s">
        <v>20</v>
      </c>
      <c r="U19" s="140" t="s">
        <v>58</v>
      </c>
      <c r="V19" s="467" t="s">
        <v>22</v>
      </c>
      <c r="W19" s="467" t="s">
        <v>211</v>
      </c>
      <c r="X19" s="6"/>
    </row>
    <row r="20" spans="2:24" s="5" customFormat="1" ht="16.5" customHeight="1" thickTop="1">
      <c r="B20" s="51"/>
      <c r="C20" s="468"/>
      <c r="D20" s="469"/>
      <c r="E20" s="469"/>
      <c r="F20" s="469"/>
      <c r="G20" s="376"/>
      <c r="H20" s="470"/>
      <c r="I20" s="470"/>
      <c r="J20" s="468"/>
      <c r="K20" s="468"/>
      <c r="L20" s="210"/>
      <c r="M20" s="7"/>
      <c r="N20" s="468"/>
      <c r="O20" s="471"/>
      <c r="P20" s="472"/>
      <c r="Q20" s="473"/>
      <c r="R20" s="474"/>
      <c r="S20" s="475"/>
      <c r="T20" s="475"/>
      <c r="U20" s="476"/>
      <c r="V20" s="477"/>
      <c r="W20" s="477"/>
      <c r="X20" s="6"/>
    </row>
    <row r="21" spans="2:24" s="5" customFormat="1" ht="16.5" customHeight="1">
      <c r="B21" s="51"/>
      <c r="C21" s="326"/>
      <c r="D21" s="478"/>
      <c r="E21" s="479"/>
      <c r="F21" s="480"/>
      <c r="G21" s="481"/>
      <c r="H21" s="482"/>
      <c r="I21" s="483"/>
      <c r="J21" s="484"/>
      <c r="K21" s="485"/>
      <c r="L21" s="211"/>
      <c r="M21" s="212"/>
      <c r="N21" s="486"/>
      <c r="O21" s="487"/>
      <c r="P21" s="488"/>
      <c r="Q21" s="489"/>
      <c r="R21" s="490"/>
      <c r="S21" s="491"/>
      <c r="T21" s="491"/>
      <c r="U21" s="486"/>
      <c r="V21" s="378">
        <f>'RE-09 (1)'!V42</f>
        <v>63711.02</v>
      </c>
      <c r="W21" s="378">
        <f>'RE-09 (1)'!W42</f>
        <v>41459.331399967115</v>
      </c>
      <c r="X21" s="6"/>
    </row>
    <row r="22" spans="2:25" s="5" customFormat="1" ht="16.5" customHeight="1">
      <c r="B22" s="51"/>
      <c r="C22" s="10">
        <v>85</v>
      </c>
      <c r="D22" s="578" t="s">
        <v>122</v>
      </c>
      <c r="E22" s="748" t="s">
        <v>178</v>
      </c>
      <c r="F22" s="149">
        <v>245</v>
      </c>
      <c r="G22" s="330">
        <f aca="true" t="shared" si="0" ref="G22:G32">F22*$F$16</f>
        <v>60.025</v>
      </c>
      <c r="H22" s="482">
        <v>39344.25069444445</v>
      </c>
      <c r="I22" s="483">
        <v>39344.55347222222</v>
      </c>
      <c r="J22" s="425">
        <f aca="true" t="shared" si="1" ref="J22:J32">IF(D22="","",(I22-H22)*24)</f>
        <v>7.2666666666045785</v>
      </c>
      <c r="K22" s="426">
        <f aca="true" t="shared" si="2" ref="K22:K32">IF(D22="","",ROUND((I22-H22)*24*60,0))</f>
        <v>436</v>
      </c>
      <c r="L22" s="267" t="s">
        <v>109</v>
      </c>
      <c r="M22" s="212" t="str">
        <f>IF(D22="","","--")</f>
        <v>--</v>
      </c>
      <c r="N22" s="156" t="str">
        <f aca="true" t="shared" si="3" ref="N22:N49">IF(D22="","",IF(OR(L22="P",L22="RP"),"--","NO"))</f>
        <v>--</v>
      </c>
      <c r="O22" s="492">
        <f aca="true" t="shared" si="4" ref="O22:O32">IF(OR(L22="P",L22="RP"),$F$17/10,$F$17)</f>
        <v>2</v>
      </c>
      <c r="P22" s="493">
        <f aca="true" t="shared" si="5" ref="P22:P32">IF(L22="P",G22*O22*ROUND(K22/60,2),"--")</f>
        <v>872.7634999999999</v>
      </c>
      <c r="Q22" s="494" t="str">
        <f aca="true" t="shared" si="6" ref="Q22:Q32">IF(AND(L22="F",N22="NO"),G22*O22,"--")</f>
        <v>--</v>
      </c>
      <c r="R22" s="495" t="str">
        <f aca="true" t="shared" si="7" ref="R22:R32">IF(L22="F",G22*O22*ROUND(K22/60,2),"--")</f>
        <v>--</v>
      </c>
      <c r="S22" s="496" t="str">
        <f aca="true" t="shared" si="8" ref="S22:S32">IF(L22="RF",G22*O22*ROUND(K22/60,2),"--")</f>
        <v>--</v>
      </c>
      <c r="T22" s="334"/>
      <c r="U22" s="156" t="str">
        <f aca="true" t="shared" si="9" ref="U22:U32">IF(D22="","","SI")</f>
        <v>SI</v>
      </c>
      <c r="V22" s="431">
        <f>IF(D22="","",SUM(P22:T22)*IF(U22="SI",1,2))</f>
        <v>872.7634999999999</v>
      </c>
      <c r="W22" s="431">
        <f>V22*(1-$Y$22)</f>
        <v>567.9424063800155</v>
      </c>
      <c r="X22" s="6"/>
      <c r="Y22" s="756">
        <v>0.3492596718583952</v>
      </c>
    </row>
    <row r="23" spans="2:24" s="5" customFormat="1" ht="16.5" customHeight="1">
      <c r="B23" s="51"/>
      <c r="C23" s="326">
        <v>86</v>
      </c>
      <c r="D23" s="578" t="s">
        <v>122</v>
      </c>
      <c r="E23" s="748" t="s">
        <v>173</v>
      </c>
      <c r="F23" s="149">
        <v>245</v>
      </c>
      <c r="G23" s="330">
        <f t="shared" si="0"/>
        <v>60.025</v>
      </c>
      <c r="H23" s="482">
        <v>39345.263194444444</v>
      </c>
      <c r="I23" s="483">
        <v>39345.74236111111</v>
      </c>
      <c r="J23" s="425">
        <f t="shared" si="1"/>
        <v>11.499999999941792</v>
      </c>
      <c r="K23" s="426">
        <f t="shared" si="2"/>
        <v>690</v>
      </c>
      <c r="L23" s="267" t="s">
        <v>109</v>
      </c>
      <c r="M23" s="212" t="str">
        <f>IF(D23="","","--")</f>
        <v>--</v>
      </c>
      <c r="N23" s="156" t="str">
        <f t="shared" si="3"/>
        <v>--</v>
      </c>
      <c r="O23" s="492">
        <f t="shared" si="4"/>
        <v>2</v>
      </c>
      <c r="P23" s="493">
        <f t="shared" si="5"/>
        <v>1380.575</v>
      </c>
      <c r="Q23" s="494" t="str">
        <f t="shared" si="6"/>
        <v>--</v>
      </c>
      <c r="R23" s="495" t="str">
        <f t="shared" si="7"/>
        <v>--</v>
      </c>
      <c r="S23" s="496" t="str">
        <f t="shared" si="8"/>
        <v>--</v>
      </c>
      <c r="T23" s="334"/>
      <c r="U23" s="156" t="str">
        <f t="shared" si="9"/>
        <v>SI</v>
      </c>
      <c r="V23" s="431">
        <f>IF(D23="","",SUM(P23:T23)*IF(U23="SI",1,2))</f>
        <v>1380.575</v>
      </c>
      <c r="W23" s="431">
        <f aca="true" t="shared" si="10" ref="W23:W49">V23*(1-$Y$22)</f>
        <v>898.3958285240961</v>
      </c>
      <c r="X23" s="6"/>
    </row>
    <row r="24" spans="2:24" s="5" customFormat="1" ht="16.5" customHeight="1">
      <c r="B24" s="51"/>
      <c r="C24" s="326">
        <v>87</v>
      </c>
      <c r="D24" s="578" t="s">
        <v>122</v>
      </c>
      <c r="E24" s="748" t="s">
        <v>174</v>
      </c>
      <c r="F24" s="149">
        <v>245</v>
      </c>
      <c r="G24" s="330">
        <f t="shared" si="0"/>
        <v>60.025</v>
      </c>
      <c r="H24" s="482">
        <v>39345.263194444444</v>
      </c>
      <c r="I24" s="483">
        <v>39345.75208333333</v>
      </c>
      <c r="J24" s="425">
        <f t="shared" si="1"/>
        <v>11.733333333337214</v>
      </c>
      <c r="K24" s="426">
        <f t="shared" si="2"/>
        <v>704</v>
      </c>
      <c r="L24" s="267" t="s">
        <v>109</v>
      </c>
      <c r="M24" s="212" t="str">
        <f>IF(D24="","","--")</f>
        <v>--</v>
      </c>
      <c r="N24" s="156" t="str">
        <f t="shared" si="3"/>
        <v>--</v>
      </c>
      <c r="O24" s="492">
        <f t="shared" si="4"/>
        <v>2</v>
      </c>
      <c r="P24" s="493">
        <f t="shared" si="5"/>
        <v>1408.1865</v>
      </c>
      <c r="Q24" s="494" t="str">
        <f t="shared" si="6"/>
        <v>--</v>
      </c>
      <c r="R24" s="495" t="str">
        <f t="shared" si="7"/>
        <v>--</v>
      </c>
      <c r="S24" s="496" t="str">
        <f t="shared" si="8"/>
        <v>--</v>
      </c>
      <c r="T24" s="334"/>
      <c r="U24" s="156" t="str">
        <f t="shared" si="9"/>
        <v>SI</v>
      </c>
      <c r="V24" s="431">
        <f>IF(D24="","",SUM(P24:T24)*IF(U24="SI",1,2))</f>
        <v>1408.1865</v>
      </c>
      <c r="W24" s="431">
        <f t="shared" si="10"/>
        <v>916.3637450945781</v>
      </c>
      <c r="X24" s="6"/>
    </row>
    <row r="25" spans="2:24" s="5" customFormat="1" ht="16.5" customHeight="1">
      <c r="B25" s="51"/>
      <c r="C25" s="326">
        <v>88</v>
      </c>
      <c r="D25" s="578" t="s">
        <v>122</v>
      </c>
      <c r="E25" s="748" t="s">
        <v>173</v>
      </c>
      <c r="F25" s="149">
        <v>245</v>
      </c>
      <c r="G25" s="330">
        <f t="shared" si="0"/>
        <v>60.025</v>
      </c>
      <c r="H25" s="482">
        <v>39345.743055555555</v>
      </c>
      <c r="I25" s="483">
        <v>39351.16805555556</v>
      </c>
      <c r="J25" s="425">
        <f t="shared" si="1"/>
        <v>130.20000000006985</v>
      </c>
      <c r="K25" s="426">
        <f t="shared" si="2"/>
        <v>7812</v>
      </c>
      <c r="L25" s="267" t="s">
        <v>117</v>
      </c>
      <c r="M25" s="212">
        <v>51.02</v>
      </c>
      <c r="N25" s="156" t="str">
        <f t="shared" si="3"/>
        <v>NO</v>
      </c>
      <c r="O25" s="492">
        <f t="shared" si="4"/>
        <v>20</v>
      </c>
      <c r="P25" s="493" t="str">
        <f t="shared" si="5"/>
        <v>--</v>
      </c>
      <c r="Q25" s="494">
        <f t="shared" si="6"/>
        <v>1200.5</v>
      </c>
      <c r="R25" s="495">
        <f t="shared" si="7"/>
        <v>156305.09999999998</v>
      </c>
      <c r="S25" s="496" t="str">
        <f t="shared" si="8"/>
        <v>--</v>
      </c>
      <c r="T25" s="334"/>
      <c r="U25" s="156" t="str">
        <f t="shared" si="9"/>
        <v>SI</v>
      </c>
      <c r="V25" s="431">
        <v>0</v>
      </c>
      <c r="W25" s="431">
        <f t="shared" si="10"/>
        <v>0</v>
      </c>
      <c r="X25" s="6"/>
    </row>
    <row r="26" spans="2:24" s="5" customFormat="1" ht="16.5" customHeight="1">
      <c r="B26" s="51"/>
      <c r="C26" s="326">
        <v>89</v>
      </c>
      <c r="D26" s="578" t="s">
        <v>122</v>
      </c>
      <c r="E26" s="748" t="s">
        <v>174</v>
      </c>
      <c r="F26" s="149">
        <v>245</v>
      </c>
      <c r="G26" s="330">
        <f t="shared" si="0"/>
        <v>60.025</v>
      </c>
      <c r="H26" s="482">
        <v>39345.75277777778</v>
      </c>
      <c r="I26" s="483">
        <v>39351.16875</v>
      </c>
      <c r="J26" s="425">
        <f t="shared" si="1"/>
        <v>129.9833333332208</v>
      </c>
      <c r="K26" s="426">
        <f t="shared" si="2"/>
        <v>7799</v>
      </c>
      <c r="L26" s="267" t="s">
        <v>117</v>
      </c>
      <c r="M26" s="212">
        <v>51.02</v>
      </c>
      <c r="N26" s="156" t="str">
        <f t="shared" si="3"/>
        <v>NO</v>
      </c>
      <c r="O26" s="492">
        <f t="shared" si="4"/>
        <v>20</v>
      </c>
      <c r="P26" s="493" t="str">
        <f t="shared" si="5"/>
        <v>--</v>
      </c>
      <c r="Q26" s="494">
        <f t="shared" si="6"/>
        <v>1200.5</v>
      </c>
      <c r="R26" s="495">
        <f t="shared" si="7"/>
        <v>156040.99</v>
      </c>
      <c r="S26" s="496" t="str">
        <f t="shared" si="8"/>
        <v>--</v>
      </c>
      <c r="T26" s="334"/>
      <c r="U26" s="156" t="str">
        <f t="shared" si="9"/>
        <v>SI</v>
      </c>
      <c r="V26" s="431">
        <v>0</v>
      </c>
      <c r="W26" s="431">
        <f t="shared" si="10"/>
        <v>0</v>
      </c>
      <c r="X26" s="6"/>
    </row>
    <row r="27" spans="2:24" s="5" customFormat="1" ht="16.5" customHeight="1">
      <c r="B27" s="51"/>
      <c r="C27" s="326">
        <v>90</v>
      </c>
      <c r="D27" s="578" t="s">
        <v>122</v>
      </c>
      <c r="E27" s="748" t="s">
        <v>179</v>
      </c>
      <c r="F27" s="149">
        <v>245</v>
      </c>
      <c r="G27" s="330">
        <f t="shared" si="0"/>
        <v>60.025</v>
      </c>
      <c r="H27" s="482">
        <v>39346.251388888886</v>
      </c>
      <c r="I27" s="483">
        <v>39346.6875</v>
      </c>
      <c r="J27" s="425">
        <f t="shared" si="1"/>
        <v>10.466666666732635</v>
      </c>
      <c r="K27" s="426">
        <f t="shared" si="2"/>
        <v>628</v>
      </c>
      <c r="L27" s="267" t="s">
        <v>109</v>
      </c>
      <c r="M27" s="212" t="str">
        <f>IF(D27="","","--")</f>
        <v>--</v>
      </c>
      <c r="N27" s="156" t="str">
        <f t="shared" si="3"/>
        <v>--</v>
      </c>
      <c r="O27" s="492">
        <f t="shared" si="4"/>
        <v>2</v>
      </c>
      <c r="P27" s="493">
        <f t="shared" si="5"/>
        <v>1256.9235</v>
      </c>
      <c r="Q27" s="494" t="str">
        <f t="shared" si="6"/>
        <v>--</v>
      </c>
      <c r="R27" s="495" t="str">
        <f t="shared" si="7"/>
        <v>--</v>
      </c>
      <c r="S27" s="496" t="str">
        <f t="shared" si="8"/>
        <v>--</v>
      </c>
      <c r="T27" s="334"/>
      <c r="U27" s="156" t="str">
        <f t="shared" si="9"/>
        <v>SI</v>
      </c>
      <c r="V27" s="431">
        <f>IF(D27="","",SUM(P27:T27)*IF(U27="SI",1,2))</f>
        <v>1256.9235</v>
      </c>
      <c r="W27" s="431">
        <f t="shared" si="10"/>
        <v>817.9308108388946</v>
      </c>
      <c r="X27" s="6"/>
    </row>
    <row r="28" spans="2:24" s="5" customFormat="1" ht="16.5" customHeight="1">
      <c r="B28" s="51"/>
      <c r="C28" s="326">
        <v>91</v>
      </c>
      <c r="D28" s="578" t="s">
        <v>122</v>
      </c>
      <c r="E28" s="748" t="s">
        <v>180</v>
      </c>
      <c r="F28" s="149">
        <v>245</v>
      </c>
      <c r="G28" s="330">
        <f t="shared" si="0"/>
        <v>60.025</v>
      </c>
      <c r="H28" s="482">
        <v>39346.34444444445</v>
      </c>
      <c r="I28" s="483">
        <v>39346.68541666667</v>
      </c>
      <c r="J28" s="425">
        <f t="shared" si="1"/>
        <v>8.183333333290648</v>
      </c>
      <c r="K28" s="426">
        <f t="shared" si="2"/>
        <v>491</v>
      </c>
      <c r="L28" s="267" t="s">
        <v>109</v>
      </c>
      <c r="M28" s="212" t="str">
        <f>IF(D28="","","--")</f>
        <v>--</v>
      </c>
      <c r="N28" s="156" t="str">
        <f t="shared" si="3"/>
        <v>--</v>
      </c>
      <c r="O28" s="492">
        <f t="shared" si="4"/>
        <v>2</v>
      </c>
      <c r="P28" s="493">
        <f t="shared" si="5"/>
        <v>982.0089999999999</v>
      </c>
      <c r="Q28" s="494" t="str">
        <f t="shared" si="6"/>
        <v>--</v>
      </c>
      <c r="R28" s="495" t="str">
        <f t="shared" si="7"/>
        <v>--</v>
      </c>
      <c r="S28" s="496" t="str">
        <f t="shared" si="8"/>
        <v>--</v>
      </c>
      <c r="T28" s="334"/>
      <c r="U28" s="156" t="str">
        <f t="shared" si="9"/>
        <v>SI</v>
      </c>
      <c r="V28" s="431">
        <f>IF(D28="","",SUM(P28:T28)*IF(U28="SI",1,2))</f>
        <v>982.0089999999999</v>
      </c>
      <c r="W28" s="431">
        <f t="shared" si="10"/>
        <v>639.0328588980092</v>
      </c>
      <c r="X28" s="6"/>
    </row>
    <row r="29" spans="2:24" s="5" customFormat="1" ht="16.5" customHeight="1">
      <c r="B29" s="51"/>
      <c r="C29" s="326">
        <v>92</v>
      </c>
      <c r="D29" s="578" t="s">
        <v>122</v>
      </c>
      <c r="E29" s="748" t="s">
        <v>180</v>
      </c>
      <c r="F29" s="149">
        <v>245</v>
      </c>
      <c r="G29" s="330">
        <f t="shared" si="0"/>
        <v>60.025</v>
      </c>
      <c r="H29" s="482">
        <v>39349.24930555555</v>
      </c>
      <c r="I29" s="483">
        <v>39349.59097222222</v>
      </c>
      <c r="J29" s="425">
        <f t="shared" si="1"/>
        <v>8.200000000011642</v>
      </c>
      <c r="K29" s="426">
        <f t="shared" si="2"/>
        <v>492</v>
      </c>
      <c r="L29" s="267" t="s">
        <v>109</v>
      </c>
      <c r="M29" s="212" t="str">
        <f>IF(D29="","","--")</f>
        <v>--</v>
      </c>
      <c r="N29" s="156" t="str">
        <f t="shared" si="3"/>
        <v>--</v>
      </c>
      <c r="O29" s="492">
        <f t="shared" si="4"/>
        <v>2</v>
      </c>
      <c r="P29" s="493">
        <f t="shared" si="5"/>
        <v>984.4099999999999</v>
      </c>
      <c r="Q29" s="494" t="str">
        <f t="shared" si="6"/>
        <v>--</v>
      </c>
      <c r="R29" s="495" t="str">
        <f t="shared" si="7"/>
        <v>--</v>
      </c>
      <c r="S29" s="496" t="str">
        <f t="shared" si="8"/>
        <v>--</v>
      </c>
      <c r="T29" s="334"/>
      <c r="U29" s="156" t="str">
        <f t="shared" si="9"/>
        <v>SI</v>
      </c>
      <c r="V29" s="431">
        <f>IF(D29="","",SUM(P29:T29)*IF(U29="SI",1,2))</f>
        <v>984.4099999999999</v>
      </c>
      <c r="W29" s="431">
        <f t="shared" si="10"/>
        <v>640.5952864258771</v>
      </c>
      <c r="X29" s="6"/>
    </row>
    <row r="30" spans="2:24" s="5" customFormat="1" ht="16.5" customHeight="1">
      <c r="B30" s="51"/>
      <c r="C30" s="326">
        <v>93</v>
      </c>
      <c r="D30" s="578" t="s">
        <v>122</v>
      </c>
      <c r="E30" s="748" t="s">
        <v>173</v>
      </c>
      <c r="F30" s="149">
        <v>245</v>
      </c>
      <c r="G30" s="330">
        <f t="shared" si="0"/>
        <v>60.025</v>
      </c>
      <c r="H30" s="482">
        <v>39351.16875</v>
      </c>
      <c r="I30" s="483">
        <v>39351.856944444444</v>
      </c>
      <c r="J30" s="425">
        <f t="shared" si="1"/>
        <v>16.516666666720994</v>
      </c>
      <c r="K30" s="426">
        <f t="shared" si="2"/>
        <v>991</v>
      </c>
      <c r="L30" s="267" t="s">
        <v>109</v>
      </c>
      <c r="M30" s="212" t="str">
        <f>IF(D30="","","--")</f>
        <v>--</v>
      </c>
      <c r="N30" s="156" t="str">
        <f t="shared" si="3"/>
        <v>--</v>
      </c>
      <c r="O30" s="492">
        <f t="shared" si="4"/>
        <v>2</v>
      </c>
      <c r="P30" s="493">
        <f t="shared" si="5"/>
        <v>1983.2259999999999</v>
      </c>
      <c r="Q30" s="494" t="str">
        <f t="shared" si="6"/>
        <v>--</v>
      </c>
      <c r="R30" s="495" t="str">
        <f t="shared" si="7"/>
        <v>--</v>
      </c>
      <c r="S30" s="496" t="str">
        <f t="shared" si="8"/>
        <v>--</v>
      </c>
      <c r="T30" s="334"/>
      <c r="U30" s="156" t="str">
        <f t="shared" si="9"/>
        <v>SI</v>
      </c>
      <c r="V30" s="431">
        <v>0</v>
      </c>
      <c r="W30" s="431">
        <f t="shared" si="10"/>
        <v>0</v>
      </c>
      <c r="X30" s="6"/>
    </row>
    <row r="31" spans="2:24" s="5" customFormat="1" ht="16.5" customHeight="1">
      <c r="B31" s="51"/>
      <c r="C31" s="326">
        <v>94</v>
      </c>
      <c r="D31" s="578" t="s">
        <v>122</v>
      </c>
      <c r="E31" s="748" t="s">
        <v>174</v>
      </c>
      <c r="F31" s="149">
        <v>245</v>
      </c>
      <c r="G31" s="330">
        <f t="shared" si="0"/>
        <v>60.025</v>
      </c>
      <c r="H31" s="482">
        <v>39351.169444444444</v>
      </c>
      <c r="I31" s="483">
        <v>39351.85833333333</v>
      </c>
      <c r="J31" s="425">
        <f t="shared" si="1"/>
        <v>16.533333333267365</v>
      </c>
      <c r="K31" s="426">
        <f t="shared" si="2"/>
        <v>992</v>
      </c>
      <c r="L31" s="267" t="s">
        <v>109</v>
      </c>
      <c r="M31" s="212" t="str">
        <f>IF(D31="","","--")</f>
        <v>--</v>
      </c>
      <c r="N31" s="156" t="str">
        <f t="shared" si="3"/>
        <v>--</v>
      </c>
      <c r="O31" s="492">
        <f t="shared" si="4"/>
        <v>2</v>
      </c>
      <c r="P31" s="493">
        <f t="shared" si="5"/>
        <v>1984.4265</v>
      </c>
      <c r="Q31" s="494" t="str">
        <f t="shared" si="6"/>
        <v>--</v>
      </c>
      <c r="R31" s="495" t="str">
        <f t="shared" si="7"/>
        <v>--</v>
      </c>
      <c r="S31" s="496" t="str">
        <f t="shared" si="8"/>
        <v>--</v>
      </c>
      <c r="T31" s="334"/>
      <c r="U31" s="156" t="str">
        <f t="shared" si="9"/>
        <v>SI</v>
      </c>
      <c r="V31" s="431">
        <v>0</v>
      </c>
      <c r="W31" s="431">
        <f t="shared" si="10"/>
        <v>0</v>
      </c>
      <c r="X31" s="6"/>
    </row>
    <row r="32" spans="2:24" s="5" customFormat="1" ht="16.5" customHeight="1">
      <c r="B32" s="51"/>
      <c r="C32" s="326">
        <v>95</v>
      </c>
      <c r="D32" s="578" t="s">
        <v>122</v>
      </c>
      <c r="E32" s="748" t="s">
        <v>173</v>
      </c>
      <c r="F32" s="149">
        <v>245</v>
      </c>
      <c r="G32" s="330">
        <f t="shared" si="0"/>
        <v>60.025</v>
      </c>
      <c r="H32" s="482">
        <v>39351.85763888889</v>
      </c>
      <c r="I32" s="483">
        <v>39352.31319444445</v>
      </c>
      <c r="J32" s="425">
        <f t="shared" si="1"/>
        <v>10.933333333348855</v>
      </c>
      <c r="K32" s="426">
        <f t="shared" si="2"/>
        <v>656</v>
      </c>
      <c r="L32" s="267" t="s">
        <v>117</v>
      </c>
      <c r="M32" s="212">
        <v>51.02</v>
      </c>
      <c r="N32" s="156" t="str">
        <f t="shared" si="3"/>
        <v>NO</v>
      </c>
      <c r="O32" s="492">
        <f t="shared" si="4"/>
        <v>20</v>
      </c>
      <c r="P32" s="493" t="str">
        <f t="shared" si="5"/>
        <v>--</v>
      </c>
      <c r="Q32" s="494">
        <f t="shared" si="6"/>
        <v>1200.5</v>
      </c>
      <c r="R32" s="495">
        <f t="shared" si="7"/>
        <v>13121.465</v>
      </c>
      <c r="S32" s="496" t="str">
        <f t="shared" si="8"/>
        <v>--</v>
      </c>
      <c r="T32" s="334"/>
      <c r="U32" s="156" t="str">
        <f t="shared" si="9"/>
        <v>SI</v>
      </c>
      <c r="V32" s="431">
        <v>0</v>
      </c>
      <c r="W32" s="431">
        <f t="shared" si="10"/>
        <v>0</v>
      </c>
      <c r="X32" s="6"/>
    </row>
    <row r="33" spans="2:24" s="5" customFormat="1" ht="16.5" customHeight="1">
      <c r="B33" s="51"/>
      <c r="C33" s="326">
        <v>96</v>
      </c>
      <c r="D33" s="578" t="s">
        <v>122</v>
      </c>
      <c r="E33" s="748" t="s">
        <v>174</v>
      </c>
      <c r="F33" s="149">
        <v>245</v>
      </c>
      <c r="G33" s="330">
        <f aca="true" t="shared" si="11" ref="G33:G49">F33*$F$16</f>
        <v>60.025</v>
      </c>
      <c r="H33" s="482">
        <v>39351.85902777778</v>
      </c>
      <c r="I33" s="483">
        <v>39352.31319444445</v>
      </c>
      <c r="J33" s="425">
        <f aca="true" t="shared" si="12" ref="J33:J49">IF(D33="","",(I33-H33)*24)</f>
        <v>10.90000000008149</v>
      </c>
      <c r="K33" s="426">
        <f aca="true" t="shared" si="13" ref="K33:K49">IF(D33="","",ROUND((I33-H33)*24*60,0))</f>
        <v>654</v>
      </c>
      <c r="L33" s="267" t="s">
        <v>117</v>
      </c>
      <c r="M33" s="212">
        <v>51.02</v>
      </c>
      <c r="N33" s="156" t="str">
        <f t="shared" si="3"/>
        <v>NO</v>
      </c>
      <c r="O33" s="492">
        <f aca="true" t="shared" si="14" ref="O33:O49">IF(OR(L33="P",L33="RP"),$F$17/10,$F$17)</f>
        <v>20</v>
      </c>
      <c r="P33" s="493" t="str">
        <f aca="true" t="shared" si="15" ref="P33:P49">IF(L33="P",G33*O33*ROUND(K33/60,2),"--")</f>
        <v>--</v>
      </c>
      <c r="Q33" s="494">
        <f aca="true" t="shared" si="16" ref="Q33:Q49">IF(AND(L33="F",N33="NO"),G33*O33,"--")</f>
        <v>1200.5</v>
      </c>
      <c r="R33" s="495">
        <f aca="true" t="shared" si="17" ref="R33:R49">IF(L33="F",G33*O33*ROUND(K33/60,2),"--")</f>
        <v>13085.45</v>
      </c>
      <c r="S33" s="496" t="str">
        <f aca="true" t="shared" si="18" ref="S33:S49">IF(L33="RF",G33*O33*ROUND(K33/60,2),"--")</f>
        <v>--</v>
      </c>
      <c r="T33" s="334"/>
      <c r="U33" s="156" t="str">
        <f aca="true" t="shared" si="19" ref="U33:U49">IF(D33="","","SI")</f>
        <v>SI</v>
      </c>
      <c r="V33" s="431">
        <v>0</v>
      </c>
      <c r="W33" s="431">
        <f t="shared" si="10"/>
        <v>0</v>
      </c>
      <c r="X33" s="6"/>
    </row>
    <row r="34" spans="2:24" s="5" customFormat="1" ht="16.5" customHeight="1">
      <c r="B34" s="51"/>
      <c r="C34" s="326">
        <v>97</v>
      </c>
      <c r="D34" s="578" t="s">
        <v>122</v>
      </c>
      <c r="E34" s="748" t="s">
        <v>173</v>
      </c>
      <c r="F34" s="149">
        <v>245</v>
      </c>
      <c r="G34" s="330">
        <f t="shared" si="11"/>
        <v>60.025</v>
      </c>
      <c r="H34" s="482">
        <v>39352.313888888886</v>
      </c>
      <c r="I34" s="483">
        <v>39352.78402777778</v>
      </c>
      <c r="J34" s="425">
        <v>11.283333333441988</v>
      </c>
      <c r="K34" s="426">
        <f t="shared" si="13"/>
        <v>677</v>
      </c>
      <c r="L34" s="267" t="s">
        <v>109</v>
      </c>
      <c r="M34" s="212" t="str">
        <f>IF(D34="","","--")</f>
        <v>--</v>
      </c>
      <c r="N34" s="156" t="str">
        <f t="shared" si="3"/>
        <v>--</v>
      </c>
      <c r="O34" s="492">
        <f t="shared" si="14"/>
        <v>2</v>
      </c>
      <c r="P34" s="493">
        <f t="shared" si="15"/>
        <v>1354.164</v>
      </c>
      <c r="Q34" s="494" t="str">
        <f t="shared" si="16"/>
        <v>--</v>
      </c>
      <c r="R34" s="495" t="str">
        <f t="shared" si="17"/>
        <v>--</v>
      </c>
      <c r="S34" s="496" t="str">
        <f t="shared" si="18"/>
        <v>--</v>
      </c>
      <c r="T34" s="334"/>
      <c r="U34" s="156" t="str">
        <f t="shared" si="19"/>
        <v>SI</v>
      </c>
      <c r="V34" s="431">
        <v>0</v>
      </c>
      <c r="W34" s="431">
        <f t="shared" si="10"/>
        <v>0</v>
      </c>
      <c r="X34" s="6"/>
    </row>
    <row r="35" spans="2:24" s="5" customFormat="1" ht="16.5" customHeight="1">
      <c r="B35" s="51"/>
      <c r="C35" s="326">
        <v>98</v>
      </c>
      <c r="D35" s="578" t="s">
        <v>122</v>
      </c>
      <c r="E35" s="748" t="s">
        <v>174</v>
      </c>
      <c r="F35" s="149">
        <v>245</v>
      </c>
      <c r="G35" s="330">
        <f t="shared" si="11"/>
        <v>60.025</v>
      </c>
      <c r="H35" s="482">
        <v>39352.313888888886</v>
      </c>
      <c r="I35" s="483">
        <v>39352.785416666666</v>
      </c>
      <c r="J35" s="425">
        <f t="shared" si="12"/>
        <v>11.316666666709352</v>
      </c>
      <c r="K35" s="426">
        <f t="shared" si="13"/>
        <v>679</v>
      </c>
      <c r="L35" s="267" t="s">
        <v>109</v>
      </c>
      <c r="M35" s="212" t="str">
        <f>IF(D35="","","--")</f>
        <v>--</v>
      </c>
      <c r="N35" s="156" t="str">
        <f t="shared" si="3"/>
        <v>--</v>
      </c>
      <c r="O35" s="492">
        <f t="shared" si="14"/>
        <v>2</v>
      </c>
      <c r="P35" s="493">
        <f t="shared" si="15"/>
        <v>1358.966</v>
      </c>
      <c r="Q35" s="494" t="str">
        <f t="shared" si="16"/>
        <v>--</v>
      </c>
      <c r="R35" s="495" t="str">
        <f t="shared" si="17"/>
        <v>--</v>
      </c>
      <c r="S35" s="496" t="str">
        <f t="shared" si="18"/>
        <v>--</v>
      </c>
      <c r="T35" s="334"/>
      <c r="U35" s="156" t="str">
        <f t="shared" si="19"/>
        <v>SI</v>
      </c>
      <c r="V35" s="431">
        <v>0</v>
      </c>
      <c r="W35" s="431">
        <f t="shared" si="10"/>
        <v>0</v>
      </c>
      <c r="X35" s="6"/>
    </row>
    <row r="36" spans="2:24" s="5" customFormat="1" ht="16.5" customHeight="1">
      <c r="B36" s="51"/>
      <c r="C36" s="326">
        <v>99</v>
      </c>
      <c r="D36" s="578" t="s">
        <v>122</v>
      </c>
      <c r="E36" s="748" t="s">
        <v>173</v>
      </c>
      <c r="F36" s="149">
        <v>245</v>
      </c>
      <c r="G36" s="330">
        <f t="shared" si="11"/>
        <v>60.025</v>
      </c>
      <c r="H36" s="482">
        <v>39352.78472222222</v>
      </c>
      <c r="I36" s="483">
        <v>39353.07638888889</v>
      </c>
      <c r="J36" s="425">
        <f t="shared" si="12"/>
        <v>7.000000000116415</v>
      </c>
      <c r="K36" s="426">
        <f t="shared" si="13"/>
        <v>420</v>
      </c>
      <c r="L36" s="267" t="s">
        <v>117</v>
      </c>
      <c r="M36" s="212">
        <v>51.02</v>
      </c>
      <c r="N36" s="156" t="str">
        <f t="shared" si="3"/>
        <v>NO</v>
      </c>
      <c r="O36" s="492">
        <f t="shared" si="14"/>
        <v>20</v>
      </c>
      <c r="P36" s="493" t="str">
        <f t="shared" si="15"/>
        <v>--</v>
      </c>
      <c r="Q36" s="494">
        <f t="shared" si="16"/>
        <v>1200.5</v>
      </c>
      <c r="R36" s="495">
        <f t="shared" si="17"/>
        <v>8403.5</v>
      </c>
      <c r="S36" s="496" t="str">
        <f t="shared" si="18"/>
        <v>--</v>
      </c>
      <c r="T36" s="334"/>
      <c r="U36" s="156" t="str">
        <f t="shared" si="19"/>
        <v>SI</v>
      </c>
      <c r="V36" s="431">
        <v>0</v>
      </c>
      <c r="W36" s="431">
        <f t="shared" si="10"/>
        <v>0</v>
      </c>
      <c r="X36" s="6"/>
    </row>
    <row r="37" spans="2:24" s="5" customFormat="1" ht="16.5" customHeight="1">
      <c r="B37" s="51"/>
      <c r="C37" s="326">
        <v>100</v>
      </c>
      <c r="D37" s="578" t="s">
        <v>122</v>
      </c>
      <c r="E37" s="748" t="s">
        <v>174</v>
      </c>
      <c r="F37" s="149">
        <v>245</v>
      </c>
      <c r="G37" s="330">
        <f t="shared" si="11"/>
        <v>60.025</v>
      </c>
      <c r="H37" s="482">
        <v>39352.78611111111</v>
      </c>
      <c r="I37" s="483">
        <v>39353.07708333333</v>
      </c>
      <c r="J37" s="425">
        <f t="shared" si="12"/>
        <v>6.9833333332207985</v>
      </c>
      <c r="K37" s="426">
        <f t="shared" si="13"/>
        <v>419</v>
      </c>
      <c r="L37" s="267" t="s">
        <v>117</v>
      </c>
      <c r="M37" s="212">
        <v>51.02</v>
      </c>
      <c r="N37" s="156" t="str">
        <f t="shared" si="3"/>
        <v>NO</v>
      </c>
      <c r="O37" s="492">
        <f t="shared" si="14"/>
        <v>20</v>
      </c>
      <c r="P37" s="493" t="str">
        <f t="shared" si="15"/>
        <v>--</v>
      </c>
      <c r="Q37" s="494">
        <f t="shared" si="16"/>
        <v>1200.5</v>
      </c>
      <c r="R37" s="495">
        <f t="shared" si="17"/>
        <v>8379.49</v>
      </c>
      <c r="S37" s="496" t="str">
        <f t="shared" si="18"/>
        <v>--</v>
      </c>
      <c r="T37" s="334"/>
      <c r="U37" s="156" t="str">
        <f t="shared" si="19"/>
        <v>SI</v>
      </c>
      <c r="V37" s="431">
        <v>0</v>
      </c>
      <c r="W37" s="431">
        <f t="shared" si="10"/>
        <v>0</v>
      </c>
      <c r="X37" s="6"/>
    </row>
    <row r="38" spans="2:24" s="5" customFormat="1" ht="16.5" customHeight="1">
      <c r="B38" s="51"/>
      <c r="C38" s="326">
        <v>101</v>
      </c>
      <c r="D38" s="578" t="s">
        <v>122</v>
      </c>
      <c r="E38" s="748" t="s">
        <v>173</v>
      </c>
      <c r="F38" s="149">
        <v>245</v>
      </c>
      <c r="G38" s="330">
        <f t="shared" si="11"/>
        <v>60.025</v>
      </c>
      <c r="H38" s="482">
        <v>39353.07708333333</v>
      </c>
      <c r="I38" s="483">
        <v>39353.808333333334</v>
      </c>
      <c r="J38" s="425">
        <f t="shared" si="12"/>
        <v>17.550000000104774</v>
      </c>
      <c r="K38" s="426">
        <f t="shared" si="13"/>
        <v>1053</v>
      </c>
      <c r="L38" s="267" t="s">
        <v>109</v>
      </c>
      <c r="M38" s="212" t="str">
        <f>IF(D38="","","--")</f>
        <v>--</v>
      </c>
      <c r="N38" s="156" t="str">
        <f t="shared" si="3"/>
        <v>--</v>
      </c>
      <c r="O38" s="492">
        <f t="shared" si="14"/>
        <v>2</v>
      </c>
      <c r="P38" s="493">
        <f t="shared" si="15"/>
        <v>2106.8775</v>
      </c>
      <c r="Q38" s="494" t="str">
        <f t="shared" si="16"/>
        <v>--</v>
      </c>
      <c r="R38" s="495" t="str">
        <f t="shared" si="17"/>
        <v>--</v>
      </c>
      <c r="S38" s="496" t="str">
        <f t="shared" si="18"/>
        <v>--</v>
      </c>
      <c r="T38" s="334"/>
      <c r="U38" s="156" t="str">
        <f t="shared" si="19"/>
        <v>SI</v>
      </c>
      <c r="V38" s="431">
        <v>0</v>
      </c>
      <c r="W38" s="431">
        <f t="shared" si="10"/>
        <v>0</v>
      </c>
      <c r="X38" s="6"/>
    </row>
    <row r="39" spans="2:24" s="5" customFormat="1" ht="16.5" customHeight="1">
      <c r="B39" s="51"/>
      <c r="C39" s="326">
        <v>102</v>
      </c>
      <c r="D39" s="578" t="s">
        <v>122</v>
      </c>
      <c r="E39" s="748" t="s">
        <v>174</v>
      </c>
      <c r="F39" s="149">
        <v>245</v>
      </c>
      <c r="G39" s="330">
        <f t="shared" si="11"/>
        <v>60.025</v>
      </c>
      <c r="H39" s="482">
        <v>39353.07777777778</v>
      </c>
      <c r="I39" s="483">
        <v>39353.80694444444</v>
      </c>
      <c r="J39" s="425">
        <f t="shared" si="12"/>
        <v>17.499999999941792</v>
      </c>
      <c r="K39" s="426">
        <f t="shared" si="13"/>
        <v>1050</v>
      </c>
      <c r="L39" s="267" t="s">
        <v>109</v>
      </c>
      <c r="M39" s="212" t="str">
        <f>IF(D39="","","--")</f>
        <v>--</v>
      </c>
      <c r="N39" s="156" t="str">
        <f t="shared" si="3"/>
        <v>--</v>
      </c>
      <c r="O39" s="492">
        <f t="shared" si="14"/>
        <v>2</v>
      </c>
      <c r="P39" s="493">
        <f t="shared" si="15"/>
        <v>2100.875</v>
      </c>
      <c r="Q39" s="494" t="str">
        <f t="shared" si="16"/>
        <v>--</v>
      </c>
      <c r="R39" s="495" t="str">
        <f t="shared" si="17"/>
        <v>--</v>
      </c>
      <c r="S39" s="496" t="str">
        <f t="shared" si="18"/>
        <v>--</v>
      </c>
      <c r="T39" s="334"/>
      <c r="U39" s="156" t="str">
        <f t="shared" si="19"/>
        <v>SI</v>
      </c>
      <c r="V39" s="431">
        <v>0</v>
      </c>
      <c r="W39" s="431">
        <f t="shared" si="10"/>
        <v>0</v>
      </c>
      <c r="X39" s="6"/>
    </row>
    <row r="40" spans="2:24" s="5" customFormat="1" ht="16.5" customHeight="1">
      <c r="B40" s="51"/>
      <c r="C40" s="326">
        <v>103</v>
      </c>
      <c r="D40" s="578" t="s">
        <v>122</v>
      </c>
      <c r="E40" s="748" t="s">
        <v>174</v>
      </c>
      <c r="F40" s="149">
        <v>245</v>
      </c>
      <c r="G40" s="330">
        <f t="shared" si="11"/>
        <v>60.025</v>
      </c>
      <c r="H40" s="482">
        <v>39353.80763888889</v>
      </c>
      <c r="I40" s="483">
        <v>39354.39861111111</v>
      </c>
      <c r="J40" s="425">
        <f t="shared" si="12"/>
        <v>14.183333333290648</v>
      </c>
      <c r="K40" s="426">
        <f t="shared" si="13"/>
        <v>851</v>
      </c>
      <c r="L40" s="267" t="s">
        <v>117</v>
      </c>
      <c r="M40" s="212">
        <v>51.02</v>
      </c>
      <c r="N40" s="156" t="str">
        <f t="shared" si="3"/>
        <v>NO</v>
      </c>
      <c r="O40" s="492">
        <f t="shared" si="14"/>
        <v>20</v>
      </c>
      <c r="P40" s="493" t="str">
        <f t="shared" si="15"/>
        <v>--</v>
      </c>
      <c r="Q40" s="494">
        <f t="shared" si="16"/>
        <v>1200.5</v>
      </c>
      <c r="R40" s="495">
        <f t="shared" si="17"/>
        <v>17023.09</v>
      </c>
      <c r="S40" s="496" t="str">
        <f t="shared" si="18"/>
        <v>--</v>
      </c>
      <c r="T40" s="334"/>
      <c r="U40" s="156" t="str">
        <f t="shared" si="19"/>
        <v>SI</v>
      </c>
      <c r="V40" s="431">
        <v>0</v>
      </c>
      <c r="W40" s="431">
        <f t="shared" si="10"/>
        <v>0</v>
      </c>
      <c r="X40" s="6"/>
    </row>
    <row r="41" spans="2:24" s="5" customFormat="1" ht="16.5" customHeight="1">
      <c r="B41" s="51"/>
      <c r="C41" s="326">
        <v>104</v>
      </c>
      <c r="D41" s="578" t="s">
        <v>122</v>
      </c>
      <c r="E41" s="748" t="s">
        <v>173</v>
      </c>
      <c r="F41" s="149">
        <v>245</v>
      </c>
      <c r="G41" s="330">
        <f t="shared" si="11"/>
        <v>60.025</v>
      </c>
      <c r="H41" s="482">
        <v>39353.80902777778</v>
      </c>
      <c r="I41" s="483">
        <v>39354.40069444444</v>
      </c>
      <c r="J41" s="425">
        <f t="shared" si="12"/>
        <v>14.199999999837019</v>
      </c>
      <c r="K41" s="426">
        <f t="shared" si="13"/>
        <v>852</v>
      </c>
      <c r="L41" s="267" t="s">
        <v>117</v>
      </c>
      <c r="M41" s="212">
        <v>51.02</v>
      </c>
      <c r="N41" s="156" t="str">
        <f t="shared" si="3"/>
        <v>NO</v>
      </c>
      <c r="O41" s="492">
        <f t="shared" si="14"/>
        <v>20</v>
      </c>
      <c r="P41" s="493" t="str">
        <f t="shared" si="15"/>
        <v>--</v>
      </c>
      <c r="Q41" s="494">
        <f t="shared" si="16"/>
        <v>1200.5</v>
      </c>
      <c r="R41" s="495">
        <f t="shared" si="17"/>
        <v>17047.1</v>
      </c>
      <c r="S41" s="496" t="str">
        <f t="shared" si="18"/>
        <v>--</v>
      </c>
      <c r="T41" s="334"/>
      <c r="U41" s="156" t="str">
        <f t="shared" si="19"/>
        <v>SI</v>
      </c>
      <c r="V41" s="431">
        <v>0</v>
      </c>
      <c r="W41" s="431">
        <f t="shared" si="10"/>
        <v>0</v>
      </c>
      <c r="X41" s="6"/>
    </row>
    <row r="42" spans="2:24" s="5" customFormat="1" ht="16.5" customHeight="1">
      <c r="B42" s="51"/>
      <c r="C42" s="326">
        <v>105</v>
      </c>
      <c r="D42" s="578" t="s">
        <v>122</v>
      </c>
      <c r="E42" s="748" t="s">
        <v>174</v>
      </c>
      <c r="F42" s="149">
        <v>245</v>
      </c>
      <c r="G42" s="330">
        <f t="shared" si="11"/>
        <v>60.025</v>
      </c>
      <c r="H42" s="482">
        <v>39354.399305555555</v>
      </c>
      <c r="I42" s="483">
        <v>39354.60833333333</v>
      </c>
      <c r="J42" s="425">
        <f t="shared" si="12"/>
        <v>5.0166666666045785</v>
      </c>
      <c r="K42" s="426">
        <f t="shared" si="13"/>
        <v>301</v>
      </c>
      <c r="L42" s="267" t="s">
        <v>109</v>
      </c>
      <c r="M42" s="212" t="str">
        <f>IF(D42="","","--")</f>
        <v>--</v>
      </c>
      <c r="N42" s="156" t="str">
        <f t="shared" si="3"/>
        <v>--</v>
      </c>
      <c r="O42" s="492">
        <f t="shared" si="14"/>
        <v>2</v>
      </c>
      <c r="P42" s="493">
        <f t="shared" si="15"/>
        <v>602.651</v>
      </c>
      <c r="Q42" s="494" t="str">
        <f t="shared" si="16"/>
        <v>--</v>
      </c>
      <c r="R42" s="495" t="str">
        <f t="shared" si="17"/>
        <v>--</v>
      </c>
      <c r="S42" s="496" t="str">
        <f t="shared" si="18"/>
        <v>--</v>
      </c>
      <c r="T42" s="334"/>
      <c r="U42" s="156" t="str">
        <f t="shared" si="19"/>
        <v>SI</v>
      </c>
      <c r="V42" s="431">
        <v>0</v>
      </c>
      <c r="W42" s="431">
        <f t="shared" si="10"/>
        <v>0</v>
      </c>
      <c r="X42" s="6"/>
    </row>
    <row r="43" spans="2:24" s="5" customFormat="1" ht="16.5" customHeight="1">
      <c r="B43" s="51"/>
      <c r="C43" s="326">
        <v>106</v>
      </c>
      <c r="D43" s="578" t="s">
        <v>122</v>
      </c>
      <c r="E43" s="748" t="s">
        <v>173</v>
      </c>
      <c r="F43" s="149">
        <v>245</v>
      </c>
      <c r="G43" s="330">
        <f t="shared" si="11"/>
        <v>60.025</v>
      </c>
      <c r="H43" s="482">
        <v>39354.40138888889</v>
      </c>
      <c r="I43" s="483">
        <v>39354.61041666667</v>
      </c>
      <c r="J43" s="425">
        <f t="shared" si="12"/>
        <v>5.0166666667792015</v>
      </c>
      <c r="K43" s="426">
        <f t="shared" si="13"/>
        <v>301</v>
      </c>
      <c r="L43" s="267" t="s">
        <v>109</v>
      </c>
      <c r="M43" s="212" t="str">
        <f>IF(D43="","","--")</f>
        <v>--</v>
      </c>
      <c r="N43" s="156" t="str">
        <f t="shared" si="3"/>
        <v>--</v>
      </c>
      <c r="O43" s="492">
        <f t="shared" si="14"/>
        <v>2</v>
      </c>
      <c r="P43" s="493">
        <f t="shared" si="15"/>
        <v>602.651</v>
      </c>
      <c r="Q43" s="494" t="str">
        <f t="shared" si="16"/>
        <v>--</v>
      </c>
      <c r="R43" s="495" t="str">
        <f t="shared" si="17"/>
        <v>--</v>
      </c>
      <c r="S43" s="496" t="str">
        <f t="shared" si="18"/>
        <v>--</v>
      </c>
      <c r="T43" s="334"/>
      <c r="U43" s="156" t="str">
        <f t="shared" si="19"/>
        <v>SI</v>
      </c>
      <c r="V43" s="431">
        <v>0</v>
      </c>
      <c r="W43" s="431">
        <f t="shared" si="10"/>
        <v>0</v>
      </c>
      <c r="X43" s="6"/>
    </row>
    <row r="44" spans="2:24" s="5" customFormat="1" ht="16.5" customHeight="1">
      <c r="B44" s="51"/>
      <c r="C44" s="326">
        <v>107</v>
      </c>
      <c r="D44" s="578" t="s">
        <v>122</v>
      </c>
      <c r="E44" s="748" t="s">
        <v>174</v>
      </c>
      <c r="F44" s="149">
        <v>245</v>
      </c>
      <c r="G44" s="330">
        <f t="shared" si="11"/>
        <v>60.025</v>
      </c>
      <c r="H44" s="482">
        <v>39354.60902777778</v>
      </c>
      <c r="I44" s="483">
        <v>39355.330555555556</v>
      </c>
      <c r="J44" s="425">
        <f t="shared" si="12"/>
        <v>17.316666666709352</v>
      </c>
      <c r="K44" s="426">
        <f t="shared" si="13"/>
        <v>1039</v>
      </c>
      <c r="L44" s="267" t="s">
        <v>117</v>
      </c>
      <c r="M44" s="212">
        <v>51.02</v>
      </c>
      <c r="N44" s="156" t="str">
        <f t="shared" si="3"/>
        <v>NO</v>
      </c>
      <c r="O44" s="492">
        <f t="shared" si="14"/>
        <v>20</v>
      </c>
      <c r="P44" s="493" t="str">
        <f t="shared" si="15"/>
        <v>--</v>
      </c>
      <c r="Q44" s="494">
        <f t="shared" si="16"/>
        <v>1200.5</v>
      </c>
      <c r="R44" s="495">
        <f t="shared" si="17"/>
        <v>20792.66</v>
      </c>
      <c r="S44" s="496" t="str">
        <f t="shared" si="18"/>
        <v>--</v>
      </c>
      <c r="T44" s="334"/>
      <c r="U44" s="156" t="str">
        <f t="shared" si="19"/>
        <v>SI</v>
      </c>
      <c r="V44" s="431">
        <v>0</v>
      </c>
      <c r="W44" s="431">
        <f t="shared" si="10"/>
        <v>0</v>
      </c>
      <c r="X44" s="6"/>
    </row>
    <row r="45" spans="2:24" s="5" customFormat="1" ht="16.5" customHeight="1">
      <c r="B45" s="51"/>
      <c r="C45" s="326">
        <v>108</v>
      </c>
      <c r="D45" s="578" t="s">
        <v>122</v>
      </c>
      <c r="E45" s="748" t="s">
        <v>173</v>
      </c>
      <c r="F45" s="149">
        <v>245</v>
      </c>
      <c r="G45" s="330">
        <f t="shared" si="11"/>
        <v>60.025</v>
      </c>
      <c r="H45" s="482">
        <v>39354.61111111111</v>
      </c>
      <c r="I45" s="483">
        <v>39355.32986111111</v>
      </c>
      <c r="J45" s="425">
        <f t="shared" si="12"/>
        <v>17.25</v>
      </c>
      <c r="K45" s="426">
        <f t="shared" si="13"/>
        <v>1035</v>
      </c>
      <c r="L45" s="267" t="s">
        <v>117</v>
      </c>
      <c r="M45" s="212">
        <v>51.02</v>
      </c>
      <c r="N45" s="156" t="str">
        <f t="shared" si="3"/>
        <v>NO</v>
      </c>
      <c r="O45" s="492">
        <f t="shared" si="14"/>
        <v>20</v>
      </c>
      <c r="P45" s="493" t="str">
        <f t="shared" si="15"/>
        <v>--</v>
      </c>
      <c r="Q45" s="494">
        <f t="shared" si="16"/>
        <v>1200.5</v>
      </c>
      <c r="R45" s="495">
        <f t="shared" si="17"/>
        <v>20708.625</v>
      </c>
      <c r="S45" s="496" t="str">
        <f t="shared" si="18"/>
        <v>--</v>
      </c>
      <c r="T45" s="334"/>
      <c r="U45" s="156" t="str">
        <f t="shared" si="19"/>
        <v>SI</v>
      </c>
      <c r="V45" s="431">
        <v>0</v>
      </c>
      <c r="W45" s="431">
        <f t="shared" si="10"/>
        <v>0</v>
      </c>
      <c r="X45" s="6"/>
    </row>
    <row r="46" spans="2:24" s="5" customFormat="1" ht="16.5" customHeight="1">
      <c r="B46" s="51"/>
      <c r="C46" s="326">
        <v>109</v>
      </c>
      <c r="D46" s="578" t="s">
        <v>122</v>
      </c>
      <c r="E46" s="748" t="s">
        <v>173</v>
      </c>
      <c r="F46" s="149">
        <v>245</v>
      </c>
      <c r="G46" s="330">
        <f t="shared" si="11"/>
        <v>60.025</v>
      </c>
      <c r="H46" s="482">
        <v>39355.330555555556</v>
      </c>
      <c r="I46" s="483">
        <v>39355.75763888889</v>
      </c>
      <c r="J46" s="425">
        <f t="shared" si="12"/>
        <v>10.250000000058208</v>
      </c>
      <c r="K46" s="426">
        <f t="shared" si="13"/>
        <v>615</v>
      </c>
      <c r="L46" s="267" t="s">
        <v>109</v>
      </c>
      <c r="M46" s="212" t="str">
        <f>IF(D46="","","--")</f>
        <v>--</v>
      </c>
      <c r="N46" s="156" t="str">
        <f t="shared" si="3"/>
        <v>--</v>
      </c>
      <c r="O46" s="492">
        <f t="shared" si="14"/>
        <v>2</v>
      </c>
      <c r="P46" s="493">
        <f t="shared" si="15"/>
        <v>1230.5125</v>
      </c>
      <c r="Q46" s="494" t="str">
        <f t="shared" si="16"/>
        <v>--</v>
      </c>
      <c r="R46" s="495" t="str">
        <f t="shared" si="17"/>
        <v>--</v>
      </c>
      <c r="S46" s="496" t="str">
        <f t="shared" si="18"/>
        <v>--</v>
      </c>
      <c r="T46" s="334"/>
      <c r="U46" s="156" t="str">
        <f t="shared" si="19"/>
        <v>SI</v>
      </c>
      <c r="V46" s="431">
        <v>0</v>
      </c>
      <c r="W46" s="431">
        <f t="shared" si="10"/>
        <v>0</v>
      </c>
      <c r="X46" s="6"/>
    </row>
    <row r="47" spans="2:24" s="5" customFormat="1" ht="16.5" customHeight="1">
      <c r="B47" s="51"/>
      <c r="C47" s="326">
        <v>110</v>
      </c>
      <c r="D47" s="578" t="s">
        <v>122</v>
      </c>
      <c r="E47" s="748" t="s">
        <v>174</v>
      </c>
      <c r="F47" s="149">
        <v>245</v>
      </c>
      <c r="G47" s="330">
        <f t="shared" si="11"/>
        <v>60.025</v>
      </c>
      <c r="H47" s="482">
        <v>39355.33125</v>
      </c>
      <c r="I47" s="483">
        <v>39355.75555555556</v>
      </c>
      <c r="J47" s="425">
        <f t="shared" si="12"/>
        <v>10.183333333348855</v>
      </c>
      <c r="K47" s="426">
        <f t="shared" si="13"/>
        <v>611</v>
      </c>
      <c r="L47" s="267" t="s">
        <v>109</v>
      </c>
      <c r="M47" s="212" t="str">
        <f>IF(D47="","","--")</f>
        <v>--</v>
      </c>
      <c r="N47" s="156" t="str">
        <f t="shared" si="3"/>
        <v>--</v>
      </c>
      <c r="O47" s="492">
        <f t="shared" si="14"/>
        <v>2</v>
      </c>
      <c r="P47" s="493">
        <f t="shared" si="15"/>
        <v>1222.109</v>
      </c>
      <c r="Q47" s="494" t="str">
        <f t="shared" si="16"/>
        <v>--</v>
      </c>
      <c r="R47" s="495" t="str">
        <f t="shared" si="17"/>
        <v>--</v>
      </c>
      <c r="S47" s="496" t="str">
        <f t="shared" si="18"/>
        <v>--</v>
      </c>
      <c r="T47" s="334"/>
      <c r="U47" s="156" t="str">
        <f t="shared" si="19"/>
        <v>SI</v>
      </c>
      <c r="V47" s="431">
        <v>0</v>
      </c>
      <c r="W47" s="431">
        <f t="shared" si="10"/>
        <v>0</v>
      </c>
      <c r="X47" s="6"/>
    </row>
    <row r="48" spans="2:24" s="5" customFormat="1" ht="16.5" customHeight="1">
      <c r="B48" s="51"/>
      <c r="C48" s="326">
        <v>111</v>
      </c>
      <c r="D48" s="578" t="s">
        <v>122</v>
      </c>
      <c r="E48" s="748" t="s">
        <v>174</v>
      </c>
      <c r="F48" s="149">
        <v>245</v>
      </c>
      <c r="G48" s="330">
        <f t="shared" si="11"/>
        <v>60.025</v>
      </c>
      <c r="H48" s="482">
        <v>39355.75625</v>
      </c>
      <c r="I48" s="483">
        <v>39355.99930555555</v>
      </c>
      <c r="J48" s="425">
        <f t="shared" si="12"/>
        <v>5.833333333313931</v>
      </c>
      <c r="K48" s="426">
        <f t="shared" si="13"/>
        <v>350</v>
      </c>
      <c r="L48" s="267" t="s">
        <v>117</v>
      </c>
      <c r="M48" s="212">
        <v>51.02</v>
      </c>
      <c r="N48" s="156" t="str">
        <f t="shared" si="3"/>
        <v>NO</v>
      </c>
      <c r="O48" s="492">
        <f t="shared" si="14"/>
        <v>20</v>
      </c>
      <c r="P48" s="493" t="str">
        <f t="shared" si="15"/>
        <v>--</v>
      </c>
      <c r="Q48" s="494">
        <f t="shared" si="16"/>
        <v>1200.5</v>
      </c>
      <c r="R48" s="495">
        <f t="shared" si="17"/>
        <v>6998.915</v>
      </c>
      <c r="S48" s="496" t="str">
        <f t="shared" si="18"/>
        <v>--</v>
      </c>
      <c r="T48" s="334"/>
      <c r="U48" s="156" t="str">
        <f t="shared" si="19"/>
        <v>SI</v>
      </c>
      <c r="V48" s="431">
        <v>0</v>
      </c>
      <c r="W48" s="431">
        <f t="shared" si="10"/>
        <v>0</v>
      </c>
      <c r="X48" s="6"/>
    </row>
    <row r="49" spans="2:24" s="5" customFormat="1" ht="16.5" customHeight="1">
      <c r="B49" s="51"/>
      <c r="C49" s="326">
        <v>112</v>
      </c>
      <c r="D49" s="578" t="s">
        <v>122</v>
      </c>
      <c r="E49" s="748" t="s">
        <v>173</v>
      </c>
      <c r="F49" s="149">
        <v>245</v>
      </c>
      <c r="G49" s="330">
        <f t="shared" si="11"/>
        <v>60.025</v>
      </c>
      <c r="H49" s="482">
        <v>39355.75833333333</v>
      </c>
      <c r="I49" s="483">
        <v>39355.99930555555</v>
      </c>
      <c r="J49" s="425">
        <f t="shared" si="12"/>
        <v>5.783333333325572</v>
      </c>
      <c r="K49" s="426">
        <f t="shared" si="13"/>
        <v>347</v>
      </c>
      <c r="L49" s="267" t="s">
        <v>117</v>
      </c>
      <c r="M49" s="212">
        <v>51.02</v>
      </c>
      <c r="N49" s="156" t="str">
        <f t="shared" si="3"/>
        <v>NO</v>
      </c>
      <c r="O49" s="492">
        <f t="shared" si="14"/>
        <v>20</v>
      </c>
      <c r="P49" s="493" t="str">
        <f t="shared" si="15"/>
        <v>--</v>
      </c>
      <c r="Q49" s="494">
        <f t="shared" si="16"/>
        <v>1200.5</v>
      </c>
      <c r="R49" s="495">
        <f t="shared" si="17"/>
        <v>6938.89</v>
      </c>
      <c r="S49" s="496" t="str">
        <f t="shared" si="18"/>
        <v>--</v>
      </c>
      <c r="T49" s="334"/>
      <c r="U49" s="156" t="str">
        <f t="shared" si="19"/>
        <v>SI</v>
      </c>
      <c r="V49" s="431">
        <v>0</v>
      </c>
      <c r="W49" s="431">
        <f t="shared" si="10"/>
        <v>0</v>
      </c>
      <c r="X49" s="6"/>
    </row>
    <row r="50" spans="2:24" s="5" customFormat="1" ht="16.5" customHeight="1" thickBot="1">
      <c r="B50" s="51"/>
      <c r="C50" s="159"/>
      <c r="D50" s="498"/>
      <c r="E50" s="150"/>
      <c r="F50" s="499"/>
      <c r="G50" s="139"/>
      <c r="H50" s="432"/>
      <c r="I50" s="432"/>
      <c r="J50" s="433"/>
      <c r="K50" s="433"/>
      <c r="L50" s="226"/>
      <c r="M50" s="226"/>
      <c r="N50" s="155"/>
      <c r="O50" s="500"/>
      <c r="P50" s="501"/>
      <c r="Q50" s="502"/>
      <c r="R50" s="503"/>
      <c r="S50" s="504"/>
      <c r="T50" s="504"/>
      <c r="U50" s="155"/>
      <c r="V50" s="505"/>
      <c r="W50" s="505"/>
      <c r="X50" s="6"/>
    </row>
    <row r="51" spans="2:24" s="5" customFormat="1" ht="16.5" customHeight="1" thickBot="1" thickTop="1">
      <c r="B51" s="51"/>
      <c r="C51" s="129" t="s">
        <v>23</v>
      </c>
      <c r="D51" s="130" t="s">
        <v>193</v>
      </c>
      <c r="G51" s="4"/>
      <c r="H51" s="4"/>
      <c r="I51" s="4"/>
      <c r="J51" s="4"/>
      <c r="K51" s="4"/>
      <c r="L51" s="4"/>
      <c r="M51" s="67"/>
      <c r="N51" s="4"/>
      <c r="O51" s="4"/>
      <c r="P51" s="506">
        <f>SUM(P20:P50)</f>
        <v>21431.326000000005</v>
      </c>
      <c r="Q51" s="507">
        <f>SUM(Q20:Q50)</f>
        <v>14406</v>
      </c>
      <c r="R51" s="508">
        <f>SUM(R20:R50)</f>
        <v>444845.27499999997</v>
      </c>
      <c r="S51" s="509">
        <f>SUM(S20:S50)</f>
        <v>0</v>
      </c>
      <c r="T51" s="509">
        <f>SUM(T20:T50)</f>
        <v>0</v>
      </c>
      <c r="V51" s="100">
        <f>ROUND(SUM(V20:V50),2)</f>
        <v>70595.89</v>
      </c>
      <c r="W51" s="100">
        <f>SUM(W21:W49)</f>
        <v>45939.59233612859</v>
      </c>
      <c r="X51" s="510"/>
    </row>
    <row r="52" spans="2:24" s="135" customFormat="1" ht="9.75" thickTop="1">
      <c r="B52" s="134"/>
      <c r="C52" s="131"/>
      <c r="D52" s="132" t="s">
        <v>197</v>
      </c>
      <c r="G52" s="133"/>
      <c r="H52" s="133"/>
      <c r="I52" s="133"/>
      <c r="J52" s="133"/>
      <c r="K52" s="133"/>
      <c r="L52" s="133"/>
      <c r="M52" s="131"/>
      <c r="N52" s="133"/>
      <c r="O52" s="133"/>
      <c r="P52" s="374"/>
      <c r="Q52" s="374"/>
      <c r="R52" s="374"/>
      <c r="S52" s="374"/>
      <c r="T52" s="374"/>
      <c r="V52" s="237"/>
      <c r="W52" s="237"/>
      <c r="X52" s="444"/>
    </row>
    <row r="53" spans="2:24" s="5" customFormat="1" ht="16.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49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7"/>
    </row>
    <row r="54" spans="4:26" ht="16.5" customHeight="1" thickTop="1">
      <c r="D54" s="190"/>
      <c r="E54" s="190"/>
      <c r="F54" s="190"/>
      <c r="G54" s="180"/>
      <c r="H54" s="180"/>
      <c r="I54" s="180"/>
      <c r="J54" s="180"/>
      <c r="K54" s="180"/>
      <c r="L54" s="180"/>
      <c r="M54" s="750"/>
      <c r="N54" s="180"/>
      <c r="O54" s="180"/>
      <c r="P54" s="180"/>
      <c r="Q54" s="180"/>
      <c r="R54" s="180"/>
      <c r="S54" s="180"/>
      <c r="T54" s="180"/>
      <c r="U54" s="180"/>
      <c r="V54" s="180"/>
      <c r="W54" s="180"/>
      <c r="X54" s="180"/>
      <c r="Y54" s="180"/>
      <c r="Z54" s="180"/>
    </row>
    <row r="55" spans="4:26" ht="16.5" customHeight="1">
      <c r="D55" s="190"/>
      <c r="E55" s="190"/>
      <c r="F55" s="190"/>
      <c r="G55" s="180"/>
      <c r="H55" s="180"/>
      <c r="I55" s="180"/>
      <c r="J55" s="180"/>
      <c r="K55" s="180"/>
      <c r="L55" s="180"/>
      <c r="M55" s="750"/>
      <c r="N55" s="180"/>
      <c r="O55" s="180"/>
      <c r="P55" s="180"/>
      <c r="Q55" s="180"/>
      <c r="R55" s="180"/>
      <c r="S55" s="180"/>
      <c r="T55" s="180"/>
      <c r="U55" s="180"/>
      <c r="V55" s="180"/>
      <c r="W55" s="180"/>
      <c r="X55" s="180"/>
      <c r="Y55" s="180"/>
      <c r="Z55" s="180"/>
    </row>
    <row r="56" spans="4:26" ht="16.5" customHeight="1">
      <c r="D56" s="190"/>
      <c r="E56" s="190"/>
      <c r="F56" s="190"/>
      <c r="G56" s="180"/>
      <c r="H56" s="180"/>
      <c r="I56" s="180"/>
      <c r="J56" s="180"/>
      <c r="K56" s="180"/>
      <c r="L56" s="180"/>
      <c r="M56" s="750"/>
      <c r="N56" s="180"/>
      <c r="O56" s="180"/>
      <c r="P56" s="180"/>
      <c r="Q56" s="180"/>
      <c r="R56" s="180"/>
      <c r="S56" s="180"/>
      <c r="T56" s="180"/>
      <c r="U56" s="180"/>
      <c r="V56" s="180"/>
      <c r="W56" s="180"/>
      <c r="X56" s="180"/>
      <c r="Y56" s="180"/>
      <c r="Z56" s="180"/>
    </row>
    <row r="57" spans="4:26" ht="16.5" customHeight="1">
      <c r="D57" s="190"/>
      <c r="E57" s="190"/>
      <c r="F57" s="190"/>
      <c r="G57" s="180"/>
      <c r="H57" s="180"/>
      <c r="I57" s="180"/>
      <c r="J57" s="180"/>
      <c r="K57" s="180"/>
      <c r="L57" s="180"/>
      <c r="M57" s="750"/>
      <c r="N57" s="180"/>
      <c r="O57" s="180"/>
      <c r="P57" s="180"/>
      <c r="Q57" s="180"/>
      <c r="R57" s="180"/>
      <c r="S57" s="180"/>
      <c r="T57" s="180"/>
      <c r="U57" s="180"/>
      <c r="V57" s="180"/>
      <c r="W57" s="180"/>
      <c r="X57" s="180"/>
      <c r="Y57" s="180"/>
      <c r="Z57" s="180"/>
    </row>
    <row r="58" spans="4:26" ht="16.5" customHeight="1">
      <c r="D58" s="190"/>
      <c r="E58" s="190"/>
      <c r="F58" s="190"/>
      <c r="G58" s="180"/>
      <c r="H58" s="180"/>
      <c r="I58" s="180"/>
      <c r="J58" s="180"/>
      <c r="K58" s="180"/>
      <c r="L58" s="180"/>
      <c r="M58" s="750"/>
      <c r="N58" s="180"/>
      <c r="O58" s="180"/>
      <c r="P58" s="180"/>
      <c r="Q58" s="180"/>
      <c r="R58" s="180"/>
      <c r="S58" s="180"/>
      <c r="T58" s="180"/>
      <c r="U58" s="180"/>
      <c r="V58" s="180"/>
      <c r="W58" s="180"/>
      <c r="X58" s="180"/>
      <c r="Y58" s="180"/>
      <c r="Z58" s="180"/>
    </row>
    <row r="59" spans="4:26" ht="16.5" customHeight="1">
      <c r="D59" s="190"/>
      <c r="E59" s="190"/>
      <c r="F59" s="190"/>
      <c r="G59" s="180"/>
      <c r="H59" s="180"/>
      <c r="I59" s="180"/>
      <c r="J59" s="180"/>
      <c r="K59" s="180"/>
      <c r="L59" s="180"/>
      <c r="M59" s="750"/>
      <c r="N59" s="180"/>
      <c r="O59" s="180"/>
      <c r="P59" s="180"/>
      <c r="Q59" s="180"/>
      <c r="R59" s="180"/>
      <c r="S59" s="180"/>
      <c r="T59" s="180"/>
      <c r="U59" s="180"/>
      <c r="V59" s="180"/>
      <c r="W59" s="180"/>
      <c r="X59" s="180"/>
      <c r="Y59" s="180"/>
      <c r="Z59" s="180"/>
    </row>
    <row r="60" spans="4:26" ht="16.5" customHeight="1">
      <c r="D60" s="180"/>
      <c r="E60" s="180"/>
      <c r="F60" s="180"/>
      <c r="G60" s="180"/>
      <c r="H60" s="180"/>
      <c r="I60" s="180"/>
      <c r="J60" s="180"/>
      <c r="K60" s="180"/>
      <c r="L60" s="180"/>
      <c r="M60" s="750"/>
      <c r="N60" s="180"/>
      <c r="O60" s="180"/>
      <c r="P60" s="180"/>
      <c r="Q60" s="180"/>
      <c r="R60" s="180"/>
      <c r="S60" s="180"/>
      <c r="T60" s="180"/>
      <c r="U60" s="180"/>
      <c r="V60" s="180"/>
      <c r="W60" s="180"/>
      <c r="X60" s="180"/>
      <c r="Y60" s="180"/>
      <c r="Z60" s="180"/>
    </row>
    <row r="61" spans="4:26" ht="16.5" customHeight="1">
      <c r="D61" s="180"/>
      <c r="E61" s="180"/>
      <c r="F61" s="180"/>
      <c r="G61" s="180"/>
      <c r="H61" s="180"/>
      <c r="I61" s="180"/>
      <c r="J61" s="180"/>
      <c r="K61" s="180"/>
      <c r="L61" s="180"/>
      <c r="M61" s="750"/>
      <c r="N61" s="180"/>
      <c r="O61" s="180"/>
      <c r="P61" s="180"/>
      <c r="Q61" s="180"/>
      <c r="R61" s="180"/>
      <c r="S61" s="180"/>
      <c r="T61" s="180"/>
      <c r="U61" s="180"/>
      <c r="V61" s="180"/>
      <c r="W61" s="180"/>
      <c r="X61" s="180"/>
      <c r="Y61" s="180"/>
      <c r="Z61" s="180"/>
    </row>
    <row r="62" spans="4:26" ht="16.5" customHeight="1">
      <c r="D62" s="180"/>
      <c r="E62" s="180"/>
      <c r="F62" s="180"/>
      <c r="G62" s="180"/>
      <c r="H62" s="180"/>
      <c r="I62" s="180"/>
      <c r="J62" s="180"/>
      <c r="K62" s="180"/>
      <c r="L62" s="180"/>
      <c r="M62" s="750"/>
      <c r="N62" s="180"/>
      <c r="O62" s="180"/>
      <c r="P62" s="180"/>
      <c r="Q62" s="180"/>
      <c r="R62" s="180"/>
      <c r="S62" s="180"/>
      <c r="T62" s="180"/>
      <c r="U62" s="180"/>
      <c r="V62" s="180"/>
      <c r="W62" s="180"/>
      <c r="X62" s="180"/>
      <c r="Y62" s="180"/>
      <c r="Z62" s="180"/>
    </row>
    <row r="63" spans="4:26" ht="16.5" customHeight="1">
      <c r="D63" s="180"/>
      <c r="E63" s="180"/>
      <c r="F63" s="180"/>
      <c r="G63" s="180"/>
      <c r="H63" s="180"/>
      <c r="I63" s="180"/>
      <c r="J63" s="180"/>
      <c r="K63" s="180"/>
      <c r="L63" s="180"/>
      <c r="M63" s="75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</row>
    <row r="64" spans="4:26" ht="16.5" customHeight="1">
      <c r="D64" s="180"/>
      <c r="E64" s="180"/>
      <c r="F64" s="180"/>
      <c r="G64" s="180"/>
      <c r="H64" s="180"/>
      <c r="I64" s="180"/>
      <c r="J64" s="180"/>
      <c r="K64" s="180"/>
      <c r="L64" s="180"/>
      <c r="M64" s="750"/>
      <c r="N64" s="180"/>
      <c r="O64" s="180"/>
      <c r="P64" s="180"/>
      <c r="Q64" s="180"/>
      <c r="R64" s="180"/>
      <c r="S64" s="180"/>
      <c r="T64" s="180"/>
      <c r="U64" s="180"/>
      <c r="V64" s="180"/>
      <c r="W64" s="180"/>
      <c r="X64" s="180"/>
      <c r="Y64" s="180"/>
      <c r="Z64" s="180"/>
    </row>
    <row r="65" spans="4:26" ht="16.5" customHeight="1">
      <c r="D65" s="180"/>
      <c r="E65" s="180"/>
      <c r="F65" s="180"/>
      <c r="G65" s="180"/>
      <c r="H65" s="180"/>
      <c r="I65" s="180"/>
      <c r="J65" s="180"/>
      <c r="K65" s="180"/>
      <c r="L65" s="180"/>
      <c r="M65" s="750"/>
      <c r="N65" s="180"/>
      <c r="O65" s="180"/>
      <c r="P65" s="180"/>
      <c r="Q65" s="180"/>
      <c r="R65" s="180"/>
      <c r="S65" s="180"/>
      <c r="T65" s="180"/>
      <c r="U65" s="180"/>
      <c r="V65" s="180"/>
      <c r="W65" s="180"/>
      <c r="X65" s="180"/>
      <c r="Y65" s="180"/>
      <c r="Z65" s="180"/>
    </row>
    <row r="66" spans="4:26" ht="16.5" customHeight="1">
      <c r="D66" s="180"/>
      <c r="E66" s="180"/>
      <c r="F66" s="180"/>
      <c r="G66" s="180"/>
      <c r="H66" s="180"/>
      <c r="I66" s="180"/>
      <c r="J66" s="180"/>
      <c r="K66" s="180"/>
      <c r="L66" s="180"/>
      <c r="M66" s="750"/>
      <c r="N66" s="180"/>
      <c r="O66" s="180"/>
      <c r="P66" s="180"/>
      <c r="Q66" s="180"/>
      <c r="R66" s="180"/>
      <c r="S66" s="180"/>
      <c r="T66" s="180"/>
      <c r="U66" s="180"/>
      <c r="V66" s="180"/>
      <c r="W66" s="180"/>
      <c r="X66" s="180"/>
      <c r="Y66" s="180"/>
      <c r="Z66" s="180"/>
    </row>
    <row r="67" spans="4:26" ht="16.5" customHeight="1">
      <c r="D67" s="180"/>
      <c r="E67" s="180"/>
      <c r="F67" s="180"/>
      <c r="G67" s="180"/>
      <c r="H67" s="180"/>
      <c r="I67" s="180"/>
      <c r="J67" s="180"/>
      <c r="K67" s="180"/>
      <c r="L67" s="180"/>
      <c r="M67" s="750"/>
      <c r="N67" s="180"/>
      <c r="O67" s="180"/>
      <c r="P67" s="180"/>
      <c r="Q67" s="180"/>
      <c r="R67" s="180"/>
      <c r="S67" s="180"/>
      <c r="T67" s="180"/>
      <c r="U67" s="180"/>
      <c r="V67" s="180"/>
      <c r="W67" s="180"/>
      <c r="X67" s="180"/>
      <c r="Y67" s="180"/>
      <c r="Z67" s="180"/>
    </row>
    <row r="68" spans="4:26" ht="16.5" customHeight="1">
      <c r="D68" s="180"/>
      <c r="E68" s="180"/>
      <c r="F68" s="180"/>
      <c r="G68" s="180"/>
      <c r="H68" s="180"/>
      <c r="I68" s="180"/>
      <c r="J68" s="180"/>
      <c r="K68" s="180"/>
      <c r="L68" s="180"/>
      <c r="M68" s="750"/>
      <c r="N68" s="180"/>
      <c r="O68" s="180"/>
      <c r="P68" s="180"/>
      <c r="Q68" s="180"/>
      <c r="R68" s="180"/>
      <c r="S68" s="180"/>
      <c r="T68" s="180"/>
      <c r="U68" s="180"/>
      <c r="V68" s="180"/>
      <c r="W68" s="180"/>
      <c r="X68" s="180"/>
      <c r="Y68" s="180"/>
      <c r="Z68" s="180"/>
    </row>
    <row r="69" spans="4:26" ht="16.5" customHeight="1"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80"/>
      <c r="P69" s="180"/>
      <c r="Q69" s="180"/>
      <c r="R69" s="180"/>
      <c r="S69" s="180"/>
      <c r="T69" s="180"/>
      <c r="U69" s="180"/>
      <c r="V69" s="180"/>
      <c r="W69" s="180"/>
      <c r="X69" s="180"/>
      <c r="Y69" s="180"/>
      <c r="Z69" s="180"/>
    </row>
    <row r="70" spans="4:26" ht="16.5" customHeight="1"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80"/>
      <c r="P70" s="180"/>
      <c r="Q70" s="180"/>
      <c r="R70" s="180"/>
      <c r="S70" s="180"/>
      <c r="T70" s="180"/>
      <c r="U70" s="180"/>
      <c r="V70" s="180"/>
      <c r="W70" s="180"/>
      <c r="X70" s="180"/>
      <c r="Y70" s="180"/>
      <c r="Z70" s="180"/>
    </row>
    <row r="71" spans="4:26" ht="16.5" customHeight="1"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80"/>
      <c r="P71" s="180"/>
      <c r="Q71" s="180"/>
      <c r="R71" s="180"/>
      <c r="S71" s="180"/>
      <c r="T71" s="180"/>
      <c r="U71" s="180"/>
      <c r="V71" s="180"/>
      <c r="W71" s="180"/>
      <c r="X71" s="180"/>
      <c r="Y71" s="180"/>
      <c r="Z71" s="180"/>
    </row>
    <row r="72" spans="4:26" ht="16.5" customHeight="1"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80"/>
      <c r="P72" s="180"/>
      <c r="Q72" s="180"/>
      <c r="R72" s="180"/>
      <c r="S72" s="180"/>
      <c r="T72" s="180"/>
      <c r="U72" s="180"/>
      <c r="V72" s="180"/>
      <c r="W72" s="180"/>
      <c r="X72" s="180"/>
      <c r="Y72" s="180"/>
      <c r="Z72" s="180"/>
    </row>
    <row r="73" spans="4:26" ht="16.5" customHeight="1"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80"/>
      <c r="P73" s="180"/>
      <c r="Q73" s="180"/>
      <c r="R73" s="180"/>
      <c r="S73" s="180"/>
      <c r="T73" s="180"/>
      <c r="U73" s="180"/>
      <c r="V73" s="180"/>
      <c r="W73" s="180"/>
      <c r="X73" s="180"/>
      <c r="Y73" s="180"/>
      <c r="Z73" s="180"/>
    </row>
    <row r="74" spans="4:26" ht="16.5" customHeight="1">
      <c r="D74" s="180"/>
      <c r="E74" s="180"/>
      <c r="F74" s="180"/>
      <c r="G74" s="180"/>
      <c r="H74" s="180"/>
      <c r="I74" s="180"/>
      <c r="J74" s="180"/>
      <c r="K74" s="180"/>
      <c r="L74" s="180"/>
      <c r="M74" s="180"/>
      <c r="N74" s="180"/>
      <c r="O74" s="180"/>
      <c r="P74" s="180"/>
      <c r="Q74" s="180"/>
      <c r="R74" s="180"/>
      <c r="S74" s="180"/>
      <c r="T74" s="180"/>
      <c r="U74" s="180"/>
      <c r="V74" s="180"/>
      <c r="W74" s="180"/>
      <c r="X74" s="180"/>
      <c r="Y74" s="180"/>
      <c r="Z74" s="180"/>
    </row>
    <row r="75" spans="4:26" ht="16.5" customHeight="1">
      <c r="D75" s="180"/>
      <c r="E75" s="180"/>
      <c r="F75" s="180"/>
      <c r="G75" s="180"/>
      <c r="H75" s="180"/>
      <c r="I75" s="180"/>
      <c r="J75" s="180"/>
      <c r="K75" s="180"/>
      <c r="L75" s="180"/>
      <c r="M75" s="180"/>
      <c r="N75" s="180"/>
      <c r="O75" s="180"/>
      <c r="P75" s="180"/>
      <c r="Q75" s="180"/>
      <c r="R75" s="180"/>
      <c r="S75" s="180"/>
      <c r="T75" s="180"/>
      <c r="U75" s="180"/>
      <c r="V75" s="180"/>
      <c r="W75" s="180"/>
      <c r="X75" s="180"/>
      <c r="Y75" s="180"/>
      <c r="Z75" s="180"/>
    </row>
    <row r="76" spans="4:26" ht="16.5" customHeight="1">
      <c r="D76" s="180"/>
      <c r="E76" s="180"/>
      <c r="F76" s="180"/>
      <c r="G76" s="180"/>
      <c r="H76" s="180"/>
      <c r="I76" s="180"/>
      <c r="J76" s="180"/>
      <c r="K76" s="180"/>
      <c r="L76" s="180"/>
      <c r="M76" s="180"/>
      <c r="N76" s="180"/>
      <c r="O76" s="180"/>
      <c r="P76" s="180"/>
      <c r="Q76" s="180"/>
      <c r="R76" s="180"/>
      <c r="S76" s="180"/>
      <c r="T76" s="180"/>
      <c r="U76" s="180"/>
      <c r="V76" s="180"/>
      <c r="W76" s="180"/>
      <c r="X76" s="180"/>
      <c r="Y76" s="180"/>
      <c r="Z76" s="180"/>
    </row>
    <row r="77" spans="4:26" ht="16.5" customHeight="1">
      <c r="D77" s="180"/>
      <c r="E77" s="180"/>
      <c r="F77" s="180"/>
      <c r="G77" s="180"/>
      <c r="H77" s="180"/>
      <c r="I77" s="180"/>
      <c r="J77" s="180"/>
      <c r="K77" s="180"/>
      <c r="L77" s="180"/>
      <c r="M77" s="180"/>
      <c r="N77" s="180"/>
      <c r="O77" s="180"/>
      <c r="P77" s="180"/>
      <c r="Q77" s="180"/>
      <c r="R77" s="180"/>
      <c r="S77" s="180"/>
      <c r="T77" s="180"/>
      <c r="U77" s="180"/>
      <c r="V77" s="180"/>
      <c r="W77" s="180"/>
      <c r="X77" s="180"/>
      <c r="Y77" s="180"/>
      <c r="Z77" s="180"/>
    </row>
    <row r="78" spans="4:26" ht="16.5" customHeight="1">
      <c r="D78" s="180"/>
      <c r="E78" s="180"/>
      <c r="F78" s="180"/>
      <c r="G78" s="180"/>
      <c r="H78" s="180"/>
      <c r="I78" s="180"/>
      <c r="J78" s="180"/>
      <c r="K78" s="180"/>
      <c r="L78" s="180"/>
      <c r="M78" s="180"/>
      <c r="N78" s="180"/>
      <c r="O78" s="180"/>
      <c r="P78" s="180"/>
      <c r="Q78" s="180"/>
      <c r="R78" s="180"/>
      <c r="S78" s="180"/>
      <c r="T78" s="180"/>
      <c r="U78" s="180"/>
      <c r="V78" s="180"/>
      <c r="W78" s="180"/>
      <c r="X78" s="180"/>
      <c r="Y78" s="180"/>
      <c r="Z78" s="180"/>
    </row>
    <row r="79" spans="4:26" ht="16.5" customHeight="1">
      <c r="D79" s="180"/>
      <c r="E79" s="180"/>
      <c r="F79" s="180"/>
      <c r="G79" s="180"/>
      <c r="H79" s="180"/>
      <c r="I79" s="180"/>
      <c r="J79" s="180"/>
      <c r="K79" s="180"/>
      <c r="L79" s="180"/>
      <c r="M79" s="180"/>
      <c r="N79" s="180"/>
      <c r="O79" s="180"/>
      <c r="P79" s="180"/>
      <c r="Q79" s="180"/>
      <c r="R79" s="180"/>
      <c r="S79" s="180"/>
      <c r="T79" s="180"/>
      <c r="U79" s="180"/>
      <c r="V79" s="180"/>
      <c r="W79" s="180"/>
      <c r="X79" s="180"/>
      <c r="Y79" s="180"/>
      <c r="Z79" s="180"/>
    </row>
    <row r="80" spans="4:26" ht="16.5" customHeight="1"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80"/>
      <c r="P80" s="180"/>
      <c r="Q80" s="180"/>
      <c r="R80" s="180"/>
      <c r="S80" s="180"/>
      <c r="T80" s="180"/>
      <c r="U80" s="180"/>
      <c r="V80" s="180"/>
      <c r="W80" s="180"/>
      <c r="X80" s="180"/>
      <c r="Y80" s="180"/>
      <c r="Z80" s="180"/>
    </row>
    <row r="81" spans="4:26" ht="16.5" customHeight="1">
      <c r="D81" s="180"/>
      <c r="E81" s="180"/>
      <c r="F81" s="180"/>
      <c r="G81" s="180"/>
      <c r="H81" s="180"/>
      <c r="I81" s="180"/>
      <c r="J81" s="180"/>
      <c r="K81" s="180"/>
      <c r="L81" s="180"/>
      <c r="M81" s="180"/>
      <c r="N81" s="180"/>
      <c r="O81" s="180"/>
      <c r="P81" s="180"/>
      <c r="Q81" s="180"/>
      <c r="R81" s="180"/>
      <c r="S81" s="180"/>
      <c r="T81" s="180"/>
      <c r="U81" s="180"/>
      <c r="V81" s="180"/>
      <c r="W81" s="180"/>
      <c r="X81" s="180"/>
      <c r="Y81" s="180"/>
      <c r="Z81" s="180"/>
    </row>
    <row r="82" spans="4:26" ht="16.5" customHeight="1">
      <c r="D82" s="180"/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</row>
    <row r="83" spans="4:26" ht="16.5" customHeight="1">
      <c r="D83" s="180"/>
      <c r="E83" s="180"/>
      <c r="F83" s="180"/>
      <c r="G83" s="180"/>
      <c r="H83" s="180"/>
      <c r="I83" s="180"/>
      <c r="J83" s="180"/>
      <c r="K83" s="180"/>
      <c r="L83" s="180"/>
      <c r="M83" s="180"/>
      <c r="N83" s="180"/>
      <c r="O83" s="180"/>
      <c r="P83" s="180"/>
      <c r="Q83" s="180"/>
      <c r="R83" s="180"/>
      <c r="S83" s="180"/>
      <c r="T83" s="180"/>
      <c r="U83" s="180"/>
      <c r="V83" s="180"/>
      <c r="W83" s="180"/>
      <c r="X83" s="180"/>
      <c r="Y83" s="180"/>
      <c r="Z83" s="180"/>
    </row>
    <row r="84" spans="4:26" ht="16.5" customHeight="1">
      <c r="D84" s="180"/>
      <c r="E84" s="180"/>
      <c r="F84" s="180"/>
      <c r="G84" s="180"/>
      <c r="H84" s="180"/>
      <c r="I84" s="180"/>
      <c r="J84" s="180"/>
      <c r="K84" s="180"/>
      <c r="L84" s="180"/>
      <c r="M84" s="180"/>
      <c r="N84" s="180"/>
      <c r="O84" s="180"/>
      <c r="P84" s="180"/>
      <c r="Q84" s="180"/>
      <c r="R84" s="180"/>
      <c r="S84" s="180"/>
      <c r="T84" s="180"/>
      <c r="U84" s="180"/>
      <c r="V84" s="180"/>
      <c r="W84" s="180"/>
      <c r="X84" s="180"/>
      <c r="Y84" s="180"/>
      <c r="Z84" s="180"/>
    </row>
    <row r="85" spans="4:26" ht="16.5" customHeight="1">
      <c r="D85" s="180"/>
      <c r="E85" s="180"/>
      <c r="F85" s="180"/>
      <c r="G85" s="180"/>
      <c r="H85" s="180"/>
      <c r="I85" s="180"/>
      <c r="J85" s="180"/>
      <c r="K85" s="180"/>
      <c r="L85" s="180"/>
      <c r="M85" s="180"/>
      <c r="N85" s="180"/>
      <c r="O85" s="180"/>
      <c r="P85" s="180"/>
      <c r="Q85" s="180"/>
      <c r="R85" s="180"/>
      <c r="S85" s="180"/>
      <c r="T85" s="180"/>
      <c r="U85" s="180"/>
      <c r="V85" s="180"/>
      <c r="W85" s="180"/>
      <c r="X85" s="180"/>
      <c r="Y85" s="180"/>
      <c r="Z85" s="180"/>
    </row>
    <row r="86" spans="4:26" ht="16.5" customHeight="1">
      <c r="D86" s="180"/>
      <c r="E86" s="180"/>
      <c r="F86" s="180"/>
      <c r="G86" s="180"/>
      <c r="H86" s="180"/>
      <c r="I86" s="180"/>
      <c r="J86" s="180"/>
      <c r="K86" s="180"/>
      <c r="L86" s="180"/>
      <c r="M86" s="180"/>
      <c r="N86" s="180"/>
      <c r="O86" s="180"/>
      <c r="P86" s="180"/>
      <c r="Q86" s="180"/>
      <c r="R86" s="180"/>
      <c r="S86" s="180"/>
      <c r="T86" s="180"/>
      <c r="U86" s="180"/>
      <c r="V86" s="180"/>
      <c r="W86" s="180"/>
      <c r="X86" s="180"/>
      <c r="Y86" s="180"/>
      <c r="Z86" s="180"/>
    </row>
    <row r="87" spans="4:26" ht="16.5" customHeight="1">
      <c r="D87" s="180"/>
      <c r="E87" s="180"/>
      <c r="F87" s="180"/>
      <c r="G87" s="180"/>
      <c r="H87" s="180"/>
      <c r="I87" s="180"/>
      <c r="J87" s="180"/>
      <c r="K87" s="180"/>
      <c r="L87" s="180"/>
      <c r="M87" s="180"/>
      <c r="N87" s="180"/>
      <c r="O87" s="180"/>
      <c r="P87" s="180"/>
      <c r="Q87" s="180"/>
      <c r="R87" s="180"/>
      <c r="S87" s="180"/>
      <c r="T87" s="180"/>
      <c r="U87" s="180"/>
      <c r="V87" s="180"/>
      <c r="W87" s="180"/>
      <c r="X87" s="180"/>
      <c r="Y87" s="180"/>
      <c r="Z87" s="180"/>
    </row>
    <row r="88" spans="4:26" ht="16.5" customHeight="1"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80"/>
      <c r="P88" s="180"/>
      <c r="Q88" s="180"/>
      <c r="R88" s="180"/>
      <c r="S88" s="180"/>
      <c r="T88" s="180"/>
      <c r="U88" s="180"/>
      <c r="V88" s="180"/>
      <c r="W88" s="180"/>
      <c r="X88" s="180"/>
      <c r="Y88" s="180"/>
      <c r="Z88" s="180"/>
    </row>
    <row r="89" spans="4:26" ht="16.5" customHeight="1">
      <c r="D89" s="180"/>
      <c r="E89" s="180"/>
      <c r="F89" s="180"/>
      <c r="G89" s="180"/>
      <c r="H89" s="180"/>
      <c r="I89" s="180"/>
      <c r="J89" s="180"/>
      <c r="K89" s="180"/>
      <c r="L89" s="180"/>
      <c r="M89" s="180"/>
      <c r="N89" s="180"/>
      <c r="O89" s="180"/>
      <c r="P89" s="180"/>
      <c r="Q89" s="180"/>
      <c r="R89" s="180"/>
      <c r="S89" s="180"/>
      <c r="T89" s="180"/>
      <c r="U89" s="180"/>
      <c r="V89" s="180"/>
      <c r="W89" s="180"/>
      <c r="X89" s="180"/>
      <c r="Y89" s="180"/>
      <c r="Z89" s="180"/>
    </row>
    <row r="90" spans="4:26" ht="16.5" customHeight="1">
      <c r="D90" s="180"/>
      <c r="E90" s="180"/>
      <c r="F90" s="180"/>
      <c r="G90" s="180"/>
      <c r="H90" s="180"/>
      <c r="I90" s="180"/>
      <c r="J90" s="180"/>
      <c r="K90" s="180"/>
      <c r="L90" s="180"/>
      <c r="M90" s="180"/>
      <c r="N90" s="180"/>
      <c r="O90" s="180"/>
      <c r="P90" s="180"/>
      <c r="Q90" s="180"/>
      <c r="R90" s="180"/>
      <c r="S90" s="180"/>
      <c r="T90" s="180"/>
      <c r="U90" s="180"/>
      <c r="V90" s="180"/>
      <c r="W90" s="180"/>
      <c r="X90" s="180"/>
      <c r="Y90" s="180"/>
      <c r="Z90" s="180"/>
    </row>
    <row r="91" spans="4:26" ht="16.5" customHeight="1">
      <c r="D91" s="180"/>
      <c r="E91" s="180"/>
      <c r="F91" s="180"/>
      <c r="G91" s="180"/>
      <c r="H91" s="180"/>
      <c r="I91" s="180"/>
      <c r="J91" s="180"/>
      <c r="K91" s="180"/>
      <c r="L91" s="180"/>
      <c r="M91" s="180"/>
      <c r="N91" s="180"/>
      <c r="O91" s="180"/>
      <c r="P91" s="180"/>
      <c r="Q91" s="180"/>
      <c r="R91" s="180"/>
      <c r="S91" s="180"/>
      <c r="T91" s="180"/>
      <c r="U91" s="180"/>
      <c r="V91" s="180"/>
      <c r="W91" s="180"/>
      <c r="X91" s="180"/>
      <c r="Y91" s="180"/>
      <c r="Z91" s="180"/>
    </row>
    <row r="92" spans="4:26" ht="16.5" customHeight="1">
      <c r="D92" s="180"/>
      <c r="E92" s="180"/>
      <c r="F92" s="180"/>
      <c r="G92" s="180"/>
      <c r="H92" s="180"/>
      <c r="I92" s="180"/>
      <c r="J92" s="180"/>
      <c r="K92" s="180"/>
      <c r="L92" s="180"/>
      <c r="M92" s="180"/>
      <c r="N92" s="180"/>
      <c r="O92" s="180"/>
      <c r="P92" s="180"/>
      <c r="Q92" s="180"/>
      <c r="R92" s="180"/>
      <c r="S92" s="180"/>
      <c r="T92" s="180"/>
      <c r="U92" s="180"/>
      <c r="V92" s="180"/>
      <c r="W92" s="180"/>
      <c r="X92" s="180"/>
      <c r="Y92" s="180"/>
      <c r="Z92" s="180"/>
    </row>
    <row r="93" spans="4:26" ht="16.5" customHeight="1"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0"/>
      <c r="U93" s="180"/>
      <c r="V93" s="180"/>
      <c r="W93" s="180"/>
      <c r="X93" s="180"/>
      <c r="Y93" s="180"/>
      <c r="Z93" s="180"/>
    </row>
    <row r="94" spans="4:26" ht="16.5" customHeight="1">
      <c r="D94" s="180"/>
      <c r="E94" s="180"/>
      <c r="F94" s="180"/>
      <c r="G94" s="180"/>
      <c r="H94" s="180"/>
      <c r="I94" s="180"/>
      <c r="J94" s="180"/>
      <c r="K94" s="180"/>
      <c r="L94" s="180"/>
      <c r="M94" s="180"/>
      <c r="N94" s="180"/>
      <c r="O94" s="180"/>
      <c r="P94" s="180"/>
      <c r="Q94" s="180"/>
      <c r="R94" s="180"/>
      <c r="S94" s="180"/>
      <c r="T94" s="180"/>
      <c r="U94" s="180"/>
      <c r="V94" s="180"/>
      <c r="W94" s="180"/>
      <c r="X94" s="180"/>
      <c r="Y94" s="180"/>
      <c r="Z94" s="180"/>
    </row>
    <row r="95" spans="4:26" ht="16.5" customHeight="1">
      <c r="D95" s="180"/>
      <c r="E95" s="180"/>
      <c r="F95" s="180"/>
      <c r="G95" s="180"/>
      <c r="H95" s="180"/>
      <c r="I95" s="180"/>
      <c r="J95" s="180"/>
      <c r="K95" s="180"/>
      <c r="L95" s="180"/>
      <c r="M95" s="180"/>
      <c r="N95" s="180"/>
      <c r="O95" s="180"/>
      <c r="P95" s="180"/>
      <c r="Q95" s="180"/>
      <c r="R95" s="180"/>
      <c r="S95" s="180"/>
      <c r="T95" s="180"/>
      <c r="U95" s="180"/>
      <c r="V95" s="180"/>
      <c r="W95" s="180"/>
      <c r="X95" s="180"/>
      <c r="Y95" s="180"/>
      <c r="Z95" s="180"/>
    </row>
    <row r="96" spans="4:26" ht="16.5" customHeight="1">
      <c r="D96" s="180"/>
      <c r="E96" s="180"/>
      <c r="F96" s="180"/>
      <c r="G96" s="180"/>
      <c r="H96" s="180"/>
      <c r="I96" s="180"/>
      <c r="J96" s="180"/>
      <c r="K96" s="180"/>
      <c r="L96" s="180"/>
      <c r="M96" s="180"/>
      <c r="N96" s="180"/>
      <c r="O96" s="180"/>
      <c r="P96" s="180"/>
      <c r="Q96" s="180"/>
      <c r="R96" s="180"/>
      <c r="S96" s="180"/>
      <c r="T96" s="180"/>
      <c r="U96" s="180"/>
      <c r="V96" s="180"/>
      <c r="W96" s="180"/>
      <c r="X96" s="180"/>
      <c r="Y96" s="180"/>
      <c r="Z96" s="180"/>
    </row>
    <row r="97" spans="4:26" ht="16.5" customHeight="1">
      <c r="D97" s="180"/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</row>
    <row r="98" spans="4:26" ht="16.5" customHeight="1">
      <c r="D98" s="180"/>
      <c r="E98" s="180"/>
      <c r="F98" s="180"/>
      <c r="G98" s="180"/>
      <c r="H98" s="180"/>
      <c r="I98" s="180"/>
      <c r="J98" s="180"/>
      <c r="K98" s="180"/>
      <c r="L98" s="180"/>
      <c r="M98" s="180"/>
      <c r="N98" s="180"/>
      <c r="O98" s="180"/>
      <c r="P98" s="180"/>
      <c r="Q98" s="180"/>
      <c r="R98" s="180"/>
      <c r="S98" s="180"/>
      <c r="T98" s="180"/>
      <c r="U98" s="180"/>
      <c r="V98" s="180"/>
      <c r="W98" s="180"/>
      <c r="X98" s="180"/>
      <c r="Y98" s="180"/>
      <c r="Z98" s="180"/>
    </row>
    <row r="99" spans="4:26" ht="16.5" customHeight="1">
      <c r="D99" s="180"/>
      <c r="E99" s="180"/>
      <c r="F99" s="180"/>
      <c r="G99" s="180"/>
      <c r="H99" s="180"/>
      <c r="I99" s="180"/>
      <c r="J99" s="180"/>
      <c r="K99" s="180"/>
      <c r="L99" s="180"/>
      <c r="M99" s="180"/>
      <c r="N99" s="180"/>
      <c r="O99" s="180"/>
      <c r="P99" s="180"/>
      <c r="Q99" s="180"/>
      <c r="R99" s="180"/>
      <c r="S99" s="180"/>
      <c r="T99" s="180"/>
      <c r="U99" s="180"/>
      <c r="V99" s="180"/>
      <c r="W99" s="180"/>
      <c r="X99" s="180"/>
      <c r="Y99" s="180"/>
      <c r="Z99" s="180"/>
    </row>
    <row r="100" spans="4:26" ht="16.5" customHeight="1">
      <c r="D100" s="180"/>
      <c r="E100" s="180"/>
      <c r="F100" s="180"/>
      <c r="G100" s="180"/>
      <c r="H100" s="180"/>
      <c r="I100" s="180"/>
      <c r="J100" s="180"/>
      <c r="K100" s="180"/>
      <c r="L100" s="180"/>
      <c r="M100" s="180"/>
      <c r="N100" s="180"/>
      <c r="O100" s="180"/>
      <c r="P100" s="180"/>
      <c r="Q100" s="180"/>
      <c r="R100" s="180"/>
      <c r="S100" s="180"/>
      <c r="T100" s="180"/>
      <c r="U100" s="180"/>
      <c r="V100" s="180"/>
      <c r="W100" s="180"/>
      <c r="X100" s="180"/>
      <c r="Y100" s="180"/>
      <c r="Z100" s="180"/>
    </row>
    <row r="101" spans="4:26" ht="16.5" customHeight="1">
      <c r="D101" s="180"/>
      <c r="E101" s="180"/>
      <c r="F101" s="180"/>
      <c r="G101" s="180"/>
      <c r="H101" s="180"/>
      <c r="I101" s="180"/>
      <c r="J101" s="180"/>
      <c r="K101" s="180"/>
      <c r="L101" s="180"/>
      <c r="M101" s="180"/>
      <c r="N101" s="180"/>
      <c r="O101" s="180"/>
      <c r="P101" s="180"/>
      <c r="Q101" s="180"/>
      <c r="R101" s="180"/>
      <c r="S101" s="180"/>
      <c r="T101" s="180"/>
      <c r="U101" s="180"/>
      <c r="V101" s="180"/>
      <c r="W101" s="180"/>
      <c r="X101" s="180"/>
      <c r="Y101" s="180"/>
      <c r="Z101" s="180"/>
    </row>
    <row r="102" spans="4:26" ht="16.5" customHeight="1">
      <c r="D102" s="180"/>
      <c r="E102" s="180"/>
      <c r="F102" s="180"/>
      <c r="G102" s="180"/>
      <c r="H102" s="180"/>
      <c r="I102" s="180"/>
      <c r="J102" s="180"/>
      <c r="K102" s="180"/>
      <c r="L102" s="180"/>
      <c r="M102" s="180"/>
      <c r="N102" s="180"/>
      <c r="O102" s="180"/>
      <c r="P102" s="180"/>
      <c r="Q102" s="180"/>
      <c r="R102" s="180"/>
      <c r="S102" s="180"/>
      <c r="T102" s="180"/>
      <c r="U102" s="180"/>
      <c r="V102" s="180"/>
      <c r="W102" s="180"/>
      <c r="X102" s="180"/>
      <c r="Y102" s="180"/>
      <c r="Z102" s="180"/>
    </row>
    <row r="103" spans="4:26" ht="16.5" customHeight="1">
      <c r="D103" s="180"/>
      <c r="E103" s="180"/>
      <c r="F103" s="180"/>
      <c r="G103" s="180"/>
      <c r="H103" s="180"/>
      <c r="I103" s="180"/>
      <c r="J103" s="180"/>
      <c r="K103" s="180"/>
      <c r="L103" s="180"/>
      <c r="M103" s="180"/>
      <c r="N103" s="180"/>
      <c r="O103" s="180"/>
      <c r="P103" s="180"/>
      <c r="Q103" s="180"/>
      <c r="R103" s="180"/>
      <c r="S103" s="180"/>
      <c r="T103" s="180"/>
      <c r="U103" s="180"/>
      <c r="V103" s="180"/>
      <c r="W103" s="180"/>
      <c r="X103" s="180"/>
      <c r="Y103" s="180"/>
      <c r="Z103" s="180"/>
    </row>
    <row r="104" spans="4:26" ht="16.5" customHeight="1">
      <c r="D104" s="180"/>
      <c r="E104" s="180"/>
      <c r="F104" s="180"/>
      <c r="G104" s="180"/>
      <c r="H104" s="180"/>
      <c r="I104" s="180"/>
      <c r="J104" s="180"/>
      <c r="K104" s="180"/>
      <c r="L104" s="180"/>
      <c r="M104" s="180"/>
      <c r="N104" s="180"/>
      <c r="O104" s="180"/>
      <c r="P104" s="180"/>
      <c r="Q104" s="180"/>
      <c r="R104" s="180"/>
      <c r="S104" s="180"/>
      <c r="T104" s="180"/>
      <c r="U104" s="180"/>
      <c r="V104" s="180"/>
      <c r="W104" s="180"/>
      <c r="X104" s="180"/>
      <c r="Y104" s="180"/>
      <c r="Z104" s="180"/>
    </row>
    <row r="105" spans="4:26" ht="16.5" customHeight="1">
      <c r="D105" s="180"/>
      <c r="E105" s="180"/>
      <c r="F105" s="180"/>
      <c r="G105" s="180"/>
      <c r="H105" s="180"/>
      <c r="I105" s="180"/>
      <c r="J105" s="180"/>
      <c r="K105" s="180"/>
      <c r="L105" s="180"/>
      <c r="M105" s="180"/>
      <c r="N105" s="180"/>
      <c r="O105" s="180"/>
      <c r="P105" s="180"/>
      <c r="Q105" s="180"/>
      <c r="R105" s="180"/>
      <c r="S105" s="180"/>
      <c r="T105" s="180"/>
      <c r="U105" s="180"/>
      <c r="V105" s="180"/>
      <c r="W105" s="180"/>
      <c r="X105" s="180"/>
      <c r="Y105" s="180"/>
      <c r="Z105" s="180"/>
    </row>
    <row r="106" spans="4:26" ht="16.5" customHeight="1">
      <c r="D106" s="180"/>
      <c r="E106" s="180"/>
      <c r="F106" s="180"/>
      <c r="G106" s="180"/>
      <c r="H106" s="180"/>
      <c r="I106" s="180"/>
      <c r="J106" s="180"/>
      <c r="K106" s="180"/>
      <c r="L106" s="180"/>
      <c r="M106" s="180"/>
      <c r="N106" s="180"/>
      <c r="O106" s="180"/>
      <c r="P106" s="180"/>
      <c r="Q106" s="180"/>
      <c r="R106" s="180"/>
      <c r="S106" s="180"/>
      <c r="T106" s="180"/>
      <c r="U106" s="180"/>
      <c r="V106" s="180"/>
      <c r="W106" s="180"/>
      <c r="X106" s="180"/>
      <c r="Y106" s="180"/>
      <c r="Z106" s="180"/>
    </row>
    <row r="107" spans="4:26" ht="16.5" customHeight="1">
      <c r="D107" s="180"/>
      <c r="E107" s="180"/>
      <c r="F107" s="180"/>
      <c r="G107" s="180"/>
      <c r="H107" s="180"/>
      <c r="I107" s="180"/>
      <c r="J107" s="180"/>
      <c r="K107" s="180"/>
      <c r="L107" s="180"/>
      <c r="M107" s="180"/>
      <c r="N107" s="180"/>
      <c r="O107" s="180"/>
      <c r="P107" s="180"/>
      <c r="Q107" s="180"/>
      <c r="R107" s="180"/>
      <c r="S107" s="180"/>
      <c r="T107" s="180"/>
      <c r="U107" s="180"/>
      <c r="V107" s="180"/>
      <c r="W107" s="180"/>
      <c r="X107" s="180"/>
      <c r="Y107" s="180"/>
      <c r="Z107" s="180"/>
    </row>
    <row r="108" spans="4:26" ht="16.5" customHeight="1">
      <c r="D108" s="180"/>
      <c r="E108" s="180"/>
      <c r="F108" s="180"/>
      <c r="G108" s="180"/>
      <c r="H108" s="180"/>
      <c r="I108" s="180"/>
      <c r="J108" s="180"/>
      <c r="K108" s="180"/>
      <c r="L108" s="180"/>
      <c r="M108" s="180"/>
      <c r="N108" s="180"/>
      <c r="O108" s="180"/>
      <c r="P108" s="180"/>
      <c r="Q108" s="180"/>
      <c r="R108" s="180"/>
      <c r="S108" s="180"/>
      <c r="T108" s="180"/>
      <c r="U108" s="180"/>
      <c r="V108" s="180"/>
      <c r="W108" s="180"/>
      <c r="X108" s="180"/>
      <c r="Y108" s="180"/>
      <c r="Z108" s="180"/>
    </row>
    <row r="109" spans="4:26" ht="16.5" customHeight="1">
      <c r="D109" s="180"/>
      <c r="E109" s="180"/>
      <c r="F109" s="180"/>
      <c r="G109" s="180"/>
      <c r="H109" s="180"/>
      <c r="I109" s="180"/>
      <c r="J109" s="180"/>
      <c r="K109" s="180"/>
      <c r="L109" s="180"/>
      <c r="M109" s="180"/>
      <c r="N109" s="180"/>
      <c r="O109" s="180"/>
      <c r="P109" s="180"/>
      <c r="Q109" s="180"/>
      <c r="R109" s="180"/>
      <c r="S109" s="180"/>
      <c r="T109" s="180"/>
      <c r="U109" s="180"/>
      <c r="V109" s="180"/>
      <c r="W109" s="180"/>
      <c r="X109" s="180"/>
      <c r="Y109" s="180"/>
      <c r="Z109" s="180"/>
    </row>
    <row r="110" spans="4:26" ht="16.5" customHeight="1">
      <c r="D110" s="180"/>
      <c r="E110" s="180"/>
      <c r="F110" s="180"/>
      <c r="G110" s="180"/>
      <c r="H110" s="180"/>
      <c r="I110" s="180"/>
      <c r="J110" s="180"/>
      <c r="K110" s="180"/>
      <c r="L110" s="180"/>
      <c r="M110" s="180"/>
      <c r="N110" s="180"/>
      <c r="O110" s="180"/>
      <c r="P110" s="180"/>
      <c r="Q110" s="180"/>
      <c r="R110" s="180"/>
      <c r="S110" s="180"/>
      <c r="T110" s="180"/>
      <c r="U110" s="180"/>
      <c r="V110" s="180"/>
      <c r="W110" s="180"/>
      <c r="X110" s="180"/>
      <c r="Y110" s="180"/>
      <c r="Z110" s="180"/>
    </row>
    <row r="111" spans="4:26" ht="16.5" customHeight="1">
      <c r="D111" s="180"/>
      <c r="E111" s="180"/>
      <c r="F111" s="180"/>
      <c r="G111" s="180"/>
      <c r="H111" s="180"/>
      <c r="I111" s="180"/>
      <c r="J111" s="180"/>
      <c r="K111" s="180"/>
      <c r="L111" s="180"/>
      <c r="M111" s="180"/>
      <c r="N111" s="180"/>
      <c r="O111" s="180"/>
      <c r="P111" s="180"/>
      <c r="Q111" s="180"/>
      <c r="R111" s="180"/>
      <c r="S111" s="180"/>
      <c r="T111" s="180"/>
      <c r="U111" s="180"/>
      <c r="V111" s="180"/>
      <c r="W111" s="180"/>
      <c r="X111" s="180"/>
      <c r="Y111" s="180"/>
      <c r="Z111" s="180"/>
    </row>
    <row r="112" spans="4:26" ht="16.5" customHeight="1">
      <c r="D112" s="180"/>
      <c r="E112" s="180"/>
      <c r="F112" s="180"/>
      <c r="G112" s="180"/>
      <c r="H112" s="180"/>
      <c r="I112" s="180"/>
      <c r="J112" s="180"/>
      <c r="K112" s="180"/>
      <c r="L112" s="180"/>
      <c r="M112" s="180"/>
      <c r="N112" s="180"/>
      <c r="O112" s="180"/>
      <c r="P112" s="180"/>
      <c r="Q112" s="180"/>
      <c r="R112" s="180"/>
      <c r="S112" s="180"/>
      <c r="T112" s="180"/>
      <c r="U112" s="180"/>
      <c r="V112" s="180"/>
      <c r="W112" s="180"/>
      <c r="X112" s="180"/>
      <c r="Y112" s="180"/>
      <c r="Z112" s="180"/>
    </row>
    <row r="113" spans="4:26" ht="16.5" customHeight="1">
      <c r="D113" s="180"/>
      <c r="E113" s="180"/>
      <c r="F113" s="180"/>
      <c r="G113" s="180"/>
      <c r="H113" s="180"/>
      <c r="I113" s="180"/>
      <c r="J113" s="180"/>
      <c r="K113" s="180"/>
      <c r="L113" s="180"/>
      <c r="M113" s="180"/>
      <c r="N113" s="180"/>
      <c r="O113" s="180"/>
      <c r="P113" s="180"/>
      <c r="Q113" s="180"/>
      <c r="R113" s="180"/>
      <c r="S113" s="180"/>
      <c r="T113" s="180"/>
      <c r="U113" s="180"/>
      <c r="V113" s="180"/>
      <c r="W113" s="180"/>
      <c r="X113" s="180"/>
      <c r="Y113" s="180"/>
      <c r="Z113" s="180"/>
    </row>
    <row r="114" spans="4:26" ht="16.5" customHeight="1">
      <c r="D114" s="180"/>
      <c r="E114" s="180"/>
      <c r="F114" s="180"/>
      <c r="G114" s="180"/>
      <c r="H114" s="180"/>
      <c r="I114" s="180"/>
      <c r="J114" s="180"/>
      <c r="K114" s="180"/>
      <c r="L114" s="180"/>
      <c r="M114" s="180"/>
      <c r="N114" s="180"/>
      <c r="O114" s="180"/>
      <c r="P114" s="180"/>
      <c r="Q114" s="180"/>
      <c r="R114" s="180"/>
      <c r="S114" s="180"/>
      <c r="T114" s="180"/>
      <c r="U114" s="180"/>
      <c r="V114" s="180"/>
      <c r="W114" s="180"/>
      <c r="X114" s="180"/>
      <c r="Y114" s="180"/>
      <c r="Z114" s="180"/>
    </row>
    <row r="115" spans="4:26" ht="16.5" customHeight="1">
      <c r="D115" s="180"/>
      <c r="E115" s="180"/>
      <c r="F115" s="180"/>
      <c r="G115" s="180"/>
      <c r="H115" s="180"/>
      <c r="I115" s="180"/>
      <c r="J115" s="180"/>
      <c r="K115" s="180"/>
      <c r="L115" s="180"/>
      <c r="M115" s="180"/>
      <c r="N115" s="180"/>
      <c r="O115" s="180"/>
      <c r="P115" s="180"/>
      <c r="Q115" s="180"/>
      <c r="R115" s="180"/>
      <c r="S115" s="180"/>
      <c r="T115" s="180"/>
      <c r="U115" s="180"/>
      <c r="V115" s="180"/>
      <c r="W115" s="180"/>
      <c r="X115" s="180"/>
      <c r="Y115" s="180"/>
      <c r="Z115" s="180"/>
    </row>
    <row r="116" spans="4:26" ht="16.5" customHeight="1">
      <c r="D116" s="180"/>
      <c r="E116" s="180"/>
      <c r="F116" s="180"/>
      <c r="G116" s="180"/>
      <c r="H116" s="180"/>
      <c r="I116" s="180"/>
      <c r="J116" s="180"/>
      <c r="K116" s="180"/>
      <c r="L116" s="180"/>
      <c r="M116" s="180"/>
      <c r="N116" s="180"/>
      <c r="O116" s="180"/>
      <c r="P116" s="180"/>
      <c r="Q116" s="180"/>
      <c r="R116" s="180"/>
      <c r="S116" s="180"/>
      <c r="T116" s="180"/>
      <c r="U116" s="180"/>
      <c r="V116" s="180"/>
      <c r="W116" s="180"/>
      <c r="X116" s="180"/>
      <c r="Y116" s="180"/>
      <c r="Z116" s="180"/>
    </row>
    <row r="117" spans="4:26" ht="16.5" customHeight="1">
      <c r="D117" s="180"/>
      <c r="E117" s="180"/>
      <c r="F117" s="180"/>
      <c r="G117" s="180"/>
      <c r="H117" s="180"/>
      <c r="I117" s="180"/>
      <c r="J117" s="180"/>
      <c r="K117" s="180"/>
      <c r="L117" s="180"/>
      <c r="M117" s="180"/>
      <c r="N117" s="180"/>
      <c r="O117" s="180"/>
      <c r="P117" s="180"/>
      <c r="Q117" s="180"/>
      <c r="R117" s="180"/>
      <c r="S117" s="180"/>
      <c r="T117" s="180"/>
      <c r="U117" s="180"/>
      <c r="V117" s="180"/>
      <c r="W117" s="180"/>
      <c r="X117" s="180"/>
      <c r="Y117" s="180"/>
      <c r="Z117" s="180"/>
    </row>
    <row r="118" spans="4:26" ht="16.5" customHeight="1">
      <c r="D118" s="180"/>
      <c r="E118" s="180"/>
      <c r="F118" s="180"/>
      <c r="G118" s="180"/>
      <c r="H118" s="180"/>
      <c r="I118" s="180"/>
      <c r="J118" s="180"/>
      <c r="K118" s="180"/>
      <c r="L118" s="180"/>
      <c r="M118" s="180"/>
      <c r="N118" s="180"/>
      <c r="O118" s="180"/>
      <c r="P118" s="180"/>
      <c r="Q118" s="180"/>
      <c r="R118" s="180"/>
      <c r="S118" s="180"/>
      <c r="T118" s="180"/>
      <c r="U118" s="180"/>
      <c r="V118" s="180"/>
      <c r="W118" s="180"/>
      <c r="X118" s="180"/>
      <c r="Y118" s="180"/>
      <c r="Z118" s="180"/>
    </row>
    <row r="119" spans="4:26" ht="16.5" customHeight="1">
      <c r="D119" s="180"/>
      <c r="E119" s="180"/>
      <c r="F119" s="180"/>
      <c r="G119" s="180"/>
      <c r="H119" s="180"/>
      <c r="I119" s="180"/>
      <c r="J119" s="180"/>
      <c r="K119" s="180"/>
      <c r="L119" s="180"/>
      <c r="M119" s="180"/>
      <c r="N119" s="180"/>
      <c r="O119" s="180"/>
      <c r="P119" s="180"/>
      <c r="Q119" s="180"/>
      <c r="R119" s="180"/>
      <c r="S119" s="180"/>
      <c r="T119" s="180"/>
      <c r="U119" s="180"/>
      <c r="V119" s="180"/>
      <c r="W119" s="180"/>
      <c r="X119" s="180"/>
      <c r="Y119" s="180"/>
      <c r="Z119" s="180"/>
    </row>
    <row r="120" spans="4:26" ht="16.5" customHeight="1">
      <c r="D120" s="180"/>
      <c r="E120" s="180"/>
      <c r="F120" s="180"/>
      <c r="G120" s="180"/>
      <c r="H120" s="180"/>
      <c r="I120" s="180"/>
      <c r="J120" s="180"/>
      <c r="K120" s="180"/>
      <c r="L120" s="180"/>
      <c r="M120" s="180"/>
      <c r="N120" s="180"/>
      <c r="O120" s="180"/>
      <c r="P120" s="180"/>
      <c r="Q120" s="180"/>
      <c r="R120" s="180"/>
      <c r="S120" s="180"/>
      <c r="T120" s="180"/>
      <c r="U120" s="180"/>
      <c r="V120" s="180"/>
      <c r="W120" s="180"/>
      <c r="X120" s="180"/>
      <c r="Y120" s="180"/>
      <c r="Z120" s="180"/>
    </row>
    <row r="121" spans="4:26" ht="16.5" customHeight="1">
      <c r="D121" s="180"/>
      <c r="E121" s="180"/>
      <c r="F121" s="180"/>
      <c r="G121" s="180"/>
      <c r="H121" s="180"/>
      <c r="I121" s="180"/>
      <c r="J121" s="180"/>
      <c r="K121" s="180"/>
      <c r="L121" s="180"/>
      <c r="M121" s="180"/>
      <c r="N121" s="180"/>
      <c r="O121" s="180"/>
      <c r="P121" s="180"/>
      <c r="Q121" s="180"/>
      <c r="R121" s="180"/>
      <c r="S121" s="180"/>
      <c r="T121" s="180"/>
      <c r="U121" s="180"/>
      <c r="V121" s="180"/>
      <c r="W121" s="180"/>
      <c r="X121" s="180"/>
      <c r="Y121" s="180"/>
      <c r="Z121" s="180"/>
    </row>
    <row r="122" spans="4:26" ht="16.5" customHeight="1">
      <c r="D122" s="180"/>
      <c r="E122" s="180"/>
      <c r="F122" s="180"/>
      <c r="G122" s="180"/>
      <c r="H122" s="180"/>
      <c r="I122" s="180"/>
      <c r="J122" s="180"/>
      <c r="K122" s="180"/>
      <c r="L122" s="180"/>
      <c r="M122" s="180"/>
      <c r="N122" s="180"/>
      <c r="O122" s="180"/>
      <c r="P122" s="180"/>
      <c r="Q122" s="180"/>
      <c r="R122" s="180"/>
      <c r="S122" s="180"/>
      <c r="T122" s="180"/>
      <c r="U122" s="180"/>
      <c r="V122" s="180"/>
      <c r="W122" s="180"/>
      <c r="X122" s="180"/>
      <c r="Y122" s="180"/>
      <c r="Z122" s="180"/>
    </row>
    <row r="123" spans="4:26" ht="16.5" customHeight="1">
      <c r="D123" s="180"/>
      <c r="E123" s="180"/>
      <c r="F123" s="180"/>
      <c r="G123" s="180"/>
      <c r="H123" s="180"/>
      <c r="I123" s="180"/>
      <c r="J123" s="180"/>
      <c r="K123" s="180"/>
      <c r="L123" s="180"/>
      <c r="M123" s="180"/>
      <c r="N123" s="180"/>
      <c r="O123" s="180"/>
      <c r="P123" s="180"/>
      <c r="Q123" s="180"/>
      <c r="R123" s="180"/>
      <c r="S123" s="180"/>
      <c r="T123" s="180"/>
      <c r="U123" s="180"/>
      <c r="V123" s="180"/>
      <c r="W123" s="180"/>
      <c r="X123" s="180"/>
      <c r="Y123" s="180"/>
      <c r="Z123" s="180"/>
    </row>
    <row r="124" spans="4:26" ht="16.5" customHeight="1">
      <c r="D124" s="180"/>
      <c r="E124" s="180"/>
      <c r="F124" s="180"/>
      <c r="G124" s="180"/>
      <c r="H124" s="180"/>
      <c r="I124" s="180"/>
      <c r="J124" s="180"/>
      <c r="K124" s="180"/>
      <c r="L124" s="180"/>
      <c r="M124" s="180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0"/>
      <c r="Z124" s="180"/>
    </row>
    <row r="125" spans="4:26" ht="16.5" customHeight="1">
      <c r="D125" s="180"/>
      <c r="E125" s="180"/>
      <c r="F125" s="180"/>
      <c r="G125" s="180"/>
      <c r="H125" s="180"/>
      <c r="I125" s="180"/>
      <c r="J125" s="180"/>
      <c r="K125" s="180"/>
      <c r="L125" s="180"/>
      <c r="M125" s="180"/>
      <c r="N125" s="180"/>
      <c r="O125" s="180"/>
      <c r="P125" s="180"/>
      <c r="Q125" s="180"/>
      <c r="R125" s="180"/>
      <c r="S125" s="180"/>
      <c r="T125" s="180"/>
      <c r="U125" s="180"/>
      <c r="V125" s="180"/>
      <c r="W125" s="180"/>
      <c r="X125" s="180"/>
      <c r="Y125" s="180"/>
      <c r="Z125" s="180"/>
    </row>
    <row r="126" spans="4:26" ht="16.5" customHeight="1">
      <c r="D126" s="180"/>
      <c r="E126" s="180"/>
      <c r="F126" s="180"/>
      <c r="G126" s="180"/>
      <c r="H126" s="180"/>
      <c r="I126" s="180"/>
      <c r="J126" s="180"/>
      <c r="K126" s="180"/>
      <c r="L126" s="180"/>
      <c r="M126" s="180"/>
      <c r="N126" s="180"/>
      <c r="O126" s="180"/>
      <c r="P126" s="180"/>
      <c r="Q126" s="180"/>
      <c r="R126" s="180"/>
      <c r="S126" s="180"/>
      <c r="T126" s="180"/>
      <c r="U126" s="180"/>
      <c r="V126" s="180"/>
      <c r="W126" s="180"/>
      <c r="X126" s="180"/>
      <c r="Y126" s="180"/>
      <c r="Z126" s="180"/>
    </row>
    <row r="127" spans="4:26" ht="16.5" customHeight="1">
      <c r="D127" s="180"/>
      <c r="E127" s="180"/>
      <c r="F127" s="180"/>
      <c r="G127" s="180"/>
      <c r="H127" s="180"/>
      <c r="I127" s="180"/>
      <c r="J127" s="180"/>
      <c r="K127" s="180"/>
      <c r="L127" s="180"/>
      <c r="M127" s="180"/>
      <c r="N127" s="180"/>
      <c r="O127" s="180"/>
      <c r="P127" s="180"/>
      <c r="Q127" s="180"/>
      <c r="R127" s="180"/>
      <c r="S127" s="180"/>
      <c r="T127" s="180"/>
      <c r="U127" s="180"/>
      <c r="V127" s="180"/>
      <c r="W127" s="180"/>
      <c r="X127" s="180"/>
      <c r="Y127" s="180"/>
      <c r="Z127" s="180"/>
    </row>
    <row r="128" spans="4:26" ht="16.5" customHeight="1">
      <c r="D128" s="180"/>
      <c r="E128" s="180"/>
      <c r="F128" s="180"/>
      <c r="G128" s="180"/>
      <c r="H128" s="180"/>
      <c r="I128" s="180"/>
      <c r="J128" s="180"/>
      <c r="K128" s="180"/>
      <c r="L128" s="180"/>
      <c r="M128" s="180"/>
      <c r="N128" s="180"/>
      <c r="O128" s="180"/>
      <c r="P128" s="180"/>
      <c r="Q128" s="180"/>
      <c r="R128" s="180"/>
      <c r="S128" s="180"/>
      <c r="T128" s="180"/>
      <c r="U128" s="180"/>
      <c r="V128" s="180"/>
      <c r="W128" s="180"/>
      <c r="X128" s="180"/>
      <c r="Y128" s="180"/>
      <c r="Z128" s="180"/>
    </row>
    <row r="129" spans="4:26" ht="16.5" customHeight="1">
      <c r="D129" s="180"/>
      <c r="E129" s="180"/>
      <c r="F129" s="180"/>
      <c r="G129" s="180"/>
      <c r="H129" s="180"/>
      <c r="I129" s="180"/>
      <c r="J129" s="180"/>
      <c r="K129" s="180"/>
      <c r="L129" s="180"/>
      <c r="M129" s="180"/>
      <c r="N129" s="180"/>
      <c r="O129" s="180"/>
      <c r="P129" s="180"/>
      <c r="Q129" s="180"/>
      <c r="R129" s="180"/>
      <c r="S129" s="180"/>
      <c r="T129" s="180"/>
      <c r="U129" s="180"/>
      <c r="V129" s="180"/>
      <c r="W129" s="180"/>
      <c r="X129" s="180"/>
      <c r="Y129" s="180"/>
      <c r="Z129" s="180"/>
    </row>
    <row r="130" spans="4:26" ht="16.5" customHeight="1">
      <c r="D130" s="180"/>
      <c r="E130" s="180"/>
      <c r="F130" s="180"/>
      <c r="G130" s="180"/>
      <c r="H130" s="180"/>
      <c r="I130" s="180"/>
      <c r="J130" s="180"/>
      <c r="K130" s="180"/>
      <c r="L130" s="180"/>
      <c r="M130" s="180"/>
      <c r="N130" s="180"/>
      <c r="O130" s="180"/>
      <c r="P130" s="180"/>
      <c r="Q130" s="180"/>
      <c r="R130" s="180"/>
      <c r="S130" s="180"/>
      <c r="T130" s="180"/>
      <c r="U130" s="180"/>
      <c r="V130" s="180"/>
      <c r="W130" s="180"/>
      <c r="X130" s="180"/>
      <c r="Y130" s="180"/>
      <c r="Z130" s="180"/>
    </row>
    <row r="131" spans="4:26" ht="16.5" customHeight="1">
      <c r="D131" s="180"/>
      <c r="E131" s="180"/>
      <c r="F131" s="180"/>
      <c r="G131" s="180"/>
      <c r="H131" s="180"/>
      <c r="I131" s="180"/>
      <c r="J131" s="180"/>
      <c r="K131" s="180"/>
      <c r="L131" s="180"/>
      <c r="M131" s="180"/>
      <c r="N131" s="180"/>
      <c r="O131" s="180"/>
      <c r="P131" s="180"/>
      <c r="Q131" s="180"/>
      <c r="R131" s="180"/>
      <c r="S131" s="180"/>
      <c r="T131" s="180"/>
      <c r="U131" s="180"/>
      <c r="V131" s="180"/>
      <c r="W131" s="180"/>
      <c r="X131" s="180"/>
      <c r="Y131" s="180"/>
      <c r="Z131" s="180"/>
    </row>
    <row r="132" spans="4:26" ht="16.5" customHeight="1">
      <c r="D132" s="180"/>
      <c r="E132" s="180"/>
      <c r="F132" s="180"/>
      <c r="G132" s="180"/>
      <c r="H132" s="180"/>
      <c r="I132" s="180"/>
      <c r="J132" s="180"/>
      <c r="K132" s="180"/>
      <c r="L132" s="180"/>
      <c r="M132" s="180"/>
      <c r="N132" s="180"/>
      <c r="O132" s="180"/>
      <c r="P132" s="180"/>
      <c r="Q132" s="180"/>
      <c r="R132" s="180"/>
      <c r="S132" s="180"/>
      <c r="T132" s="180"/>
      <c r="U132" s="180"/>
      <c r="V132" s="180"/>
      <c r="W132" s="180"/>
      <c r="X132" s="180"/>
      <c r="Y132" s="180"/>
      <c r="Z132" s="180"/>
    </row>
    <row r="133" spans="4:26" ht="16.5" customHeight="1">
      <c r="D133" s="180"/>
      <c r="E133" s="180"/>
      <c r="F133" s="180"/>
      <c r="G133" s="180"/>
      <c r="H133" s="180"/>
      <c r="I133" s="180"/>
      <c r="J133" s="180"/>
      <c r="K133" s="180"/>
      <c r="L133" s="180"/>
      <c r="M133" s="180"/>
      <c r="N133" s="180"/>
      <c r="O133" s="180"/>
      <c r="P133" s="180"/>
      <c r="Q133" s="180"/>
      <c r="R133" s="180"/>
      <c r="S133" s="180"/>
      <c r="T133" s="180"/>
      <c r="U133" s="180"/>
      <c r="V133" s="180"/>
      <c r="W133" s="180"/>
      <c r="X133" s="180"/>
      <c r="Y133" s="180"/>
      <c r="Z133" s="180"/>
    </row>
    <row r="134" spans="4:26" ht="16.5" customHeight="1">
      <c r="D134" s="180"/>
      <c r="E134" s="180"/>
      <c r="F134" s="180"/>
      <c r="G134" s="180"/>
      <c r="H134" s="180"/>
      <c r="I134" s="180"/>
      <c r="J134" s="180"/>
      <c r="K134" s="180"/>
      <c r="L134" s="180"/>
      <c r="M134" s="180"/>
      <c r="N134" s="180"/>
      <c r="O134" s="180"/>
      <c r="P134" s="180"/>
      <c r="Q134" s="180"/>
      <c r="R134" s="180"/>
      <c r="S134" s="180"/>
      <c r="T134" s="180"/>
      <c r="U134" s="180"/>
      <c r="V134" s="180"/>
      <c r="W134" s="180"/>
      <c r="X134" s="180"/>
      <c r="Y134" s="180"/>
      <c r="Z134" s="180"/>
    </row>
    <row r="135" spans="4:26" ht="16.5" customHeight="1">
      <c r="D135" s="180"/>
      <c r="E135" s="180"/>
      <c r="F135" s="180"/>
      <c r="G135" s="180"/>
      <c r="H135" s="180"/>
      <c r="I135" s="180"/>
      <c r="J135" s="180"/>
      <c r="K135" s="180"/>
      <c r="L135" s="180"/>
      <c r="M135" s="180"/>
      <c r="N135" s="180"/>
      <c r="O135" s="180"/>
      <c r="P135" s="180"/>
      <c r="Q135" s="180"/>
      <c r="R135" s="180"/>
      <c r="S135" s="180"/>
      <c r="T135" s="180"/>
      <c r="U135" s="180"/>
      <c r="V135" s="180"/>
      <c r="W135" s="180"/>
      <c r="X135" s="180"/>
      <c r="Y135" s="180"/>
      <c r="Z135" s="180"/>
    </row>
    <row r="136" spans="4:26" ht="16.5" customHeight="1">
      <c r="D136" s="180"/>
      <c r="E136" s="180"/>
      <c r="F136" s="180"/>
      <c r="G136" s="180"/>
      <c r="H136" s="180"/>
      <c r="I136" s="180"/>
      <c r="J136" s="180"/>
      <c r="K136" s="180"/>
      <c r="L136" s="180"/>
      <c r="M136" s="180"/>
      <c r="N136" s="180"/>
      <c r="O136" s="180"/>
      <c r="P136" s="180"/>
      <c r="Q136" s="180"/>
      <c r="R136" s="180"/>
      <c r="S136" s="180"/>
      <c r="T136" s="180"/>
      <c r="U136" s="180"/>
      <c r="V136" s="180"/>
      <c r="W136" s="180"/>
      <c r="X136" s="180"/>
      <c r="Y136" s="180"/>
      <c r="Z136" s="180"/>
    </row>
    <row r="137" spans="4:26" ht="16.5" customHeight="1">
      <c r="D137" s="180"/>
      <c r="E137" s="180"/>
      <c r="F137" s="180"/>
      <c r="G137" s="180"/>
      <c r="H137" s="180"/>
      <c r="I137" s="180"/>
      <c r="J137" s="180"/>
      <c r="K137" s="180"/>
      <c r="L137" s="180"/>
      <c r="M137" s="180"/>
      <c r="N137" s="180"/>
      <c r="O137" s="180"/>
      <c r="P137" s="180"/>
      <c r="Q137" s="180"/>
      <c r="R137" s="180"/>
      <c r="S137" s="180"/>
      <c r="T137" s="180"/>
      <c r="U137" s="180"/>
      <c r="V137" s="180"/>
      <c r="W137" s="180"/>
      <c r="X137" s="180"/>
      <c r="Y137" s="180"/>
      <c r="Z137" s="180"/>
    </row>
    <row r="138" spans="4:26" ht="16.5" customHeight="1">
      <c r="D138" s="180"/>
      <c r="E138" s="180"/>
      <c r="F138" s="180"/>
      <c r="G138" s="180"/>
      <c r="H138" s="180"/>
      <c r="I138" s="180"/>
      <c r="J138" s="180"/>
      <c r="K138" s="180"/>
      <c r="L138" s="180"/>
      <c r="M138" s="180"/>
      <c r="N138" s="180"/>
      <c r="O138" s="180"/>
      <c r="P138" s="180"/>
      <c r="Q138" s="180"/>
      <c r="R138" s="180"/>
      <c r="S138" s="180"/>
      <c r="T138" s="180"/>
      <c r="U138" s="180"/>
      <c r="V138" s="180"/>
      <c r="W138" s="180"/>
      <c r="X138" s="180"/>
      <c r="Y138" s="180"/>
      <c r="Z138" s="180"/>
    </row>
    <row r="139" spans="4:26" ht="16.5" customHeight="1">
      <c r="D139" s="180"/>
      <c r="E139" s="180"/>
      <c r="F139" s="180"/>
      <c r="G139" s="180"/>
      <c r="H139" s="180"/>
      <c r="I139" s="180"/>
      <c r="J139" s="180"/>
      <c r="K139" s="180"/>
      <c r="L139" s="180"/>
      <c r="M139" s="180"/>
      <c r="N139" s="180"/>
      <c r="O139" s="180"/>
      <c r="P139" s="180"/>
      <c r="Q139" s="180"/>
      <c r="R139" s="180"/>
      <c r="S139" s="180"/>
      <c r="T139" s="180"/>
      <c r="U139" s="180"/>
      <c r="V139" s="180"/>
      <c r="W139" s="180"/>
      <c r="X139" s="180"/>
      <c r="Y139" s="180"/>
      <c r="Z139" s="180"/>
    </row>
    <row r="140" spans="4:26" ht="16.5" customHeight="1">
      <c r="D140" s="180"/>
      <c r="E140" s="180"/>
      <c r="F140" s="180"/>
      <c r="G140" s="180"/>
      <c r="H140" s="180"/>
      <c r="I140" s="180"/>
      <c r="J140" s="180"/>
      <c r="K140" s="180"/>
      <c r="L140" s="180"/>
      <c r="M140" s="180"/>
      <c r="N140" s="180"/>
      <c r="O140" s="180"/>
      <c r="P140" s="180"/>
      <c r="Q140" s="180"/>
      <c r="R140" s="180"/>
      <c r="S140" s="180"/>
      <c r="T140" s="180"/>
      <c r="U140" s="180"/>
      <c r="V140" s="180"/>
      <c r="W140" s="180"/>
      <c r="X140" s="180"/>
      <c r="Y140" s="180"/>
      <c r="Z140" s="180"/>
    </row>
    <row r="141" spans="4:26" ht="16.5" customHeight="1">
      <c r="D141" s="180"/>
      <c r="E141" s="180"/>
      <c r="F141" s="180"/>
      <c r="G141" s="180"/>
      <c r="H141" s="180"/>
      <c r="I141" s="180"/>
      <c r="J141" s="180"/>
      <c r="K141" s="180"/>
      <c r="L141" s="180"/>
      <c r="M141" s="180"/>
      <c r="N141" s="180"/>
      <c r="O141" s="180"/>
      <c r="P141" s="180"/>
      <c r="Q141" s="180"/>
      <c r="R141" s="180"/>
      <c r="S141" s="180"/>
      <c r="T141" s="180"/>
      <c r="U141" s="180"/>
      <c r="V141" s="180"/>
      <c r="W141" s="180"/>
      <c r="X141" s="180"/>
      <c r="Y141" s="180"/>
      <c r="Z141" s="180"/>
    </row>
    <row r="142" spans="4:26" ht="16.5" customHeight="1">
      <c r="D142" s="180"/>
      <c r="E142" s="180"/>
      <c r="F142" s="180"/>
      <c r="G142" s="180"/>
      <c r="H142" s="180"/>
      <c r="I142" s="180"/>
      <c r="J142" s="180"/>
      <c r="K142" s="180"/>
      <c r="L142" s="180"/>
      <c r="M142" s="180"/>
      <c r="N142" s="180"/>
      <c r="O142" s="180"/>
      <c r="P142" s="180"/>
      <c r="Q142" s="180"/>
      <c r="R142" s="180"/>
      <c r="S142" s="180"/>
      <c r="T142" s="180"/>
      <c r="U142" s="180"/>
      <c r="V142" s="180"/>
      <c r="W142" s="180"/>
      <c r="X142" s="180"/>
      <c r="Y142" s="180"/>
      <c r="Z142" s="180"/>
    </row>
    <row r="143" spans="4:26" ht="16.5" customHeight="1">
      <c r="D143" s="180"/>
      <c r="E143" s="180"/>
      <c r="F143" s="180"/>
      <c r="G143" s="180"/>
      <c r="H143" s="180"/>
      <c r="I143" s="180"/>
      <c r="J143" s="180"/>
      <c r="K143" s="180"/>
      <c r="L143" s="180"/>
      <c r="M143" s="180"/>
      <c r="N143" s="180"/>
      <c r="O143" s="180"/>
      <c r="P143" s="180"/>
      <c r="Q143" s="180"/>
      <c r="R143" s="180"/>
      <c r="S143" s="180"/>
      <c r="T143" s="180"/>
      <c r="U143" s="180"/>
      <c r="V143" s="180"/>
      <c r="W143" s="180"/>
      <c r="X143" s="180"/>
      <c r="Y143" s="180"/>
      <c r="Z143" s="180"/>
    </row>
    <row r="144" spans="4:26" ht="16.5" customHeight="1">
      <c r="D144" s="180"/>
      <c r="E144" s="180"/>
      <c r="F144" s="180"/>
      <c r="G144" s="180"/>
      <c r="H144" s="180"/>
      <c r="I144" s="180"/>
      <c r="J144" s="180"/>
      <c r="K144" s="180"/>
      <c r="L144" s="180"/>
      <c r="M144" s="180"/>
      <c r="N144" s="180"/>
      <c r="O144" s="180"/>
      <c r="P144" s="180"/>
      <c r="Q144" s="180"/>
      <c r="R144" s="180"/>
      <c r="S144" s="180"/>
      <c r="T144" s="180"/>
      <c r="U144" s="180"/>
      <c r="V144" s="180"/>
      <c r="W144" s="180"/>
      <c r="X144" s="180"/>
      <c r="Y144" s="180"/>
      <c r="Z144" s="180"/>
    </row>
    <row r="145" spans="4:26" ht="16.5" customHeight="1">
      <c r="D145" s="180"/>
      <c r="E145" s="180"/>
      <c r="F145" s="180"/>
      <c r="G145" s="180"/>
      <c r="H145" s="180"/>
      <c r="I145" s="180"/>
      <c r="J145" s="180"/>
      <c r="K145" s="180"/>
      <c r="L145" s="180"/>
      <c r="M145" s="180"/>
      <c r="N145" s="180"/>
      <c r="O145" s="180"/>
      <c r="P145" s="180"/>
      <c r="Q145" s="180"/>
      <c r="R145" s="180"/>
      <c r="S145" s="180"/>
      <c r="T145" s="180"/>
      <c r="U145" s="180"/>
      <c r="V145" s="180"/>
      <c r="W145" s="180"/>
      <c r="X145" s="180"/>
      <c r="Y145" s="180"/>
      <c r="Z145" s="180"/>
    </row>
    <row r="146" spans="4:26" ht="16.5" customHeight="1">
      <c r="D146" s="180"/>
      <c r="E146" s="180"/>
      <c r="F146" s="180"/>
      <c r="G146" s="180"/>
      <c r="H146" s="180"/>
      <c r="I146" s="180"/>
      <c r="J146" s="180"/>
      <c r="K146" s="180"/>
      <c r="L146" s="180"/>
      <c r="M146" s="180"/>
      <c r="N146" s="180"/>
      <c r="O146" s="180"/>
      <c r="P146" s="180"/>
      <c r="Q146" s="180"/>
      <c r="R146" s="180"/>
      <c r="S146" s="180"/>
      <c r="T146" s="180"/>
      <c r="U146" s="180"/>
      <c r="V146" s="180"/>
      <c r="W146" s="180"/>
      <c r="X146" s="180"/>
      <c r="Y146" s="180"/>
      <c r="Z146" s="180"/>
    </row>
    <row r="147" spans="4:26" ht="16.5" customHeight="1"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0"/>
      <c r="U147" s="180"/>
      <c r="V147" s="180"/>
      <c r="W147" s="180"/>
      <c r="X147" s="180"/>
      <c r="Y147" s="180"/>
      <c r="Z147" s="180"/>
    </row>
    <row r="148" spans="4:26" ht="16.5" customHeight="1">
      <c r="D148" s="180"/>
      <c r="E148" s="180"/>
      <c r="F148" s="180"/>
      <c r="G148" s="180"/>
      <c r="H148" s="180"/>
      <c r="I148" s="180"/>
      <c r="J148" s="180"/>
      <c r="K148" s="180"/>
      <c r="L148" s="180"/>
      <c r="M148" s="180"/>
      <c r="N148" s="180"/>
      <c r="O148" s="180"/>
      <c r="P148" s="180"/>
      <c r="Q148" s="180"/>
      <c r="R148" s="180"/>
      <c r="S148" s="180"/>
      <c r="T148" s="180"/>
      <c r="U148" s="180"/>
      <c r="V148" s="180"/>
      <c r="W148" s="180"/>
      <c r="X148" s="180"/>
      <c r="Y148" s="180"/>
      <c r="Z148" s="180"/>
    </row>
    <row r="149" spans="4:26" ht="16.5" customHeight="1">
      <c r="D149" s="180"/>
      <c r="E149" s="180"/>
      <c r="F149" s="180"/>
      <c r="G149" s="180"/>
      <c r="H149" s="180"/>
      <c r="I149" s="180"/>
      <c r="J149" s="180"/>
      <c r="K149" s="180"/>
      <c r="L149" s="180"/>
      <c r="M149" s="180"/>
      <c r="N149" s="180"/>
      <c r="O149" s="180"/>
      <c r="P149" s="180"/>
      <c r="Q149" s="180"/>
      <c r="R149" s="180"/>
      <c r="S149" s="180"/>
      <c r="T149" s="180"/>
      <c r="U149" s="180"/>
      <c r="V149" s="180"/>
      <c r="W149" s="180"/>
      <c r="X149" s="180"/>
      <c r="Y149" s="180"/>
      <c r="Z149" s="180"/>
    </row>
    <row r="150" spans="4:26" ht="16.5" customHeight="1"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0"/>
      <c r="U150" s="180"/>
      <c r="V150" s="180"/>
      <c r="W150" s="180"/>
      <c r="X150" s="180"/>
      <c r="Y150" s="180"/>
      <c r="Z150" s="180"/>
    </row>
    <row r="151" spans="4:26" ht="16.5" customHeight="1">
      <c r="D151" s="180"/>
      <c r="E151" s="180"/>
      <c r="F151" s="180"/>
      <c r="G151" s="180"/>
      <c r="H151" s="180"/>
      <c r="I151" s="180"/>
      <c r="J151" s="180"/>
      <c r="K151" s="180"/>
      <c r="L151" s="180"/>
      <c r="M151" s="180"/>
      <c r="N151" s="180"/>
      <c r="O151" s="180"/>
      <c r="P151" s="180"/>
      <c r="Q151" s="180"/>
      <c r="R151" s="180"/>
      <c r="S151" s="180"/>
      <c r="T151" s="180"/>
      <c r="U151" s="180"/>
      <c r="V151" s="180"/>
      <c r="W151" s="180"/>
      <c r="X151" s="180"/>
      <c r="Y151" s="180"/>
      <c r="Z151" s="180"/>
    </row>
    <row r="152" spans="4:26" ht="16.5" customHeight="1">
      <c r="D152" s="180"/>
      <c r="E152" s="180"/>
      <c r="F152" s="180"/>
      <c r="G152" s="180"/>
      <c r="H152" s="180"/>
      <c r="I152" s="180"/>
      <c r="J152" s="180"/>
      <c r="K152" s="180"/>
      <c r="L152" s="180"/>
      <c r="M152" s="180"/>
      <c r="N152" s="180"/>
      <c r="O152" s="180"/>
      <c r="P152" s="180"/>
      <c r="Q152" s="180"/>
      <c r="R152" s="180"/>
      <c r="S152" s="180"/>
      <c r="T152" s="180"/>
      <c r="U152" s="180"/>
      <c r="V152" s="180"/>
      <c r="W152" s="180"/>
      <c r="X152" s="180"/>
      <c r="Y152" s="180"/>
      <c r="Z152" s="180"/>
    </row>
    <row r="153" spans="4:26" ht="16.5" customHeight="1">
      <c r="D153" s="180"/>
      <c r="E153" s="180"/>
      <c r="F153" s="180"/>
      <c r="G153" s="180"/>
      <c r="H153" s="180"/>
      <c r="I153" s="180"/>
      <c r="J153" s="180"/>
      <c r="K153" s="180"/>
      <c r="L153" s="180"/>
      <c r="M153" s="180"/>
      <c r="N153" s="180"/>
      <c r="O153" s="180"/>
      <c r="P153" s="180"/>
      <c r="Q153" s="180"/>
      <c r="R153" s="180"/>
      <c r="S153" s="180"/>
      <c r="T153" s="180"/>
      <c r="U153" s="180"/>
      <c r="V153" s="180"/>
      <c r="W153" s="180"/>
      <c r="X153" s="180"/>
      <c r="Y153" s="180"/>
      <c r="Z153" s="180"/>
    </row>
    <row r="154" spans="4:26" ht="16.5" customHeight="1">
      <c r="D154" s="180"/>
      <c r="E154" s="180"/>
      <c r="F154" s="180"/>
      <c r="G154" s="180"/>
      <c r="H154" s="180"/>
      <c r="I154" s="180"/>
      <c r="J154" s="180"/>
      <c r="K154" s="180"/>
      <c r="L154" s="180"/>
      <c r="M154" s="180"/>
      <c r="N154" s="180"/>
      <c r="O154" s="180"/>
      <c r="P154" s="180"/>
      <c r="Q154" s="180"/>
      <c r="R154" s="180"/>
      <c r="S154" s="180"/>
      <c r="T154" s="180"/>
      <c r="U154" s="180"/>
      <c r="V154" s="180"/>
      <c r="W154" s="180"/>
      <c r="X154" s="180"/>
      <c r="Y154" s="180"/>
      <c r="Z154" s="180"/>
    </row>
    <row r="155" spans="4:26" ht="16.5" customHeight="1">
      <c r="D155" s="180"/>
      <c r="E155" s="180"/>
      <c r="F155" s="180"/>
      <c r="G155" s="180"/>
      <c r="H155" s="180"/>
      <c r="I155" s="180"/>
      <c r="J155" s="180"/>
      <c r="K155" s="180"/>
      <c r="L155" s="180"/>
      <c r="M155" s="180"/>
      <c r="N155" s="180"/>
      <c r="O155" s="180"/>
      <c r="P155" s="180"/>
      <c r="Q155" s="180"/>
      <c r="R155" s="180"/>
      <c r="S155" s="180"/>
      <c r="T155" s="180"/>
      <c r="U155" s="180"/>
      <c r="V155" s="180"/>
      <c r="W155" s="180"/>
      <c r="X155" s="180"/>
      <c r="Y155" s="180"/>
      <c r="Z155" s="180"/>
    </row>
    <row r="156" spans="4:26" ht="16.5" customHeight="1">
      <c r="D156" s="180"/>
      <c r="E156" s="180"/>
      <c r="F156" s="180"/>
      <c r="G156" s="180"/>
      <c r="H156" s="180"/>
      <c r="I156" s="180"/>
      <c r="J156" s="180"/>
      <c r="K156" s="180"/>
      <c r="L156" s="180"/>
      <c r="M156" s="180"/>
      <c r="N156" s="180"/>
      <c r="O156" s="180"/>
      <c r="P156" s="180"/>
      <c r="Q156" s="180"/>
      <c r="R156" s="180"/>
      <c r="S156" s="180"/>
      <c r="T156" s="180"/>
      <c r="U156" s="180"/>
      <c r="V156" s="180"/>
      <c r="W156" s="180"/>
      <c r="X156" s="180"/>
      <c r="Y156" s="180"/>
      <c r="Z156" s="180"/>
    </row>
    <row r="157" spans="4:26" ht="16.5" customHeight="1">
      <c r="D157" s="180"/>
      <c r="E157" s="180"/>
      <c r="F157" s="180"/>
      <c r="G157" s="180"/>
      <c r="H157" s="180"/>
      <c r="I157" s="180"/>
      <c r="J157" s="180"/>
      <c r="K157" s="180"/>
      <c r="L157" s="180"/>
      <c r="M157" s="180"/>
      <c r="N157" s="180"/>
      <c r="O157" s="180"/>
      <c r="P157" s="180"/>
      <c r="Q157" s="180"/>
      <c r="R157" s="180"/>
      <c r="S157" s="180"/>
      <c r="T157" s="180"/>
      <c r="U157" s="180"/>
      <c r="V157" s="180"/>
      <c r="W157" s="180"/>
      <c r="X157" s="180"/>
      <c r="Y157" s="180"/>
      <c r="Z157" s="180"/>
    </row>
    <row r="158" spans="4:26" ht="16.5" customHeight="1">
      <c r="D158" s="180"/>
      <c r="E158" s="180"/>
      <c r="F158" s="180"/>
      <c r="G158" s="180"/>
      <c r="H158" s="180"/>
      <c r="I158" s="180"/>
      <c r="J158" s="180"/>
      <c r="K158" s="180"/>
      <c r="L158" s="180"/>
      <c r="M158" s="180"/>
      <c r="N158" s="180"/>
      <c r="O158" s="180"/>
      <c r="P158" s="180"/>
      <c r="Q158" s="180"/>
      <c r="R158" s="180"/>
      <c r="S158" s="180"/>
      <c r="T158" s="180"/>
      <c r="U158" s="180"/>
      <c r="V158" s="180"/>
      <c r="W158" s="180"/>
      <c r="X158" s="180"/>
      <c r="Y158" s="180"/>
      <c r="Z158" s="180"/>
    </row>
    <row r="159" spans="4:26" ht="16.5" customHeight="1">
      <c r="D159" s="180"/>
      <c r="E159" s="180"/>
      <c r="F159" s="180"/>
      <c r="G159" s="180"/>
      <c r="H159" s="180"/>
      <c r="I159" s="180"/>
      <c r="J159" s="180"/>
      <c r="K159" s="180"/>
      <c r="L159" s="180"/>
      <c r="M159" s="180"/>
      <c r="N159" s="180"/>
      <c r="O159" s="180"/>
      <c r="P159" s="180"/>
      <c r="Q159" s="180"/>
      <c r="R159" s="180"/>
      <c r="S159" s="180"/>
      <c r="T159" s="180"/>
      <c r="U159" s="180"/>
      <c r="V159" s="180"/>
      <c r="W159" s="180"/>
      <c r="X159" s="180"/>
      <c r="Y159" s="180"/>
      <c r="Z159" s="180"/>
    </row>
    <row r="160" spans="4:26" ht="16.5" customHeight="1">
      <c r="D160" s="180"/>
      <c r="E160" s="180"/>
      <c r="F160" s="180"/>
      <c r="G160" s="180"/>
      <c r="H160" s="180"/>
      <c r="I160" s="180"/>
      <c r="J160" s="180"/>
      <c r="K160" s="180"/>
      <c r="L160" s="180"/>
      <c r="M160" s="180"/>
      <c r="N160" s="180"/>
      <c r="O160" s="180"/>
      <c r="P160" s="180"/>
      <c r="Q160" s="180"/>
      <c r="R160" s="180"/>
      <c r="S160" s="180"/>
      <c r="T160" s="180"/>
      <c r="U160" s="180"/>
      <c r="V160" s="180"/>
      <c r="W160" s="180"/>
      <c r="X160" s="180"/>
      <c r="Y160" s="180"/>
      <c r="Z160" s="180"/>
    </row>
    <row r="161" spans="4:26" ht="16.5" customHeight="1">
      <c r="D161" s="180"/>
      <c r="E161" s="180"/>
      <c r="F161" s="180"/>
      <c r="Y161" s="180"/>
      <c r="Z161" s="180"/>
    </row>
    <row r="162" spans="4:6" ht="16.5" customHeight="1">
      <c r="D162" s="180"/>
      <c r="E162" s="180"/>
      <c r="F162" s="180"/>
    </row>
    <row r="163" spans="4:6" ht="16.5" customHeight="1">
      <c r="D163" s="180"/>
      <c r="E163" s="180"/>
      <c r="F163" s="180"/>
    </row>
    <row r="164" spans="4:6" ht="16.5" customHeight="1">
      <c r="D164" s="180"/>
      <c r="E164" s="180"/>
      <c r="F164" s="180"/>
    </row>
    <row r="165" spans="4:6" ht="16.5" customHeight="1">
      <c r="D165" s="180"/>
      <c r="E165" s="180"/>
      <c r="F165" s="180"/>
    </row>
    <row r="166" spans="4:6" ht="16.5" customHeight="1">
      <c r="D166" s="180"/>
      <c r="E166" s="180"/>
      <c r="F166" s="180"/>
    </row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54" r:id="rId2"/>
  <headerFooter alignWithMargins="0">
    <oddFooter>&amp;L&amp;"Times New Roman,Normal"&amp;8&amp;F-&amp;A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35">
    <pageSetUpPr fitToPage="1"/>
  </sheetPr>
  <dimension ref="A1:X190"/>
  <sheetViews>
    <sheetView zoomScale="75" zoomScaleNormal="75" workbookViewId="0" topLeftCell="C1">
      <selection activeCell="J41" sqref="J41"/>
    </sheetView>
  </sheetViews>
  <sheetFormatPr defaultColWidth="11.421875" defaultRowHeight="12.75"/>
  <cols>
    <col min="1" max="2" width="15.7109375" style="0" customWidth="1"/>
    <col min="3" max="3" width="4.7109375" style="0" customWidth="1"/>
    <col min="4" max="4" width="31.8515625" style="0" customWidth="1"/>
    <col min="5" max="5" width="32.140625" style="0" customWidth="1"/>
    <col min="6" max="6" width="8.8515625" style="0" customWidth="1"/>
    <col min="7" max="8" width="17.140625" style="0" customWidth="1"/>
    <col min="9" max="11" width="9.7109375" style="0" customWidth="1"/>
    <col min="12" max="12" width="15.8515625" style="0" hidden="1" customWidth="1"/>
    <col min="13" max="15" width="16.8515625" style="0" hidden="1" customWidth="1"/>
    <col min="16" max="18" width="15.7109375" style="0" customWidth="1"/>
    <col min="19" max="19" width="30.421875" style="0" customWidth="1"/>
    <col min="20" max="20" width="3.140625" style="0" customWidth="1"/>
    <col min="21" max="21" width="3.57421875" style="0" customWidth="1"/>
    <col min="22" max="22" width="24.28125" style="0" customWidth="1"/>
    <col min="23" max="23" width="4.7109375" style="0" customWidth="1"/>
    <col min="24" max="24" width="7.57421875" style="0" customWidth="1"/>
    <col min="25" max="26" width="4.140625" style="0" customWidth="1"/>
    <col min="27" max="27" width="7.140625" style="0" customWidth="1"/>
    <col min="28" max="28" width="5.28125" style="0" customWidth="1"/>
    <col min="29" max="29" width="5.421875" style="0" customWidth="1"/>
    <col min="30" max="30" width="4.7109375" style="0" customWidth="1"/>
    <col min="31" max="31" width="5.28125" style="0" customWidth="1"/>
    <col min="32" max="33" width="13.28125" style="0" customWidth="1"/>
    <col min="34" max="34" width="6.57421875" style="0" customWidth="1"/>
    <col min="35" max="35" width="6.421875" style="0" customWidth="1"/>
    <col min="40" max="40" width="12.7109375" style="0" customWidth="1"/>
    <col min="44" max="44" width="21.00390625" style="0" customWidth="1"/>
  </cols>
  <sheetData>
    <row r="1" spans="7:18" ht="27.75" customHeight="1"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47"/>
    </row>
    <row r="2" spans="1:18" ht="27.75" customHeight="1">
      <c r="A2" s="2"/>
      <c r="B2" s="20" t="str">
        <f>+'TOT-0907'!B2</f>
        <v>ANEXO V al Memorandum D.T.E.E. N°  719/2011</v>
      </c>
      <c r="C2" s="177"/>
      <c r="D2" s="177"/>
      <c r="E2" s="177"/>
      <c r="F2" s="177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</row>
    <row r="3" spans="1:18" ht="12.75">
      <c r="A3" s="2"/>
      <c r="G3" s="180"/>
      <c r="H3" s="180"/>
      <c r="I3" s="180"/>
      <c r="J3" s="180"/>
      <c r="K3" s="180"/>
      <c r="L3" s="180"/>
      <c r="M3" s="180"/>
      <c r="N3" s="180"/>
      <c r="O3" s="180"/>
      <c r="P3" s="180"/>
      <c r="Q3" s="180"/>
      <c r="R3" s="180"/>
    </row>
    <row r="4" spans="1:2" s="26" customFormat="1" ht="11.25">
      <c r="A4" s="24" t="s">
        <v>1</v>
      </c>
      <c r="B4" s="126"/>
    </row>
    <row r="5" spans="1:2" s="26" customFormat="1" ht="11.25">
      <c r="A5" s="24" t="s">
        <v>2</v>
      </c>
      <c r="B5" s="126"/>
    </row>
    <row r="6" spans="7:18" ht="13.5" thickBot="1"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0"/>
      <c r="R6" s="180"/>
    </row>
    <row r="7" spans="2:18" ht="13.5" thickTop="1">
      <c r="B7" s="182"/>
      <c r="C7" s="183"/>
      <c r="D7" s="183"/>
      <c r="E7" s="183"/>
      <c r="F7" s="183"/>
      <c r="G7" s="184"/>
      <c r="H7" s="184"/>
      <c r="I7" s="184"/>
      <c r="J7" s="184"/>
      <c r="K7" s="184"/>
      <c r="L7" s="184"/>
      <c r="M7" s="184"/>
      <c r="N7" s="184"/>
      <c r="O7" s="184"/>
      <c r="P7" s="184"/>
      <c r="Q7" s="184"/>
      <c r="R7" s="185"/>
    </row>
    <row r="8" spans="2:18" ht="20.25">
      <c r="B8" s="186"/>
      <c r="D8" s="179" t="s">
        <v>52</v>
      </c>
      <c r="E8" s="179"/>
      <c r="G8" s="175"/>
      <c r="H8" s="177"/>
      <c r="I8" s="177"/>
      <c r="J8" s="177"/>
      <c r="K8" s="187"/>
      <c r="L8" s="187"/>
      <c r="M8" s="187"/>
      <c r="N8" s="187"/>
      <c r="O8" s="187"/>
      <c r="P8" s="187"/>
      <c r="Q8" s="187"/>
      <c r="R8" s="188"/>
    </row>
    <row r="9" spans="2:18" ht="20.25">
      <c r="B9" s="186"/>
      <c r="C9" s="31"/>
      <c r="D9" s="189"/>
      <c r="E9" s="189"/>
      <c r="F9" s="31"/>
      <c r="G9" s="30"/>
      <c r="K9" s="190"/>
      <c r="L9" s="190"/>
      <c r="M9" s="190"/>
      <c r="N9" s="190"/>
      <c r="O9" s="190"/>
      <c r="P9" s="190"/>
      <c r="Q9" s="190"/>
      <c r="R9" s="191"/>
    </row>
    <row r="10" spans="2:24" s="30" customFormat="1" ht="20.25">
      <c r="B10" s="80"/>
      <c r="D10" s="11" t="s">
        <v>70</v>
      </c>
      <c r="F10" s="448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1"/>
      <c r="S10" s="31"/>
      <c r="T10" s="31"/>
      <c r="U10" s="31"/>
      <c r="V10" s="31"/>
      <c r="W10" s="31"/>
      <c r="X10"/>
    </row>
    <row r="11" spans="2:24" s="5" customFormat="1" ht="16.5" customHeight="1">
      <c r="B11" s="51"/>
      <c r="C11" s="4"/>
      <c r="D11" s="79"/>
      <c r="F11" s="32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6"/>
      <c r="S11" s="4"/>
      <c r="T11" s="4"/>
      <c r="U11" s="4"/>
      <c r="V11" s="4"/>
      <c r="W11" s="4"/>
      <c r="X11"/>
    </row>
    <row r="12" spans="2:18" ht="20.25">
      <c r="B12" s="186"/>
      <c r="D12" s="11" t="s">
        <v>73</v>
      </c>
      <c r="E12" s="11"/>
      <c r="F12" s="31"/>
      <c r="G12" s="31"/>
      <c r="H12" s="190"/>
      <c r="I12" s="190"/>
      <c r="J12" s="190"/>
      <c r="K12" s="190"/>
      <c r="L12" s="190"/>
      <c r="M12" s="190"/>
      <c r="N12" s="190"/>
      <c r="O12" s="190"/>
      <c r="P12" s="190"/>
      <c r="Q12" s="190"/>
      <c r="R12" s="191"/>
    </row>
    <row r="13" spans="2:18" ht="20.25">
      <c r="B13" s="186"/>
      <c r="C13" s="31"/>
      <c r="D13" s="31"/>
      <c r="E13" s="31"/>
      <c r="F13" s="31"/>
      <c r="G13" s="82"/>
      <c r="H13" s="192"/>
      <c r="I13" s="192"/>
      <c r="J13" s="192"/>
      <c r="K13" s="192"/>
      <c r="L13" s="190"/>
      <c r="M13" s="190"/>
      <c r="N13" s="190"/>
      <c r="O13" s="190"/>
      <c r="P13" s="190"/>
      <c r="Q13" s="190"/>
      <c r="R13" s="191"/>
    </row>
    <row r="14" spans="2:18" ht="16.5" customHeight="1">
      <c r="B14" s="38" t="str">
        <f>'TOT-0907'!B14</f>
        <v>Desde el 01 al 30 de septiembre de 2007</v>
      </c>
      <c r="C14" s="176"/>
      <c r="D14" s="176"/>
      <c r="E14" s="176"/>
      <c r="F14" s="176"/>
      <c r="G14" s="177"/>
      <c r="H14" s="187"/>
      <c r="I14" s="187"/>
      <c r="J14" s="187"/>
      <c r="K14" s="177"/>
      <c r="L14" s="187"/>
      <c r="M14" s="187"/>
      <c r="N14" s="187"/>
      <c r="O14" s="187"/>
      <c r="P14" s="187"/>
      <c r="Q14" s="187"/>
      <c r="R14" s="188"/>
    </row>
    <row r="15" spans="2:18" ht="16.5" customHeight="1" thickBot="1">
      <c r="B15" s="186"/>
      <c r="C15" s="1"/>
      <c r="D15" s="1"/>
      <c r="E15" s="1"/>
      <c r="F15" s="1"/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1"/>
    </row>
    <row r="16" spans="2:18" ht="16.5" customHeight="1" thickBot="1" thickTop="1">
      <c r="B16" s="186"/>
      <c r="D16" s="193" t="s">
        <v>53</v>
      </c>
      <c r="E16" s="511">
        <v>5678157</v>
      </c>
      <c r="L16" s="190"/>
      <c r="M16" s="190"/>
      <c r="N16" s="190"/>
      <c r="O16" s="190"/>
      <c r="P16" s="180"/>
      <c r="Q16" s="190"/>
      <c r="R16" s="191"/>
    </row>
    <row r="17" spans="2:18" ht="14.25" thickBot="1" thickTop="1">
      <c r="B17" s="186"/>
      <c r="C17" s="1"/>
      <c r="D17" s="1"/>
      <c r="E17" s="1"/>
      <c r="F17" s="1"/>
      <c r="G17" s="190"/>
      <c r="H17" s="190"/>
      <c r="I17" s="190"/>
      <c r="J17" s="190"/>
      <c r="K17" s="194"/>
      <c r="L17" s="190"/>
      <c r="M17" s="190"/>
      <c r="N17" s="190"/>
      <c r="O17" s="190"/>
      <c r="P17" s="190"/>
      <c r="Q17" s="190"/>
      <c r="R17" s="191"/>
    </row>
    <row r="18" spans="2:18" ht="33.75" customHeight="1" thickBot="1" thickTop="1">
      <c r="B18" s="186"/>
      <c r="C18" s="85" t="s">
        <v>12</v>
      </c>
      <c r="D18" s="87" t="s">
        <v>26</v>
      </c>
      <c r="E18" s="86" t="s">
        <v>27</v>
      </c>
      <c r="F18" s="462" t="s">
        <v>28</v>
      </c>
      <c r="G18" s="87" t="s">
        <v>188</v>
      </c>
      <c r="H18" s="195" t="s">
        <v>189</v>
      </c>
      <c r="I18" s="87" t="s">
        <v>35</v>
      </c>
      <c r="J18" s="87" t="s">
        <v>30</v>
      </c>
      <c r="K18" s="87" t="s">
        <v>18</v>
      </c>
      <c r="L18" s="196" t="s">
        <v>54</v>
      </c>
      <c r="M18" s="197" t="s">
        <v>74</v>
      </c>
      <c r="N18" s="198"/>
      <c r="O18" s="200" t="s">
        <v>21</v>
      </c>
      <c r="P18" s="140" t="s">
        <v>55</v>
      </c>
      <c r="Q18" s="140" t="s">
        <v>22</v>
      </c>
      <c r="R18" s="201"/>
    </row>
    <row r="19" spans="2:18" ht="16.5" customHeight="1" thickTop="1">
      <c r="B19" s="186"/>
      <c r="C19" s="202"/>
      <c r="D19" s="203"/>
      <c r="E19" s="204"/>
      <c r="F19" s="204"/>
      <c r="G19" s="203"/>
      <c r="H19" s="205"/>
      <c r="I19" s="206"/>
      <c r="J19" s="206"/>
      <c r="K19" s="206"/>
      <c r="L19" s="207"/>
      <c r="M19" s="512"/>
      <c r="N19" s="512"/>
      <c r="O19" s="513"/>
      <c r="P19" s="206"/>
      <c r="Q19" s="208"/>
      <c r="R19" s="209"/>
    </row>
    <row r="20" spans="2:18" ht="16.5" customHeight="1">
      <c r="B20" s="186"/>
      <c r="C20" s="326"/>
      <c r="D20" s="211"/>
      <c r="E20" s="211"/>
      <c r="F20" s="211"/>
      <c r="G20" s="212"/>
      <c r="H20" s="213"/>
      <c r="I20" s="7"/>
      <c r="J20" s="7"/>
      <c r="K20" s="7"/>
      <c r="L20" s="214"/>
      <c r="M20" s="514"/>
      <c r="N20" s="514"/>
      <c r="O20" s="515"/>
      <c r="P20" s="7"/>
      <c r="Q20" s="210"/>
      <c r="R20" s="209"/>
    </row>
    <row r="21" spans="2:18" ht="16.5" customHeight="1">
      <c r="B21" s="186"/>
      <c r="C21" s="159">
        <v>113</v>
      </c>
      <c r="D21" s="158" t="s">
        <v>139</v>
      </c>
      <c r="E21" s="158" t="s">
        <v>187</v>
      </c>
      <c r="F21" s="215">
        <v>80</v>
      </c>
      <c r="G21" s="217">
        <v>39345.35486111111</v>
      </c>
      <c r="H21" s="218">
        <v>39345.39861111111</v>
      </c>
      <c r="I21" s="219">
        <f aca="true" t="shared" si="0" ref="I21:I37">IF(D21="","",ROUND((H21-G21)*24,2))</f>
        <v>1.05</v>
      </c>
      <c r="J21" s="220">
        <f>IF(D21="","",ROUND((H21-G21)*24*60,0))</f>
        <v>63</v>
      </c>
      <c r="K21" s="156" t="s">
        <v>109</v>
      </c>
      <c r="L21" s="516">
        <v>1</v>
      </c>
      <c r="M21" s="163" t="str">
        <f aca="true" t="shared" si="1" ref="M21:M37">IF(K21="F",50*ROUND(IF(J21&gt;300,300,IF(J21&lt;10,10,J21))/60,2),"--")</f>
        <v>--</v>
      </c>
      <c r="N21" s="163" t="str">
        <f aca="true" t="shared" si="2" ref="N21:N37">IF(K21="F",IF(J21&gt;300,10*(ROUND(J21/60,2)-5),"--"),"--")</f>
        <v>--</v>
      </c>
      <c r="O21" s="517" t="str">
        <f aca="true" t="shared" si="3" ref="O21:O37">IF(K21="RF",10*ROUND(J21/60,2),"--")</f>
        <v>--</v>
      </c>
      <c r="P21" s="518">
        <f aca="true" t="shared" si="4" ref="P21:P37">IF(D21="","",SUM(L21:O21))</f>
        <v>1</v>
      </c>
      <c r="Q21" s="17">
        <f aca="true" t="shared" si="5" ref="Q21:Q37">IF(D21="","",P21/1500*$E$16)</f>
        <v>3785.4379999999996</v>
      </c>
      <c r="R21" s="223"/>
    </row>
    <row r="22" spans="2:18" ht="16.5" customHeight="1">
      <c r="B22" s="186"/>
      <c r="C22" s="159"/>
      <c r="D22" s="158"/>
      <c r="E22" s="158"/>
      <c r="F22" s="215"/>
      <c r="G22" s="217"/>
      <c r="H22" s="218"/>
      <c r="I22" s="219">
        <f t="shared" si="0"/>
      </c>
      <c r="J22" s="220">
        <f aca="true" t="shared" si="6" ref="J22:J37">IF(D22="","",ROUND((H22-G22)*24*60,0))</f>
      </c>
      <c r="K22" s="156"/>
      <c r="L22" s="516" t="str">
        <f aca="true" t="shared" si="7" ref="L22:L37">IF(K22="P",5*ROUND(IF(J22&gt;10,J22,10)/60,2),"--")</f>
        <v>--</v>
      </c>
      <c r="M22" s="163" t="str">
        <f t="shared" si="1"/>
        <v>--</v>
      </c>
      <c r="N22" s="163" t="str">
        <f t="shared" si="2"/>
        <v>--</v>
      </c>
      <c r="O22" s="517" t="str">
        <f t="shared" si="3"/>
        <v>--</v>
      </c>
      <c r="P22" s="518">
        <f t="shared" si="4"/>
      </c>
      <c r="Q22" s="17">
        <f t="shared" si="5"/>
      </c>
      <c r="R22" s="223"/>
    </row>
    <row r="23" spans="2:18" ht="16.5" customHeight="1">
      <c r="B23" s="186"/>
      <c r="C23" s="326"/>
      <c r="D23" s="158"/>
      <c r="E23" s="158"/>
      <c r="F23" s="215"/>
      <c r="G23" s="217"/>
      <c r="H23" s="218"/>
      <c r="I23" s="219">
        <f t="shared" si="0"/>
      </c>
      <c r="J23" s="220">
        <f t="shared" si="6"/>
      </c>
      <c r="K23" s="156"/>
      <c r="L23" s="516" t="str">
        <f t="shared" si="7"/>
        <v>--</v>
      </c>
      <c r="M23" s="163" t="str">
        <f t="shared" si="1"/>
        <v>--</v>
      </c>
      <c r="N23" s="163" t="str">
        <f t="shared" si="2"/>
        <v>--</v>
      </c>
      <c r="O23" s="517" t="str">
        <f t="shared" si="3"/>
        <v>--</v>
      </c>
      <c r="P23" s="518">
        <f t="shared" si="4"/>
      </c>
      <c r="Q23" s="17">
        <f t="shared" si="5"/>
      </c>
      <c r="R23" s="223"/>
    </row>
    <row r="24" spans="2:18" ht="16.5" customHeight="1">
      <c r="B24" s="186"/>
      <c r="C24" s="159"/>
      <c r="D24" s="158"/>
      <c r="E24" s="158"/>
      <c r="F24" s="215"/>
      <c r="G24" s="217"/>
      <c r="H24" s="218"/>
      <c r="I24" s="219">
        <f t="shared" si="0"/>
      </c>
      <c r="J24" s="220">
        <f t="shared" si="6"/>
      </c>
      <c r="K24" s="156"/>
      <c r="L24" s="516" t="str">
        <f t="shared" si="7"/>
        <v>--</v>
      </c>
      <c r="M24" s="163" t="str">
        <f t="shared" si="1"/>
        <v>--</v>
      </c>
      <c r="N24" s="163" t="str">
        <f t="shared" si="2"/>
        <v>--</v>
      </c>
      <c r="O24" s="517" t="str">
        <f t="shared" si="3"/>
        <v>--</v>
      </c>
      <c r="P24" s="518">
        <f t="shared" si="4"/>
      </c>
      <c r="Q24" s="17">
        <f t="shared" si="5"/>
      </c>
      <c r="R24" s="223"/>
    </row>
    <row r="25" spans="2:18" ht="16.5" customHeight="1">
      <c r="B25" s="186"/>
      <c r="C25" s="326"/>
      <c r="D25" s="158"/>
      <c r="E25" s="158"/>
      <c r="F25" s="215"/>
      <c r="G25" s="217"/>
      <c r="H25" s="218"/>
      <c r="I25" s="219">
        <f t="shared" si="0"/>
      </c>
      <c r="J25" s="220">
        <f t="shared" si="6"/>
      </c>
      <c r="K25" s="156"/>
      <c r="L25" s="516" t="str">
        <f t="shared" si="7"/>
        <v>--</v>
      </c>
      <c r="M25" s="163" t="str">
        <f t="shared" si="1"/>
        <v>--</v>
      </c>
      <c r="N25" s="163" t="str">
        <f t="shared" si="2"/>
        <v>--</v>
      </c>
      <c r="O25" s="517" t="str">
        <f t="shared" si="3"/>
        <v>--</v>
      </c>
      <c r="P25" s="518">
        <f t="shared" si="4"/>
      </c>
      <c r="Q25" s="17">
        <f t="shared" si="5"/>
      </c>
      <c r="R25" s="223"/>
    </row>
    <row r="26" spans="2:18" ht="16.5" customHeight="1">
      <c r="B26" s="186"/>
      <c r="C26" s="159"/>
      <c r="D26" s="158"/>
      <c r="E26" s="158"/>
      <c r="F26" s="215"/>
      <c r="G26" s="217"/>
      <c r="H26" s="218"/>
      <c r="I26" s="219">
        <f t="shared" si="0"/>
      </c>
      <c r="J26" s="220">
        <f t="shared" si="6"/>
      </c>
      <c r="K26" s="156"/>
      <c r="L26" s="516" t="str">
        <f t="shared" si="7"/>
        <v>--</v>
      </c>
      <c r="M26" s="163" t="str">
        <f t="shared" si="1"/>
        <v>--</v>
      </c>
      <c r="N26" s="163" t="str">
        <f t="shared" si="2"/>
        <v>--</v>
      </c>
      <c r="O26" s="517" t="str">
        <f t="shared" si="3"/>
        <v>--</v>
      </c>
      <c r="P26" s="518">
        <f t="shared" si="4"/>
      </c>
      <c r="Q26" s="17">
        <f t="shared" si="5"/>
      </c>
      <c r="R26" s="223"/>
    </row>
    <row r="27" spans="2:18" ht="16.5" customHeight="1">
      <c r="B27" s="186"/>
      <c r="C27" s="326"/>
      <c r="D27" s="158"/>
      <c r="E27" s="158"/>
      <c r="F27" s="215"/>
      <c r="G27" s="217"/>
      <c r="H27" s="218"/>
      <c r="I27" s="219">
        <f t="shared" si="0"/>
      </c>
      <c r="J27" s="220">
        <f t="shared" si="6"/>
      </c>
      <c r="K27" s="156"/>
      <c r="L27" s="516" t="str">
        <f t="shared" si="7"/>
        <v>--</v>
      </c>
      <c r="M27" s="163" t="str">
        <f t="shared" si="1"/>
        <v>--</v>
      </c>
      <c r="N27" s="163" t="str">
        <f t="shared" si="2"/>
        <v>--</v>
      </c>
      <c r="O27" s="517" t="str">
        <f t="shared" si="3"/>
        <v>--</v>
      </c>
      <c r="P27" s="518">
        <f t="shared" si="4"/>
      </c>
      <c r="Q27" s="17">
        <f t="shared" si="5"/>
      </c>
      <c r="R27" s="223"/>
    </row>
    <row r="28" spans="2:18" ht="16.5" customHeight="1">
      <c r="B28" s="186"/>
      <c r="C28" s="159"/>
      <c r="D28" s="215"/>
      <c r="E28" s="215"/>
      <c r="F28" s="215"/>
      <c r="G28" s="217"/>
      <c r="H28" s="218"/>
      <c r="I28" s="219">
        <f t="shared" si="0"/>
      </c>
      <c r="J28" s="220">
        <f t="shared" si="6"/>
      </c>
      <c r="K28" s="156"/>
      <c r="L28" s="516" t="str">
        <f t="shared" si="7"/>
        <v>--</v>
      </c>
      <c r="M28" s="163" t="str">
        <f t="shared" si="1"/>
        <v>--</v>
      </c>
      <c r="N28" s="163" t="str">
        <f t="shared" si="2"/>
        <v>--</v>
      </c>
      <c r="O28" s="517" t="str">
        <f t="shared" si="3"/>
        <v>--</v>
      </c>
      <c r="P28" s="518">
        <f t="shared" si="4"/>
      </c>
      <c r="Q28" s="17">
        <f t="shared" si="5"/>
      </c>
      <c r="R28" s="223"/>
    </row>
    <row r="29" spans="2:18" ht="16.5" customHeight="1">
      <c r="B29" s="186"/>
      <c r="C29" s="326"/>
      <c r="D29" s="215"/>
      <c r="E29" s="215"/>
      <c r="F29" s="215"/>
      <c r="G29" s="217"/>
      <c r="H29" s="218"/>
      <c r="I29" s="219">
        <f t="shared" si="0"/>
      </c>
      <c r="J29" s="220">
        <f t="shared" si="6"/>
      </c>
      <c r="K29" s="156"/>
      <c r="L29" s="516" t="str">
        <f t="shared" si="7"/>
        <v>--</v>
      </c>
      <c r="M29" s="163" t="str">
        <f t="shared" si="1"/>
        <v>--</v>
      </c>
      <c r="N29" s="163" t="str">
        <f t="shared" si="2"/>
        <v>--</v>
      </c>
      <c r="O29" s="517" t="str">
        <f t="shared" si="3"/>
        <v>--</v>
      </c>
      <c r="P29" s="518">
        <f t="shared" si="4"/>
      </c>
      <c r="Q29" s="17">
        <f t="shared" si="5"/>
      </c>
      <c r="R29" s="223"/>
    </row>
    <row r="30" spans="2:18" ht="16.5" customHeight="1">
      <c r="B30" s="186"/>
      <c r="C30" s="159"/>
      <c r="D30" s="215"/>
      <c r="E30" s="215"/>
      <c r="F30" s="215"/>
      <c r="G30" s="217"/>
      <c r="H30" s="218"/>
      <c r="I30" s="219">
        <f t="shared" si="0"/>
      </c>
      <c r="J30" s="220">
        <f t="shared" si="6"/>
      </c>
      <c r="K30" s="156"/>
      <c r="L30" s="516" t="str">
        <f t="shared" si="7"/>
        <v>--</v>
      </c>
      <c r="M30" s="163" t="str">
        <f t="shared" si="1"/>
        <v>--</v>
      </c>
      <c r="N30" s="163" t="str">
        <f t="shared" si="2"/>
        <v>--</v>
      </c>
      <c r="O30" s="517" t="str">
        <f t="shared" si="3"/>
        <v>--</v>
      </c>
      <c r="P30" s="518">
        <f t="shared" si="4"/>
      </c>
      <c r="Q30" s="17">
        <f t="shared" si="5"/>
      </c>
      <c r="R30" s="223"/>
    </row>
    <row r="31" spans="2:18" ht="16.5" customHeight="1">
      <c r="B31" s="186"/>
      <c r="C31" s="326"/>
      <c r="D31" s="215"/>
      <c r="E31" s="215"/>
      <c r="F31" s="215"/>
      <c r="G31" s="217"/>
      <c r="H31" s="218"/>
      <c r="I31" s="219">
        <f t="shared" si="0"/>
      </c>
      <c r="J31" s="220">
        <f t="shared" si="6"/>
      </c>
      <c r="K31" s="156"/>
      <c r="L31" s="516" t="str">
        <f t="shared" si="7"/>
        <v>--</v>
      </c>
      <c r="M31" s="163" t="str">
        <f t="shared" si="1"/>
        <v>--</v>
      </c>
      <c r="N31" s="163" t="str">
        <f t="shared" si="2"/>
        <v>--</v>
      </c>
      <c r="O31" s="517" t="str">
        <f t="shared" si="3"/>
        <v>--</v>
      </c>
      <c r="P31" s="518">
        <f t="shared" si="4"/>
      </c>
      <c r="Q31" s="17">
        <f t="shared" si="5"/>
      </c>
      <c r="R31" s="223"/>
    </row>
    <row r="32" spans="2:18" ht="16.5" customHeight="1">
      <c r="B32" s="186"/>
      <c r="C32" s="159"/>
      <c r="D32" s="215"/>
      <c r="E32" s="215"/>
      <c r="F32" s="215"/>
      <c r="G32" s="217"/>
      <c r="H32" s="218"/>
      <c r="I32" s="219">
        <f t="shared" si="0"/>
      </c>
      <c r="J32" s="220">
        <f t="shared" si="6"/>
      </c>
      <c r="K32" s="156"/>
      <c r="L32" s="516" t="str">
        <f t="shared" si="7"/>
        <v>--</v>
      </c>
      <c r="M32" s="163" t="str">
        <f t="shared" si="1"/>
        <v>--</v>
      </c>
      <c r="N32" s="163" t="str">
        <f t="shared" si="2"/>
        <v>--</v>
      </c>
      <c r="O32" s="517" t="str">
        <f t="shared" si="3"/>
        <v>--</v>
      </c>
      <c r="P32" s="518">
        <f t="shared" si="4"/>
      </c>
      <c r="Q32" s="17">
        <f t="shared" si="5"/>
      </c>
      <c r="R32" s="223"/>
    </row>
    <row r="33" spans="2:18" ht="16.5" customHeight="1">
      <c r="B33" s="186"/>
      <c r="C33" s="326"/>
      <c r="D33" s="215"/>
      <c r="E33" s="215"/>
      <c r="F33" s="215"/>
      <c r="G33" s="217"/>
      <c r="H33" s="218"/>
      <c r="I33" s="219">
        <f t="shared" si="0"/>
      </c>
      <c r="J33" s="220">
        <f t="shared" si="6"/>
      </c>
      <c r="K33" s="156"/>
      <c r="L33" s="516" t="str">
        <f t="shared" si="7"/>
        <v>--</v>
      </c>
      <c r="M33" s="163" t="str">
        <f t="shared" si="1"/>
        <v>--</v>
      </c>
      <c r="N33" s="163" t="str">
        <f t="shared" si="2"/>
        <v>--</v>
      </c>
      <c r="O33" s="517" t="str">
        <f t="shared" si="3"/>
        <v>--</v>
      </c>
      <c r="P33" s="518">
        <f t="shared" si="4"/>
      </c>
      <c r="Q33" s="17">
        <f t="shared" si="5"/>
      </c>
      <c r="R33" s="223"/>
    </row>
    <row r="34" spans="2:18" ht="16.5" customHeight="1">
      <c r="B34" s="186"/>
      <c r="C34" s="159"/>
      <c r="D34" s="215"/>
      <c r="E34" s="215"/>
      <c r="F34" s="215"/>
      <c r="G34" s="217"/>
      <c r="H34" s="218"/>
      <c r="I34" s="219">
        <f t="shared" si="0"/>
      </c>
      <c r="J34" s="220" t="s">
        <v>215</v>
      </c>
      <c r="K34" s="156"/>
      <c r="L34" s="516" t="str">
        <f t="shared" si="7"/>
        <v>--</v>
      </c>
      <c r="M34" s="163" t="str">
        <f t="shared" si="1"/>
        <v>--</v>
      </c>
      <c r="N34" s="163" t="str">
        <f t="shared" si="2"/>
        <v>--</v>
      </c>
      <c r="O34" s="517" t="str">
        <f t="shared" si="3"/>
        <v>--</v>
      </c>
      <c r="P34" s="518">
        <f t="shared" si="4"/>
      </c>
      <c r="Q34" s="17">
        <f t="shared" si="5"/>
      </c>
      <c r="R34" s="223"/>
    </row>
    <row r="35" spans="2:18" ht="16.5" customHeight="1">
      <c r="B35" s="186"/>
      <c r="C35" s="326"/>
      <c r="D35" s="215"/>
      <c r="E35" s="215"/>
      <c r="F35" s="215"/>
      <c r="G35" s="217"/>
      <c r="H35" s="218"/>
      <c r="I35" s="219">
        <f t="shared" si="0"/>
      </c>
      <c r="J35" s="220">
        <f t="shared" si="6"/>
      </c>
      <c r="K35" s="156"/>
      <c r="L35" s="516" t="str">
        <f t="shared" si="7"/>
        <v>--</v>
      </c>
      <c r="M35" s="163" t="str">
        <f t="shared" si="1"/>
        <v>--</v>
      </c>
      <c r="N35" s="163" t="str">
        <f t="shared" si="2"/>
        <v>--</v>
      </c>
      <c r="O35" s="517" t="str">
        <f t="shared" si="3"/>
        <v>--</v>
      </c>
      <c r="P35" s="518">
        <f t="shared" si="4"/>
      </c>
      <c r="Q35" s="17">
        <f t="shared" si="5"/>
      </c>
      <c r="R35" s="223"/>
    </row>
    <row r="36" spans="2:18" ht="16.5" customHeight="1">
      <c r="B36" s="186"/>
      <c r="C36" s="159"/>
      <c r="D36" s="215"/>
      <c r="E36" s="215"/>
      <c r="F36" s="215"/>
      <c r="G36" s="217"/>
      <c r="H36" s="218"/>
      <c r="I36" s="219">
        <f t="shared" si="0"/>
      </c>
      <c r="J36" s="220">
        <f t="shared" si="6"/>
      </c>
      <c r="K36" s="156"/>
      <c r="L36" s="516" t="str">
        <f t="shared" si="7"/>
        <v>--</v>
      </c>
      <c r="M36" s="163" t="str">
        <f t="shared" si="1"/>
        <v>--</v>
      </c>
      <c r="N36" s="163" t="str">
        <f t="shared" si="2"/>
        <v>--</v>
      </c>
      <c r="O36" s="517" t="str">
        <f t="shared" si="3"/>
        <v>--</v>
      </c>
      <c r="P36" s="518">
        <f t="shared" si="4"/>
      </c>
      <c r="Q36" s="17">
        <f t="shared" si="5"/>
      </c>
      <c r="R36" s="223"/>
    </row>
    <row r="37" spans="2:18" ht="16.5" customHeight="1">
      <c r="B37" s="186"/>
      <c r="C37" s="326"/>
      <c r="D37" s="215"/>
      <c r="E37" s="215"/>
      <c r="F37" s="215"/>
      <c r="G37" s="217"/>
      <c r="H37" s="218"/>
      <c r="I37" s="219">
        <f t="shared" si="0"/>
      </c>
      <c r="J37" s="220">
        <f t="shared" si="6"/>
      </c>
      <c r="K37" s="156"/>
      <c r="L37" s="516" t="str">
        <f t="shared" si="7"/>
        <v>--</v>
      </c>
      <c r="M37" s="163" t="str">
        <f t="shared" si="1"/>
        <v>--</v>
      </c>
      <c r="N37" s="163" t="str">
        <f t="shared" si="2"/>
        <v>--</v>
      </c>
      <c r="O37" s="517" t="str">
        <f t="shared" si="3"/>
        <v>--</v>
      </c>
      <c r="P37" s="518">
        <f t="shared" si="4"/>
      </c>
      <c r="Q37" s="17">
        <f t="shared" si="5"/>
      </c>
      <c r="R37" s="223"/>
    </row>
    <row r="38" spans="2:18" ht="16.5" customHeight="1" thickBot="1">
      <c r="B38" s="186"/>
      <c r="C38" s="159"/>
      <c r="D38" s="224"/>
      <c r="E38" s="224"/>
      <c r="F38" s="224"/>
      <c r="G38" s="155"/>
      <c r="H38" s="155"/>
      <c r="I38" s="225"/>
      <c r="J38" s="225"/>
      <c r="K38" s="155"/>
      <c r="L38" s="519"/>
      <c r="M38" s="520"/>
      <c r="N38" s="520"/>
      <c r="O38" s="521"/>
      <c r="P38" s="522"/>
      <c r="Q38" s="523"/>
      <c r="R38" s="223"/>
    </row>
    <row r="39" spans="2:18" ht="16.5" customHeight="1" thickBot="1" thickTop="1">
      <c r="B39" s="186"/>
      <c r="C39" s="129" t="s">
        <v>23</v>
      </c>
      <c r="D39" s="130" t="s">
        <v>198</v>
      </c>
      <c r="E39" s="130"/>
      <c r="F39" s="117"/>
      <c r="G39" s="227"/>
      <c r="H39" s="227"/>
      <c r="I39" s="227"/>
      <c r="J39" s="227"/>
      <c r="K39" s="227"/>
      <c r="L39" s="524">
        <f>SUM(L19:L38)</f>
        <v>1</v>
      </c>
      <c r="M39" s="228">
        <f>SUM(M19:M38)</f>
        <v>0</v>
      </c>
      <c r="N39" s="228">
        <f>SUM(N19:N38)</f>
        <v>0</v>
      </c>
      <c r="O39" s="525">
        <f>SUM(O19:O38)</f>
        <v>0</v>
      </c>
      <c r="P39" s="229"/>
      <c r="Q39" s="100">
        <f>SUM(Q19:Q38)</f>
        <v>3785.4379999999996</v>
      </c>
      <c r="R39" s="223"/>
    </row>
    <row r="40" spans="2:18" s="230" customFormat="1" ht="9.75" thickTop="1">
      <c r="B40" s="231"/>
      <c r="C40" s="131"/>
      <c r="D40" s="132"/>
      <c r="E40" s="132"/>
      <c r="F40" s="232"/>
      <c r="G40" s="233"/>
      <c r="H40" s="233"/>
      <c r="I40" s="233"/>
      <c r="J40" s="233"/>
      <c r="K40" s="233"/>
      <c r="L40" s="234"/>
      <c r="M40" s="235"/>
      <c r="N40" s="235"/>
      <c r="O40" s="235"/>
      <c r="P40" s="236"/>
      <c r="Q40" s="237"/>
      <c r="R40" s="238"/>
    </row>
    <row r="41" spans="2:18" ht="16.5" customHeight="1" thickBot="1">
      <c r="B41" s="239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1"/>
      <c r="Q41" s="240"/>
      <c r="R41" s="242"/>
    </row>
    <row r="42" spans="2:18" ht="16.5" customHeight="1" thickTop="1">
      <c r="B42" s="1"/>
      <c r="P42" s="2"/>
      <c r="R42" s="1"/>
    </row>
    <row r="43" ht="16.5" customHeight="1">
      <c r="P43" s="2"/>
    </row>
    <row r="44" ht="16.5" customHeight="1">
      <c r="P44" s="2"/>
    </row>
    <row r="45" ht="12.75">
      <c r="P45" s="2"/>
    </row>
    <row r="46" ht="12.75">
      <c r="P46" s="2"/>
    </row>
    <row r="47" ht="12.75">
      <c r="P47" s="2"/>
    </row>
    <row r="48" ht="12.75">
      <c r="P48" s="2"/>
    </row>
    <row r="49" spans="13:17" ht="12.75">
      <c r="M49" s="2"/>
      <c r="N49" s="2"/>
      <c r="O49" s="2"/>
      <c r="P49" s="2"/>
      <c r="Q49" s="2"/>
    </row>
    <row r="50" spans="13:17" ht="12.75">
      <c r="M50" s="2"/>
      <c r="N50" s="2"/>
      <c r="O50" s="2"/>
      <c r="P50" s="2"/>
      <c r="Q50" s="2"/>
    </row>
    <row r="51" spans="13:17" ht="12.75">
      <c r="M51" s="2"/>
      <c r="N51" s="2"/>
      <c r="O51" s="2"/>
      <c r="P51" s="2"/>
      <c r="Q51" s="2"/>
    </row>
    <row r="52" spans="13:17" ht="12.75">
      <c r="M52" s="2"/>
      <c r="N52" s="2"/>
      <c r="O52" s="2"/>
      <c r="P52" s="2"/>
      <c r="Q52" s="2"/>
    </row>
    <row r="53" spans="13:17" ht="12.75">
      <c r="M53" s="2"/>
      <c r="N53" s="2"/>
      <c r="O53" s="2"/>
      <c r="P53" s="2"/>
      <c r="Q53" s="2"/>
    </row>
    <row r="54" spans="13:17" ht="12.75">
      <c r="M54" s="2"/>
      <c r="N54" s="2"/>
      <c r="O54" s="2"/>
      <c r="P54" s="2"/>
      <c r="Q54" s="2"/>
    </row>
    <row r="55" spans="13:17" ht="12.75">
      <c r="M55" s="2"/>
      <c r="N55" s="2"/>
      <c r="O55" s="2"/>
      <c r="P55" s="2"/>
      <c r="Q55" s="2"/>
    </row>
    <row r="56" spans="13:17" ht="12.75">
      <c r="M56" s="2"/>
      <c r="N56" s="2"/>
      <c r="O56" s="2"/>
      <c r="P56" s="2"/>
      <c r="Q56" s="2"/>
    </row>
    <row r="57" spans="13:17" ht="12.75">
      <c r="M57" s="2"/>
      <c r="N57" s="2"/>
      <c r="O57" s="2"/>
      <c r="P57" s="2"/>
      <c r="Q57" s="2"/>
    </row>
    <row r="58" spans="13:17" ht="12.75">
      <c r="M58" s="2"/>
      <c r="N58" s="2"/>
      <c r="O58" s="2"/>
      <c r="P58" s="2"/>
      <c r="Q58" s="2"/>
    </row>
    <row r="59" spans="13:17" ht="12.75">
      <c r="M59" s="2"/>
      <c r="N59" s="2"/>
      <c r="O59" s="2"/>
      <c r="P59" s="2"/>
      <c r="Q59" s="2"/>
    </row>
    <row r="60" spans="13:17" ht="12.75">
      <c r="M60" s="2"/>
      <c r="N60" s="2"/>
      <c r="O60" s="2"/>
      <c r="P60" s="2"/>
      <c r="Q60" s="2"/>
    </row>
    <row r="61" spans="13:17" ht="12.75">
      <c r="M61" s="2"/>
      <c r="N61" s="2"/>
      <c r="O61" s="2"/>
      <c r="P61" s="2"/>
      <c r="Q61" s="2"/>
    </row>
    <row r="62" spans="13:17" ht="12.75">
      <c r="M62" s="2"/>
      <c r="N62" s="2"/>
      <c r="O62" s="2"/>
      <c r="P62" s="2"/>
      <c r="Q62" s="2"/>
    </row>
    <row r="63" spans="13:17" ht="12.75">
      <c r="M63" s="2"/>
      <c r="N63" s="2"/>
      <c r="O63" s="2"/>
      <c r="P63" s="2"/>
      <c r="Q63" s="2"/>
    </row>
    <row r="64" spans="13:17" ht="12.75">
      <c r="M64" s="2"/>
      <c r="N64" s="2"/>
      <c r="O64" s="2"/>
      <c r="P64" s="2"/>
      <c r="Q64" s="2"/>
    </row>
    <row r="65" spans="13:17" ht="12.75">
      <c r="M65" s="2"/>
      <c r="N65" s="2"/>
      <c r="O65" s="2"/>
      <c r="P65" s="2"/>
      <c r="Q65" s="2"/>
    </row>
    <row r="66" spans="13:17" ht="12.75">
      <c r="M66" s="2"/>
      <c r="N66" s="2"/>
      <c r="O66" s="2"/>
      <c r="P66" s="2"/>
      <c r="Q66" s="2"/>
    </row>
    <row r="67" spans="13:17" ht="12.75">
      <c r="M67" s="2"/>
      <c r="N67" s="2"/>
      <c r="O67" s="2"/>
      <c r="P67" s="2"/>
      <c r="Q67" s="2"/>
    </row>
    <row r="68" spans="13:17" ht="12.75">
      <c r="M68" s="2"/>
      <c r="N68" s="2"/>
      <c r="O68" s="2"/>
      <c r="P68" s="2"/>
      <c r="Q68" s="2"/>
    </row>
    <row r="69" spans="13:17" ht="12.75">
      <c r="M69" s="2"/>
      <c r="N69" s="2"/>
      <c r="O69" s="2"/>
      <c r="P69" s="2"/>
      <c r="Q69" s="2"/>
    </row>
    <row r="70" spans="13:17" ht="12.75">
      <c r="M70" s="2"/>
      <c r="N70" s="2"/>
      <c r="O70" s="2"/>
      <c r="P70" s="2"/>
      <c r="Q70" s="2"/>
    </row>
    <row r="71" spans="13:17" ht="12.75">
      <c r="M71" s="2"/>
      <c r="N71" s="2"/>
      <c r="O71" s="2"/>
      <c r="P71" s="2"/>
      <c r="Q71" s="2"/>
    </row>
    <row r="72" spans="13:17" ht="12.75">
      <c r="M72" s="2"/>
      <c r="N72" s="2"/>
      <c r="O72" s="2"/>
      <c r="P72" s="2"/>
      <c r="Q72" s="2"/>
    </row>
    <row r="73" spans="13:17" ht="12.75">
      <c r="M73" s="2"/>
      <c r="N73" s="2"/>
      <c r="O73" s="2"/>
      <c r="P73" s="2"/>
      <c r="Q73" s="2"/>
    </row>
    <row r="74" spans="13:17" ht="12.75">
      <c r="M74" s="2"/>
      <c r="N74" s="2"/>
      <c r="O74" s="2"/>
      <c r="P74" s="2"/>
      <c r="Q74" s="2"/>
    </row>
    <row r="75" spans="13:17" ht="12.75">
      <c r="M75" s="2"/>
      <c r="N75" s="2"/>
      <c r="O75" s="2"/>
      <c r="P75" s="2"/>
      <c r="Q75" s="2"/>
    </row>
    <row r="76" spans="13:17" ht="12.75">
      <c r="M76" s="2"/>
      <c r="N76" s="2"/>
      <c r="O76" s="2"/>
      <c r="P76" s="2"/>
      <c r="Q76" s="2"/>
    </row>
    <row r="77" spans="13:17" ht="12.75">
      <c r="M77" s="2"/>
      <c r="N77" s="2"/>
      <c r="O77" s="2"/>
      <c r="P77" s="2"/>
      <c r="Q77" s="2"/>
    </row>
    <row r="78" spans="13:17" ht="12.75">
      <c r="M78" s="2"/>
      <c r="N78" s="2"/>
      <c r="O78" s="2"/>
      <c r="P78" s="2"/>
      <c r="Q78" s="2"/>
    </row>
    <row r="79" spans="13:17" ht="12.75">
      <c r="M79" s="2"/>
      <c r="N79" s="2"/>
      <c r="O79" s="2"/>
      <c r="P79" s="2"/>
      <c r="Q79" s="2"/>
    </row>
    <row r="80" spans="13:17" ht="12.75">
      <c r="M80" s="2"/>
      <c r="N80" s="2"/>
      <c r="O80" s="2"/>
      <c r="P80" s="2"/>
      <c r="Q80" s="2"/>
    </row>
    <row r="81" spans="13:17" ht="12.75">
      <c r="M81" s="2"/>
      <c r="N81" s="2"/>
      <c r="O81" s="2"/>
      <c r="P81" s="2"/>
      <c r="Q81" s="2"/>
    </row>
    <row r="82" spans="13:17" ht="12.75">
      <c r="M82" s="2"/>
      <c r="N82" s="2"/>
      <c r="O82" s="2"/>
      <c r="P82" s="2"/>
      <c r="Q82" s="2"/>
    </row>
    <row r="83" spans="13:17" ht="12.75">
      <c r="M83" s="2"/>
      <c r="N83" s="2"/>
      <c r="O83" s="2"/>
      <c r="P83" s="2"/>
      <c r="Q83" s="2"/>
    </row>
    <row r="84" spans="13:17" ht="12.75">
      <c r="M84" s="2"/>
      <c r="N84" s="2"/>
      <c r="O84" s="2"/>
      <c r="P84" s="2"/>
      <c r="Q84" s="2"/>
    </row>
    <row r="85" spans="13:17" ht="12.75">
      <c r="M85" s="2"/>
      <c r="N85" s="2"/>
      <c r="O85" s="2"/>
      <c r="P85" s="2"/>
      <c r="Q85" s="2"/>
    </row>
    <row r="86" spans="13:17" ht="12.75">
      <c r="M86" s="2"/>
      <c r="N86" s="2"/>
      <c r="O86" s="2"/>
      <c r="P86" s="2"/>
      <c r="Q86" s="2"/>
    </row>
    <row r="87" spans="13:17" ht="12.75">
      <c r="M87" s="2"/>
      <c r="N87" s="2"/>
      <c r="O87" s="2"/>
      <c r="P87" s="2"/>
      <c r="Q87" s="2"/>
    </row>
    <row r="88" spans="13:17" ht="12.75">
      <c r="M88" s="2"/>
      <c r="N88" s="2"/>
      <c r="O88" s="2"/>
      <c r="P88" s="2"/>
      <c r="Q88" s="2"/>
    </row>
    <row r="89" spans="13:17" ht="12.75">
      <c r="M89" s="2"/>
      <c r="N89" s="2"/>
      <c r="O89" s="2"/>
      <c r="P89" s="2"/>
      <c r="Q89" s="2"/>
    </row>
    <row r="90" spans="13:17" ht="12.75">
      <c r="M90" s="2"/>
      <c r="N90" s="2"/>
      <c r="O90" s="2"/>
      <c r="P90" s="2"/>
      <c r="Q90" s="2"/>
    </row>
    <row r="91" spans="13:17" ht="12.75">
      <c r="M91" s="2"/>
      <c r="N91" s="2"/>
      <c r="O91" s="2"/>
      <c r="P91" s="2"/>
      <c r="Q91" s="2"/>
    </row>
    <row r="92" spans="13:17" ht="12.75">
      <c r="M92" s="2"/>
      <c r="N92" s="2"/>
      <c r="O92" s="2"/>
      <c r="P92" s="2"/>
      <c r="Q92" s="2"/>
    </row>
    <row r="93" spans="13:17" ht="12.75">
      <c r="M93" s="2"/>
      <c r="N93" s="2"/>
      <c r="O93" s="2"/>
      <c r="P93" s="2"/>
      <c r="Q93" s="2"/>
    </row>
    <row r="94" spans="13:17" ht="12.75">
      <c r="M94" s="2"/>
      <c r="N94" s="2"/>
      <c r="O94" s="2"/>
      <c r="P94" s="2"/>
      <c r="Q94" s="2"/>
    </row>
    <row r="95" spans="13:17" ht="12.75">
      <c r="M95" s="2"/>
      <c r="N95" s="2"/>
      <c r="O95" s="2"/>
      <c r="P95" s="2"/>
      <c r="Q95" s="2"/>
    </row>
    <row r="96" spans="13:17" ht="12.75">
      <c r="M96" s="2"/>
      <c r="N96" s="2"/>
      <c r="O96" s="2"/>
      <c r="P96" s="2"/>
      <c r="Q96" s="2"/>
    </row>
    <row r="97" spans="13:17" ht="12.75">
      <c r="M97" s="2"/>
      <c r="N97" s="2"/>
      <c r="O97" s="2"/>
      <c r="P97" s="2"/>
      <c r="Q97" s="2"/>
    </row>
    <row r="98" spans="13:17" ht="12.75">
      <c r="M98" s="2"/>
      <c r="N98" s="2"/>
      <c r="O98" s="2"/>
      <c r="P98" s="2"/>
      <c r="Q98" s="2"/>
    </row>
    <row r="99" spans="13:17" ht="12.75">
      <c r="M99" s="2"/>
      <c r="N99" s="2"/>
      <c r="O99" s="2"/>
      <c r="P99" s="2"/>
      <c r="Q99" s="2"/>
    </row>
    <row r="100" spans="13:17" ht="12.75">
      <c r="M100" s="2"/>
      <c r="N100" s="2"/>
      <c r="O100" s="2"/>
      <c r="P100" s="2"/>
      <c r="Q100" s="2"/>
    </row>
    <row r="101" spans="13:17" ht="12.75">
      <c r="M101" s="2"/>
      <c r="N101" s="2"/>
      <c r="O101" s="2"/>
      <c r="P101" s="2"/>
      <c r="Q101" s="2"/>
    </row>
    <row r="102" spans="13:17" ht="12.75">
      <c r="M102" s="2"/>
      <c r="N102" s="2"/>
      <c r="O102" s="2"/>
      <c r="P102" s="2"/>
      <c r="Q102" s="2"/>
    </row>
    <row r="103" spans="13:17" ht="12.75">
      <c r="M103" s="2"/>
      <c r="N103" s="2"/>
      <c r="O103" s="2"/>
      <c r="P103" s="2"/>
      <c r="Q103" s="2"/>
    </row>
    <row r="104" spans="13:17" ht="12.75">
      <c r="M104" s="2"/>
      <c r="N104" s="2"/>
      <c r="O104" s="2"/>
      <c r="P104" s="2"/>
      <c r="Q104" s="2"/>
    </row>
    <row r="105" spans="13:17" ht="12.75">
      <c r="M105" s="2"/>
      <c r="N105" s="2"/>
      <c r="O105" s="2"/>
      <c r="P105" s="2"/>
      <c r="Q105" s="2"/>
    </row>
    <row r="106" spans="13:17" ht="12.75">
      <c r="M106" s="2"/>
      <c r="N106" s="2"/>
      <c r="O106" s="2"/>
      <c r="P106" s="2"/>
      <c r="Q106" s="2"/>
    </row>
    <row r="107" spans="13:17" ht="12.75">
      <c r="M107" s="2"/>
      <c r="N107" s="2"/>
      <c r="O107" s="2"/>
      <c r="P107" s="2"/>
      <c r="Q107" s="2"/>
    </row>
    <row r="108" spans="13:17" ht="12.75">
      <c r="M108" s="2"/>
      <c r="N108" s="2"/>
      <c r="O108" s="2"/>
      <c r="P108" s="2"/>
      <c r="Q108" s="2"/>
    </row>
    <row r="109" spans="13:17" ht="12.75">
      <c r="M109" s="2"/>
      <c r="N109" s="2"/>
      <c r="O109" s="2"/>
      <c r="P109" s="2"/>
      <c r="Q109" s="2"/>
    </row>
    <row r="110" spans="13:17" ht="12.75">
      <c r="M110" s="2"/>
      <c r="N110" s="2"/>
      <c r="O110" s="2"/>
      <c r="P110" s="2"/>
      <c r="Q110" s="2"/>
    </row>
    <row r="111" spans="13:17" ht="12.75">
      <c r="M111" s="2"/>
      <c r="N111" s="2"/>
      <c r="O111" s="2"/>
      <c r="P111" s="2"/>
      <c r="Q111" s="2"/>
    </row>
    <row r="112" spans="13:17" ht="12.75">
      <c r="M112" s="2"/>
      <c r="N112" s="2"/>
      <c r="O112" s="2"/>
      <c r="P112" s="2"/>
      <c r="Q112" s="2"/>
    </row>
    <row r="113" spans="13:17" ht="12.75">
      <c r="M113" s="2"/>
      <c r="N113" s="2"/>
      <c r="O113" s="2"/>
      <c r="P113" s="2"/>
      <c r="Q113" s="2"/>
    </row>
    <row r="114" spans="13:17" ht="12.75">
      <c r="M114" s="2"/>
      <c r="N114" s="2"/>
      <c r="O114" s="2"/>
      <c r="P114" s="2"/>
      <c r="Q114" s="2"/>
    </row>
    <row r="115" spans="13:17" ht="12.75">
      <c r="M115" s="2"/>
      <c r="N115" s="2"/>
      <c r="O115" s="2"/>
      <c r="P115" s="2"/>
      <c r="Q115" s="2"/>
    </row>
    <row r="116" spans="13:17" ht="12.75">
      <c r="M116" s="2"/>
      <c r="N116" s="2"/>
      <c r="O116" s="2"/>
      <c r="P116" s="2"/>
      <c r="Q116" s="2"/>
    </row>
    <row r="117" spans="13:17" ht="12.75">
      <c r="M117" s="2"/>
      <c r="N117" s="2"/>
      <c r="O117" s="2"/>
      <c r="P117" s="2"/>
      <c r="Q117" s="2"/>
    </row>
    <row r="118" spans="13:17" ht="12.75">
      <c r="M118" s="2"/>
      <c r="N118" s="2"/>
      <c r="O118" s="2"/>
      <c r="P118" s="2"/>
      <c r="Q118" s="2"/>
    </row>
    <row r="119" spans="13:17" ht="12.75">
      <c r="M119" s="2"/>
      <c r="N119" s="2"/>
      <c r="O119" s="2"/>
      <c r="P119" s="2"/>
      <c r="Q119" s="2"/>
    </row>
    <row r="120" spans="13:17" ht="12.75">
      <c r="M120" s="2"/>
      <c r="N120" s="2"/>
      <c r="O120" s="2"/>
      <c r="P120" s="2"/>
      <c r="Q120" s="2"/>
    </row>
    <row r="121" spans="13:17" ht="12.75">
      <c r="M121" s="2"/>
      <c r="N121" s="2"/>
      <c r="O121" s="2"/>
      <c r="P121" s="2"/>
      <c r="Q121" s="2"/>
    </row>
    <row r="122" spans="13:17" ht="12.75">
      <c r="M122" s="2"/>
      <c r="N122" s="2"/>
      <c r="O122" s="2"/>
      <c r="P122" s="2"/>
      <c r="Q122" s="2"/>
    </row>
    <row r="123" spans="13:17" ht="12.75">
      <c r="M123" s="2"/>
      <c r="N123" s="2"/>
      <c r="O123" s="2"/>
      <c r="P123" s="2"/>
      <c r="Q123" s="2"/>
    </row>
    <row r="124" spans="13:17" ht="12.75">
      <c r="M124" s="2"/>
      <c r="N124" s="2"/>
      <c r="O124" s="2"/>
      <c r="P124" s="2"/>
      <c r="Q124" s="2"/>
    </row>
    <row r="125" spans="13:17" ht="12.75">
      <c r="M125" s="2"/>
      <c r="N125" s="2"/>
      <c r="O125" s="2"/>
      <c r="P125" s="2"/>
      <c r="Q125" s="2"/>
    </row>
    <row r="126" spans="13:17" ht="12.75">
      <c r="M126" s="2"/>
      <c r="N126" s="2"/>
      <c r="O126" s="2"/>
      <c r="P126" s="2"/>
      <c r="Q126" s="2"/>
    </row>
    <row r="127" spans="13:17" ht="12.75">
      <c r="M127" s="2"/>
      <c r="N127" s="2"/>
      <c r="O127" s="2"/>
      <c r="P127" s="2"/>
      <c r="Q127" s="2"/>
    </row>
    <row r="128" spans="13:17" ht="12.75">
      <c r="M128" s="2"/>
      <c r="N128" s="2"/>
      <c r="O128" s="2"/>
      <c r="P128" s="2"/>
      <c r="Q128" s="2"/>
    </row>
    <row r="129" spans="13:17" ht="12.75">
      <c r="M129" s="2"/>
      <c r="N129" s="2"/>
      <c r="O129" s="2"/>
      <c r="P129" s="2"/>
      <c r="Q129" s="2"/>
    </row>
    <row r="130" spans="13:17" ht="12.75">
      <c r="M130" s="2"/>
      <c r="N130" s="2"/>
      <c r="O130" s="2"/>
      <c r="P130" s="2"/>
      <c r="Q130" s="2"/>
    </row>
    <row r="131" spans="13:17" ht="12.75">
      <c r="M131" s="2"/>
      <c r="N131" s="2"/>
      <c r="O131" s="2"/>
      <c r="P131" s="2"/>
      <c r="Q131" s="2"/>
    </row>
    <row r="132" spans="13:17" ht="12.75">
      <c r="M132" s="2"/>
      <c r="N132" s="2"/>
      <c r="O132" s="2"/>
      <c r="P132" s="2"/>
      <c r="Q132" s="2"/>
    </row>
    <row r="133" spans="13:17" ht="12.75">
      <c r="M133" s="2"/>
      <c r="N133" s="2"/>
      <c r="O133" s="2"/>
      <c r="P133" s="2"/>
      <c r="Q133" s="2"/>
    </row>
    <row r="134" spans="13:17" ht="12.75">
      <c r="M134" s="2"/>
      <c r="N134" s="2"/>
      <c r="O134" s="2"/>
      <c r="P134" s="2"/>
      <c r="Q134" s="2"/>
    </row>
    <row r="135" spans="13:17" ht="12.75">
      <c r="M135" s="2"/>
      <c r="N135" s="2"/>
      <c r="O135" s="2"/>
      <c r="P135" s="2"/>
      <c r="Q135" s="2"/>
    </row>
    <row r="136" spans="13:17" ht="12.75">
      <c r="M136" s="2"/>
      <c r="N136" s="2"/>
      <c r="O136" s="2"/>
      <c r="P136" s="2"/>
      <c r="Q136" s="2"/>
    </row>
    <row r="137" spans="13:17" ht="12.75">
      <c r="M137" s="2"/>
      <c r="N137" s="2"/>
      <c r="O137" s="2"/>
      <c r="P137" s="2"/>
      <c r="Q137" s="2"/>
    </row>
    <row r="138" spans="13:17" ht="12.75">
      <c r="M138" s="2"/>
      <c r="N138" s="2"/>
      <c r="O138" s="2"/>
      <c r="P138" s="2"/>
      <c r="Q138" s="2"/>
    </row>
    <row r="139" spans="13:17" ht="12.75">
      <c r="M139" s="2"/>
      <c r="N139" s="2"/>
      <c r="O139" s="2"/>
      <c r="P139" s="2"/>
      <c r="Q139" s="2"/>
    </row>
    <row r="140" spans="13:17" ht="12.75">
      <c r="M140" s="2"/>
      <c r="N140" s="2"/>
      <c r="O140" s="2"/>
      <c r="P140" s="2"/>
      <c r="Q140" s="2"/>
    </row>
    <row r="141" spans="13:17" ht="12.75">
      <c r="M141" s="2"/>
      <c r="N141" s="2"/>
      <c r="O141" s="2"/>
      <c r="P141" s="2"/>
      <c r="Q141" s="2"/>
    </row>
    <row r="142" spans="13:17" ht="12.75">
      <c r="M142" s="2"/>
      <c r="N142" s="2"/>
      <c r="O142" s="2"/>
      <c r="P142" s="2"/>
      <c r="Q142" s="2"/>
    </row>
    <row r="143" spans="13:17" ht="12.75">
      <c r="M143" s="2"/>
      <c r="N143" s="2"/>
      <c r="O143" s="2"/>
      <c r="P143" s="2"/>
      <c r="Q143" s="2"/>
    </row>
    <row r="144" spans="13:17" ht="12.75">
      <c r="M144" s="2"/>
      <c r="N144" s="2"/>
      <c r="O144" s="2"/>
      <c r="P144" s="2"/>
      <c r="Q144" s="2"/>
    </row>
    <row r="145" spans="13:17" ht="12.75">
      <c r="M145" s="2"/>
      <c r="N145" s="2"/>
      <c r="O145" s="2"/>
      <c r="P145" s="2"/>
      <c r="Q145" s="2"/>
    </row>
    <row r="146" spans="13:17" ht="12.75">
      <c r="M146" s="2"/>
      <c r="N146" s="2"/>
      <c r="O146" s="2"/>
      <c r="P146" s="2"/>
      <c r="Q146" s="2"/>
    </row>
    <row r="147" spans="13:17" ht="12.75">
      <c r="M147" s="2"/>
      <c r="N147" s="2"/>
      <c r="O147" s="2"/>
      <c r="P147" s="2"/>
      <c r="Q147" s="2"/>
    </row>
    <row r="148" spans="13:17" ht="12.75">
      <c r="M148" s="2"/>
      <c r="N148" s="2"/>
      <c r="O148" s="2"/>
      <c r="P148" s="2"/>
      <c r="Q148" s="2"/>
    </row>
    <row r="149" spans="13:17" ht="12.75">
      <c r="M149" s="2"/>
      <c r="N149" s="2"/>
      <c r="O149" s="2"/>
      <c r="P149" s="2"/>
      <c r="Q149" s="2"/>
    </row>
    <row r="150" spans="13:17" ht="12.75">
      <c r="M150" s="2"/>
      <c r="N150" s="2"/>
      <c r="O150" s="2"/>
      <c r="P150" s="2"/>
      <c r="Q150" s="2"/>
    </row>
    <row r="151" spans="13:17" ht="12.75">
      <c r="M151" s="2"/>
      <c r="N151" s="2"/>
      <c r="O151" s="2"/>
      <c r="P151" s="2"/>
      <c r="Q151" s="2"/>
    </row>
    <row r="152" spans="13:17" ht="12.75">
      <c r="M152" s="2"/>
      <c r="N152" s="2"/>
      <c r="O152" s="2"/>
      <c r="P152" s="2"/>
      <c r="Q152" s="2"/>
    </row>
    <row r="153" spans="13:17" ht="12.75">
      <c r="M153" s="2"/>
      <c r="N153" s="2"/>
      <c r="O153" s="2"/>
      <c r="P153" s="2"/>
      <c r="Q153" s="2"/>
    </row>
    <row r="154" spans="13:17" ht="12.75">
      <c r="M154" s="2"/>
      <c r="N154" s="2"/>
      <c r="O154" s="2"/>
      <c r="P154" s="2"/>
      <c r="Q154" s="2"/>
    </row>
    <row r="155" spans="13:17" ht="12.75">
      <c r="M155" s="2"/>
      <c r="N155" s="2"/>
      <c r="O155" s="2"/>
      <c r="P155" s="2"/>
      <c r="Q155" s="2"/>
    </row>
    <row r="156" spans="13:17" ht="12.75">
      <c r="M156" s="2"/>
      <c r="N156" s="2"/>
      <c r="O156" s="2"/>
      <c r="P156" s="2"/>
      <c r="Q156" s="2"/>
    </row>
    <row r="157" spans="13:17" ht="12.75">
      <c r="M157" s="2"/>
      <c r="N157" s="2"/>
      <c r="O157" s="2"/>
      <c r="P157" s="2"/>
      <c r="Q157" s="2"/>
    </row>
    <row r="158" spans="13:17" ht="12.75">
      <c r="M158" s="2"/>
      <c r="N158" s="2"/>
      <c r="O158" s="2"/>
      <c r="P158" s="2"/>
      <c r="Q158" s="2"/>
    </row>
    <row r="159" spans="13:17" ht="12.75">
      <c r="M159" s="2"/>
      <c r="N159" s="2"/>
      <c r="O159" s="2"/>
      <c r="P159" s="2"/>
      <c r="Q159" s="2"/>
    </row>
    <row r="160" spans="13:17" ht="12.75">
      <c r="M160" s="2"/>
      <c r="N160" s="2"/>
      <c r="O160" s="2"/>
      <c r="P160" s="2"/>
      <c r="Q160" s="2"/>
    </row>
    <row r="161" spans="13:17" ht="12.75">
      <c r="M161" s="2"/>
      <c r="N161" s="2"/>
      <c r="O161" s="2"/>
      <c r="P161" s="2"/>
      <c r="Q161" s="2"/>
    </row>
    <row r="162" spans="13:17" ht="12.75">
      <c r="M162" s="2"/>
      <c r="N162" s="2"/>
      <c r="O162" s="2"/>
      <c r="P162" s="2"/>
      <c r="Q162" s="2"/>
    </row>
    <row r="163" spans="13:17" ht="12.75">
      <c r="M163" s="2"/>
      <c r="N163" s="2"/>
      <c r="O163" s="2"/>
      <c r="P163" s="2"/>
      <c r="Q163" s="2"/>
    </row>
    <row r="164" spans="13:17" ht="12.75">
      <c r="M164" s="2"/>
      <c r="N164" s="2"/>
      <c r="O164" s="2"/>
      <c r="P164" s="2"/>
      <c r="Q164" s="2"/>
    </row>
    <row r="165" spans="13:17" ht="12.75">
      <c r="M165" s="2"/>
      <c r="N165" s="2"/>
      <c r="O165" s="2"/>
      <c r="P165" s="2"/>
      <c r="Q165" s="2"/>
    </row>
    <row r="166" spans="13:17" ht="12.75">
      <c r="M166" s="2"/>
      <c r="N166" s="2"/>
      <c r="O166" s="2"/>
      <c r="P166" s="2"/>
      <c r="Q166" s="2"/>
    </row>
    <row r="167" spans="13:17" ht="12.75">
      <c r="M167" s="2"/>
      <c r="N167" s="2"/>
      <c r="O167" s="2"/>
      <c r="P167" s="2"/>
      <c r="Q167" s="2"/>
    </row>
    <row r="168" spans="13:17" ht="12.75">
      <c r="M168" s="2"/>
      <c r="N168" s="2"/>
      <c r="O168" s="2"/>
      <c r="P168" s="2"/>
      <c r="Q168" s="2"/>
    </row>
    <row r="169" spans="13:17" ht="12.75">
      <c r="M169" s="2"/>
      <c r="N169" s="2"/>
      <c r="O169" s="2"/>
      <c r="P169" s="2"/>
      <c r="Q169" s="2"/>
    </row>
    <row r="170" spans="13:17" ht="12.75">
      <c r="M170" s="2"/>
      <c r="N170" s="2"/>
      <c r="O170" s="2"/>
      <c r="P170" s="2"/>
      <c r="Q170" s="2"/>
    </row>
    <row r="171" spans="13:17" ht="12.75">
      <c r="M171" s="2"/>
      <c r="N171" s="2"/>
      <c r="O171" s="2"/>
      <c r="P171" s="2"/>
      <c r="Q171" s="2"/>
    </row>
    <row r="172" spans="13:17" ht="12.75">
      <c r="M172" s="2"/>
      <c r="N172" s="2"/>
      <c r="O172" s="2"/>
      <c r="P172" s="2"/>
      <c r="Q172" s="2"/>
    </row>
    <row r="173" spans="13:17" ht="12.75">
      <c r="M173" s="2"/>
      <c r="N173" s="2"/>
      <c r="O173" s="2"/>
      <c r="P173" s="2"/>
      <c r="Q173" s="2"/>
    </row>
    <row r="174" spans="13:17" ht="12.75">
      <c r="M174" s="2"/>
      <c r="N174" s="2"/>
      <c r="O174" s="2"/>
      <c r="P174" s="2"/>
      <c r="Q174" s="2"/>
    </row>
    <row r="175" spans="13:17" ht="12.75">
      <c r="M175" s="2"/>
      <c r="N175" s="2"/>
      <c r="O175" s="2"/>
      <c r="P175" s="2"/>
      <c r="Q175" s="2"/>
    </row>
    <row r="176" spans="13:17" ht="12.75">
      <c r="M176" s="2"/>
      <c r="N176" s="2"/>
      <c r="O176" s="2"/>
      <c r="P176" s="2"/>
      <c r="Q176" s="2"/>
    </row>
    <row r="177" spans="13:17" ht="12.75">
      <c r="M177" s="2"/>
      <c r="N177" s="2"/>
      <c r="O177" s="2"/>
      <c r="P177" s="2"/>
      <c r="Q177" s="2"/>
    </row>
    <row r="178" spans="13:17" ht="12.75">
      <c r="M178" s="2"/>
      <c r="N178" s="2"/>
      <c r="O178" s="2"/>
      <c r="P178" s="2"/>
      <c r="Q178" s="2"/>
    </row>
    <row r="179" spans="13:17" ht="12.75">
      <c r="M179" s="2"/>
      <c r="N179" s="2"/>
      <c r="O179" s="2"/>
      <c r="P179" s="2"/>
      <c r="Q179" s="2"/>
    </row>
    <row r="180" spans="13:17" ht="12.75">
      <c r="M180" s="2"/>
      <c r="N180" s="2"/>
      <c r="O180" s="2"/>
      <c r="P180" s="2"/>
      <c r="Q180" s="2"/>
    </row>
    <row r="181" spans="13:17" ht="12.75">
      <c r="M181" s="2"/>
      <c r="N181" s="2"/>
      <c r="O181" s="2"/>
      <c r="P181" s="2"/>
      <c r="Q181" s="2"/>
    </row>
    <row r="182" spans="13:17" ht="12.75">
      <c r="M182" s="2"/>
      <c r="N182" s="2"/>
      <c r="O182" s="2"/>
      <c r="P182" s="2"/>
      <c r="Q182" s="2"/>
    </row>
    <row r="183" spans="13:17" ht="12.75">
      <c r="M183" s="2"/>
      <c r="N183" s="2"/>
      <c r="O183" s="2"/>
      <c r="P183" s="2"/>
      <c r="Q183" s="2"/>
    </row>
    <row r="184" spans="13:17" ht="12.75">
      <c r="M184" s="2"/>
      <c r="N184" s="2"/>
      <c r="O184" s="2"/>
      <c r="P184" s="2"/>
      <c r="Q184" s="2"/>
    </row>
    <row r="185" spans="13:17" ht="12.75">
      <c r="M185" s="2"/>
      <c r="N185" s="2"/>
      <c r="O185" s="2"/>
      <c r="P185" s="2"/>
      <c r="Q185" s="2"/>
    </row>
    <row r="186" spans="13:17" ht="12.75">
      <c r="M186" s="2"/>
      <c r="N186" s="2"/>
      <c r="O186" s="2"/>
      <c r="P186" s="2"/>
      <c r="Q186" s="2"/>
    </row>
    <row r="187" spans="13:17" ht="12.75">
      <c r="M187" s="2"/>
      <c r="N187" s="2"/>
      <c r="O187" s="2"/>
      <c r="P187" s="2"/>
      <c r="Q187" s="2"/>
    </row>
    <row r="188" spans="13:17" ht="12.75">
      <c r="M188" s="2"/>
      <c r="N188" s="2"/>
      <c r="O188" s="2"/>
      <c r="P188" s="2"/>
      <c r="Q188" s="2"/>
    </row>
    <row r="189" spans="13:17" ht="12.75">
      <c r="M189" s="2"/>
      <c r="N189" s="2"/>
      <c r="O189" s="2"/>
      <c r="P189" s="2"/>
      <c r="Q189" s="2"/>
    </row>
    <row r="190" spans="13:17" ht="12.75">
      <c r="M190" s="2"/>
      <c r="N190" s="2"/>
      <c r="O190" s="2"/>
      <c r="P190" s="2"/>
      <c r="Q190" s="2"/>
    </row>
  </sheetData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65" r:id="rId4"/>
  <headerFooter alignWithMargins="0">
    <oddFooter>&amp;L&amp;"Times New Roman,Normal"&amp;8&amp;F-&amp;A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E.N.R.E.</dc:creator>
  <cp:keywords/>
  <dc:description/>
  <cp:lastModifiedBy>lfarinola</cp:lastModifiedBy>
  <cp:lastPrinted>2011-09-13T15:17:56Z</cp:lastPrinted>
  <dcterms:created xsi:type="dcterms:W3CDTF">1998-04-21T14:04:37Z</dcterms:created>
  <dcterms:modified xsi:type="dcterms:W3CDTF">2012-02-02T14:21:11Z</dcterms:modified>
  <cp:category/>
  <cp:version/>
  <cp:contentType/>
  <cp:contentStatus/>
</cp:coreProperties>
</file>