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963" activeTab="0"/>
  </bookViews>
  <sheets>
    <sheet name="TOT-0807" sheetId="1" r:id="rId1"/>
    <sheet name="LI-08 (1)" sheetId="2" r:id="rId2"/>
    <sheet name="Incendio-DAG" sheetId="3" r:id="rId3"/>
    <sheet name="TR-08 (1)" sheetId="4" r:id="rId4"/>
    <sheet name="SA-08 (1)" sheetId="5" r:id="rId5"/>
    <sheet name="RE-08 (1)" sheetId="6" r:id="rId6"/>
  </sheets>
  <definedNames>
    <definedName name="_xlnm.Print_Area" localSheetId="2">'Incendio-DAG'!$A$1:$AE$41</definedName>
    <definedName name="_xlnm.Print_Area" localSheetId="1">'LI-08 (1)'!$A$1:$AE$44</definedName>
    <definedName name="_xlnm.Print_Area" localSheetId="5">'RE-08 (1)'!$A$1:$X$41</definedName>
    <definedName name="_xlnm.Print_Area" localSheetId="4">'SA-08 (1)'!$A$1:$V$47</definedName>
    <definedName name="_xlnm.Print_Area" localSheetId="0">'TOT-0807'!$A$1:$L$37</definedName>
    <definedName name="_xlnm.Print_Area" localSheetId="3">'TR-08 (1)'!$A$1:$AC$43</definedName>
    <definedName name="DD" localSheetId="2">'Incendio-DAG'!DD</definedName>
    <definedName name="DD">[0]!DD</definedName>
    <definedName name="DDD" localSheetId="2">'Incendio-DAG'!DDD</definedName>
    <definedName name="DDD">[0]!DDD</definedName>
    <definedName name="DISTROCUYO" localSheetId="2">'Incendio-DAG'!DISTROCUYO</definedName>
    <definedName name="DISTROCUYO">[0]!DISTROCUYO</definedName>
    <definedName name="INICIO" localSheetId="2">'Incendio-DAG'!INICIO</definedName>
    <definedName name="INICIO" localSheetId="1">'LI-08 (1)'!INICIO</definedName>
    <definedName name="INICIO" localSheetId="5">'RE-08 (1)'!INICIO</definedName>
    <definedName name="INICIO" localSheetId="4">'SA-08 (1)'!INICIO</definedName>
    <definedName name="INICIO" localSheetId="0">'TOT-0807'!INICIO</definedName>
    <definedName name="INICIO" localSheetId="3">'TR-08 (1)'!INICIO</definedName>
    <definedName name="INICIO">[0]!INICIO</definedName>
    <definedName name="INICIOTI" localSheetId="2">'Incendio-DAG'!INICIOTI</definedName>
    <definedName name="INICIOTI">[0]!INICIOTI</definedName>
    <definedName name="LINEAS" localSheetId="2">'Incendio-DAG'!LINEAS</definedName>
    <definedName name="LINEAS">[0]!LINEAS</definedName>
    <definedName name="NAME_L" localSheetId="2">'Incendio-DAG'!NAME_L</definedName>
    <definedName name="NAME_L">[0]!NAME_L</definedName>
    <definedName name="NAME_L_TI" localSheetId="2">'Incendio-DAG'!NAME_L_TI</definedName>
    <definedName name="NAME_L_TI">[0]!NAME_L_TI</definedName>
    <definedName name="TRAN">[0]!TRAN</definedName>
    <definedName name="TRANSNOA" localSheetId="2">'Incendio-DAG'!TRANSNOA</definedName>
    <definedName name="TRANSNOA">[0]!TRANSNOA</definedName>
    <definedName name="x">[0]!x</definedName>
    <definedName name="XX" localSheetId="2">'Incendio-DAG'!XX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<sst xmlns="http://schemas.openxmlformats.org/spreadsheetml/2006/main" count="429" uniqueCount="150">
  <si>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</si>
  <si>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</si>
  <si>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</si>
  <si>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</si>
  <si>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</si>
  <si>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</si>
  <si>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</si>
  <si>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</si>
  <si>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</si>
  <si>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</si>
  <si>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</si>
  <si>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</si>
  <si>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</si>
  <si>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</si>
  <si>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</si>
  <si>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</si>
  <si>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</si>
  <si>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</si>
  <si>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</si>
  <si>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</si>
  <si>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</si>
  <si>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</si>
  <si>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</si>
  <si>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</si>
  <si>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</si>
  <si>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</si>
  <si>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</si>
  <si>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</si>
  <si>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</si>
  <si>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</si>
  <si>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</si>
  <si>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</si>
  <si>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</si>
  <si>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</si>
  <si>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PENALIZAC. FORZADA
Por Salida       hs. Restantes</t>
  </si>
  <si>
    <t>Hs.
Indisp.</t>
  </si>
  <si>
    <t>K</t>
  </si>
  <si>
    <t>Rest.
%</t>
  </si>
  <si>
    <t>R.D.</t>
  </si>
  <si>
    <t>PENALIZACIÓN FORZADA
Por Salida    1ras 5 hs.   hs. Restantes</t>
  </si>
  <si>
    <t>TRANSENER S.A.</t>
  </si>
  <si>
    <t>SISTEMA DE TRANSPORTE DE ENERGÍA ELÉCTRICA EN ALTA TENSIÓN</t>
  </si>
  <si>
    <t>POTENCIA REACTIVA</t>
  </si>
  <si>
    <t>SISTEMA DE TRANSPORTE DE ENERGÍA ELÉCTRICA EN ALTA TENSIÓN - TRANSENER S.A.</t>
  </si>
  <si>
    <t>PENALIZAC.
PROGRAM.</t>
  </si>
  <si>
    <t>CL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</si>
  <si>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</si>
  <si>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</si>
  <si>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</si>
  <si>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</si>
  <si>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</si>
  <si>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</si>
  <si>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</si>
  <si>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</si>
  <si>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</si>
  <si>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</si>
  <si>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</si>
  <si>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</si>
  <si>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</si>
  <si>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</si>
  <si>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</si>
  <si>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</si>
  <si>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R</t>
  </si>
  <si>
    <t xml:space="preserve">$/100 km-h : LINEAS 500 kV </t>
  </si>
  <si>
    <t xml:space="preserve">$/100 km-h : LINEAS 220 kV </t>
  </si>
  <si>
    <t>500/132</t>
  </si>
  <si>
    <t>1.1.- Líneas propias</t>
  </si>
  <si>
    <t>REDUCCIÓN FORZADA
Por Salida       1ras 5 hs.     hs. Restantes</t>
  </si>
  <si>
    <t>Desde el 01 al 31 de agosto de 2007</t>
  </si>
  <si>
    <t>BAHIA BLANCA - CHOELE CHOEL 1</t>
  </si>
  <si>
    <t>A</t>
  </si>
  <si>
    <t>F</t>
  </si>
  <si>
    <t>SI</t>
  </si>
  <si>
    <t>RAMALLO - VILLA LIA  2</t>
  </si>
  <si>
    <t>C</t>
  </si>
  <si>
    <t>P</t>
  </si>
  <si>
    <t>EL BRACHO - RECREO(5)</t>
  </si>
  <si>
    <t>B</t>
  </si>
  <si>
    <t>RECREO - MALVINAS ARG.</t>
  </si>
  <si>
    <t>SALTO GRANDE - SANTO TOME</t>
  </si>
  <si>
    <t>EZEIZA - RODRIGUEZ 2</t>
  </si>
  <si>
    <t>CHO.W. - CHO. 1 (5WC1)</t>
  </si>
  <si>
    <t>CHOCON - C.H. CHOCON 2</t>
  </si>
  <si>
    <t>COLONIA ELIA - CAMPANA</t>
  </si>
  <si>
    <t>GRAL. RODRIGUEZ - CAMPANA</t>
  </si>
  <si>
    <t>LUJAN - GRAN MENDOZA</t>
  </si>
  <si>
    <t>EZEIZA</t>
  </si>
  <si>
    <t>TRAFO 3</t>
  </si>
  <si>
    <t>500/220/132</t>
  </si>
  <si>
    <t>RECREO</t>
  </si>
  <si>
    <t>TRAFO 1</t>
  </si>
  <si>
    <t>ROMANG</t>
  </si>
  <si>
    <t>TRAFO</t>
  </si>
  <si>
    <t>ROSARIO OESTE</t>
  </si>
  <si>
    <t>220/132</t>
  </si>
  <si>
    <t>GRAN MENDOZA</t>
  </si>
  <si>
    <t>TRAFO 2</t>
  </si>
  <si>
    <t>PUELCHES</t>
  </si>
  <si>
    <t>SALIDA PICHI MAHUIDA</t>
  </si>
  <si>
    <t>P. BANDERITA</t>
  </si>
  <si>
    <t>SALIDA TRAFO MAQ. 1 Y 2</t>
  </si>
  <si>
    <t>RESISTENCIA</t>
  </si>
  <si>
    <t>SALIDA LINEA A BARRANQUERAS 1</t>
  </si>
  <si>
    <t>RAMALLO</t>
  </si>
  <si>
    <t>SALIDA LINEA PERGAMINO</t>
  </si>
  <si>
    <t>SALIDA LINEA CALCHAQUI</t>
  </si>
  <si>
    <t>SALIDA LINEA A RECONQUISTA</t>
  </si>
  <si>
    <t>SANTO TOME</t>
  </si>
  <si>
    <t>SALIDA LINEA STA. FE OESTE 1</t>
  </si>
  <si>
    <t>EL BRACHO</t>
  </si>
  <si>
    <t>SALIDA LINEA A ESTATICA</t>
  </si>
  <si>
    <t>CS5</t>
  </si>
  <si>
    <t>CS6</t>
  </si>
  <si>
    <t>CS1</t>
  </si>
  <si>
    <t>R1B5PU</t>
  </si>
  <si>
    <t>MALVINAS RECREO</t>
  </si>
  <si>
    <t>R1L5GM</t>
  </si>
  <si>
    <t>GRAN MZA LUJAN</t>
  </si>
  <si>
    <t>Valores remuneratorios según Decretos PEN  1462/05 y 1460/05</t>
  </si>
  <si>
    <t>TOTAL DE PENALIZACIONES</t>
  </si>
  <si>
    <t>R1L5MA</t>
  </si>
  <si>
    <t xml:space="preserve">P - PROGRAMADA                    </t>
  </si>
  <si>
    <t xml:space="preserve">F - FORZADA                     </t>
  </si>
  <si>
    <t xml:space="preserve">F - FORZADA                       R - REDUCCIÓN FORZADA                       </t>
  </si>
  <si>
    <t xml:space="preserve">P - PROGRAMADA               </t>
  </si>
  <si>
    <t xml:space="preserve">P - PROGRAMADA                   </t>
  </si>
  <si>
    <t xml:space="preserve">F - FORZADA                      </t>
  </si>
  <si>
    <t>1.3.- Incendio de Campos - Aplicación Punto 6.1.6 del Acta Acuerdo</t>
  </si>
  <si>
    <t xml:space="preserve">P - PROGRAMADA                  </t>
  </si>
  <si>
    <t xml:space="preserve">FM - Fuerza  Mayor                       </t>
  </si>
  <si>
    <t>Incendio de campos</t>
  </si>
  <si>
    <t>20a</t>
  </si>
  <si>
    <t>25a</t>
  </si>
  <si>
    <t>RP</t>
  </si>
  <si>
    <t>(*)</t>
  </si>
  <si>
    <t>(*) Aplicación NOTA S.E: N° 316 - 7/4/08</t>
  </si>
  <si>
    <t>RAMALLO  - ACINDAR T - ROSARIO OESTE 1</t>
  </si>
  <si>
    <t>RF</t>
  </si>
  <si>
    <t>Aplicación límite art. 25</t>
  </si>
  <si>
    <t>Art. 25</t>
  </si>
  <si>
    <t/>
  </si>
  <si>
    <t>DAG</t>
  </si>
  <si>
    <t>Remuneración mensual (ENRE 121/01)</t>
  </si>
  <si>
    <t>OBS.</t>
  </si>
  <si>
    <t>DAG COMAHUE</t>
  </si>
  <si>
    <t xml:space="preserve">Art.25 </t>
  </si>
  <si>
    <t xml:space="preserve">1.4 - DESCONEXIÓN AUTOMÁTICA DE GENERACIÓN (DAG) </t>
  </si>
  <si>
    <t>Total según Res. ENRE N° 149/10</t>
  </si>
  <si>
    <t>DIFERENCIA</t>
  </si>
  <si>
    <t>ANEXO IV al Memorandum D.T.E.E. N°   719/2011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</si>
</sst>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</numFmts>
  <fonts count="9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b/>
      <sz val="10"/>
      <color indexed="9"/>
      <name val="Times New Roman"/>
      <family val="0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3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7" fontId="25" fillId="0" borderId="8" xfId="0" applyNumberFormat="1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13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3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>
      <alignment horizontal="center"/>
    </xf>
    <xf numFmtId="0" fontId="33" fillId="0" borderId="0" xfId="0" applyFont="1" applyBorder="1" applyAlignment="1" applyProtection="1">
      <alignment horizontal="left" vertical="top"/>
      <protection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0" fontId="31" fillId="0" borderId="0" xfId="0" applyFont="1" applyAlignment="1">
      <alignment/>
    </xf>
    <xf numFmtId="0" fontId="31" fillId="0" borderId="1" xfId="0" applyFont="1" applyFill="1" applyBorder="1" applyAlignment="1">
      <alignment/>
    </xf>
    <xf numFmtId="0" fontId="35" fillId="2" borderId="14" xfId="0" applyFont="1" applyFill="1" applyBorder="1" applyAlignment="1" applyProtection="1">
      <alignment horizontal="center" vertical="center"/>
      <protection/>
    </xf>
    <xf numFmtId="168" fontId="36" fillId="2" borderId="2" xfId="0" applyNumberFormat="1" applyFont="1" applyFill="1" applyBorder="1" applyAlignment="1" applyProtection="1">
      <alignment horizontal="center"/>
      <protection/>
    </xf>
    <xf numFmtId="168" fontId="36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42" fillId="3" borderId="14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 applyProtection="1">
      <alignment horizontal="center" vertical="center"/>
      <protection/>
    </xf>
    <xf numFmtId="0" fontId="44" fillId="3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53" fillId="0" borderId="0" xfId="0" applyFont="1" applyAlignment="1">
      <alignment horizontal="right" vertical="top"/>
    </xf>
    <xf numFmtId="0" fontId="53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8" fontId="46" fillId="3" borderId="2" xfId="0" applyNumberFormat="1" applyFont="1" applyFill="1" applyBorder="1" applyAlignment="1" applyProtection="1" quotePrefix="1">
      <alignment horizontal="center"/>
      <protection locked="0"/>
    </xf>
    <xf numFmtId="168" fontId="7" fillId="0" borderId="19" xfId="0" applyNumberFormat="1" applyFont="1" applyFill="1" applyBorder="1" applyAlignment="1" applyProtection="1">
      <alignment horizontal="center"/>
      <protection locked="0"/>
    </xf>
    <xf numFmtId="168" fontId="46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59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7" fillId="0" borderId="13" xfId="0" applyFont="1" applyBorder="1" applyAlignment="1" applyProtection="1">
      <alignment horizontal="center" vertical="center"/>
      <protection/>
    </xf>
    <xf numFmtId="0" fontId="60" fillId="5" borderId="13" xfId="0" applyFont="1" applyFill="1" applyBorder="1" applyAlignment="1" applyProtection="1">
      <alignment horizontal="centerContinuous" vertical="center" wrapText="1"/>
      <protection/>
    </xf>
    <xf numFmtId="0" fontId="7" fillId="0" borderId="2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4" fontId="7" fillId="6" borderId="2" xfId="0" applyNumberFormat="1" applyFont="1" applyFill="1" applyBorder="1" applyAlignment="1" applyProtection="1" quotePrefix="1">
      <alignment horizontal="center"/>
      <protection/>
    </xf>
    <xf numFmtId="164" fontId="7" fillId="6" borderId="2" xfId="0" applyNumberFormat="1" applyFont="1" applyFill="1" applyBorder="1" applyAlignment="1" applyProtection="1" quotePrefix="1">
      <alignment horizontal="center"/>
      <protection/>
    </xf>
    <xf numFmtId="173" fontId="7" fillId="0" borderId="2" xfId="0" applyNumberFormat="1" applyFont="1" applyBorder="1" applyAlignment="1" applyProtection="1" quotePrefix="1">
      <alignment horizontal="center"/>
      <protection locked="0"/>
    </xf>
    <xf numFmtId="168" fontId="62" fillId="5" borderId="22" xfId="0" applyNumberFormat="1" applyFont="1" applyFill="1" applyBorder="1" applyAlignment="1" applyProtection="1" quotePrefix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168" fontId="31" fillId="0" borderId="0" xfId="0" applyNumberFormat="1" applyFont="1" applyBorder="1" applyAlignment="1" applyProtection="1">
      <alignment horizontal="center"/>
      <protection/>
    </xf>
    <xf numFmtId="2" fontId="64" fillId="0" borderId="0" xfId="0" applyNumberFormat="1" applyFont="1" applyBorder="1" applyAlignment="1" applyProtection="1">
      <alignment horizontal="center"/>
      <protection/>
    </xf>
    <xf numFmtId="7" fontId="34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0" fillId="0" borderId="8" xfId="0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168" fontId="27" fillId="0" borderId="14" xfId="0" applyNumberFormat="1" applyFont="1" applyBorder="1" applyAlignment="1" applyProtection="1">
      <alignment horizontal="center" vertical="center"/>
      <protection/>
    </xf>
    <xf numFmtId="0" fontId="38" fillId="2" borderId="13" xfId="0" applyFont="1" applyFill="1" applyBorder="1" applyAlignment="1" applyProtection="1">
      <alignment horizontal="centerContinuous" vertical="center" wrapText="1"/>
      <protection/>
    </xf>
    <xf numFmtId="0" fontId="39" fillId="2" borderId="15" xfId="0" applyFont="1" applyFill="1" applyBorder="1" applyAlignment="1">
      <alignment horizontal="centerContinuous"/>
    </xf>
    <xf numFmtId="0" fontId="38" fillId="2" borderId="8" xfId="0" applyFont="1" applyFill="1" applyBorder="1" applyAlignment="1">
      <alignment horizontal="centerContinuous" vertical="center"/>
    </xf>
    <xf numFmtId="0" fontId="66" fillId="7" borderId="14" xfId="0" applyFont="1" applyFill="1" applyBorder="1" applyAlignment="1">
      <alignment horizontal="center" vertical="center" wrapText="1"/>
    </xf>
    <xf numFmtId="0" fontId="67" fillId="8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4" fontId="68" fillId="7" borderId="2" xfId="0" applyNumberFormat="1" applyFont="1" applyFill="1" applyBorder="1" applyAlignment="1" applyProtection="1">
      <alignment horizontal="center"/>
      <protection/>
    </xf>
    <xf numFmtId="4" fontId="69" fillId="8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6" fillId="2" borderId="2" xfId="0" applyFont="1" applyFill="1" applyBorder="1" applyAlignment="1" applyProtection="1">
      <alignment horizontal="center"/>
      <protection/>
    </xf>
    <xf numFmtId="22" fontId="7" fillId="0" borderId="24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73" fontId="7" fillId="0" borderId="4" xfId="0" applyNumberFormat="1" applyFont="1" applyBorder="1" applyAlignment="1" applyProtection="1" quotePrefix="1">
      <alignment horizontal="center"/>
      <protection locked="0"/>
    </xf>
    <xf numFmtId="168" fontId="37" fillId="2" borderId="22" xfId="0" applyNumberFormat="1" applyFont="1" applyFill="1" applyBorder="1" applyAlignment="1" applyProtection="1" quotePrefix="1">
      <alignment horizontal="center"/>
      <protection locked="0"/>
    </xf>
    <xf numFmtId="168" fontId="37" fillId="2" borderId="25" xfId="0" applyNumberFormat="1" applyFont="1" applyFill="1" applyBorder="1" applyAlignment="1" applyProtection="1" quotePrefix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4" fontId="70" fillId="7" borderId="2" xfId="0" applyNumberFormat="1" applyFont="1" applyFill="1" applyBorder="1" applyAlignment="1" applyProtection="1">
      <alignment horizontal="center"/>
      <protection locked="0"/>
    </xf>
    <xf numFmtId="4" fontId="71" fillId="8" borderId="2" xfId="0" applyNumberFormat="1" applyFont="1" applyFill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8" fontId="37" fillId="2" borderId="26" xfId="0" applyNumberFormat="1" applyFont="1" applyFill="1" applyBorder="1" applyAlignment="1" applyProtection="1" quotePrefix="1">
      <alignment horizontal="center"/>
      <protection locked="0"/>
    </xf>
    <xf numFmtId="168" fontId="37" fillId="2" borderId="27" xfId="0" applyNumberFormat="1" applyFont="1" applyFill="1" applyBorder="1" applyAlignment="1" applyProtection="1" quotePrefix="1">
      <alignment horizontal="center"/>
      <protection locked="0"/>
    </xf>
    <xf numFmtId="4" fontId="37" fillId="2" borderId="28" xfId="0" applyNumberFormat="1" applyFont="1" applyFill="1" applyBorder="1" applyAlignment="1" applyProtection="1">
      <alignment horizontal="center"/>
      <protection locked="0"/>
    </xf>
    <xf numFmtId="4" fontId="70" fillId="7" borderId="3" xfId="0" applyNumberFormat="1" applyFont="1" applyFill="1" applyBorder="1" applyAlignment="1" applyProtection="1">
      <alignment horizontal="center"/>
      <protection locked="0"/>
    </xf>
    <xf numFmtId="4" fontId="71" fillId="8" borderId="3" xfId="0" applyNumberFormat="1" applyFont="1" applyFill="1" applyBorder="1" applyAlignment="1" applyProtection="1">
      <alignment horizontal="center"/>
      <protection locked="0"/>
    </xf>
    <xf numFmtId="2" fontId="10" fillId="0" borderId="29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70" fillId="7" borderId="14" xfId="0" applyNumberFormat="1" applyFont="1" applyFill="1" applyBorder="1" applyAlignment="1" applyProtection="1">
      <alignment horizontal="center"/>
      <protection/>
    </xf>
    <xf numFmtId="2" fontId="71" fillId="8" borderId="14" xfId="0" applyNumberFormat="1" applyFont="1" applyFill="1" applyBorder="1" applyAlignment="1" applyProtection="1">
      <alignment horizontal="center"/>
      <protection/>
    </xf>
    <xf numFmtId="2" fontId="58" fillId="0" borderId="30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164" fontId="65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165" fontId="31" fillId="0" borderId="0" xfId="0" applyNumberFormat="1" applyFont="1" applyBorder="1" applyAlignment="1" applyProtection="1">
      <alignment horizontal="center"/>
      <protection/>
    </xf>
    <xf numFmtId="173" fontId="31" fillId="0" borderId="0" xfId="0" applyNumberFormat="1" applyFont="1" applyBorder="1" applyAlignment="1" applyProtection="1" quotePrefix="1">
      <alignment horizontal="center"/>
      <protection/>
    </xf>
    <xf numFmtId="7" fontId="34" fillId="0" borderId="0" xfId="0" applyNumberFormat="1" applyFont="1" applyFill="1" applyBorder="1" applyAlignment="1" applyProtection="1">
      <alignment horizontal="right"/>
      <protection/>
    </xf>
    <xf numFmtId="4" fontId="31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2" fillId="0" borderId="1" xfId="0" applyFont="1" applyFill="1" applyBorder="1" applyAlignment="1">
      <alignment horizontal="centerContinuous"/>
    </xf>
    <xf numFmtId="0" fontId="7" fillId="0" borderId="13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2" fillId="9" borderId="14" xfId="0" applyFont="1" applyFill="1" applyBorder="1" applyAlignment="1" applyProtection="1">
      <alignment horizontal="center" vertical="center"/>
      <protection/>
    </xf>
    <xf numFmtId="0" fontId="73" fillId="7" borderId="14" xfId="0" applyFont="1" applyFill="1" applyBorder="1" applyAlignment="1">
      <alignment horizontal="center" vertical="center" wrapText="1"/>
    </xf>
    <xf numFmtId="0" fontId="74" fillId="5" borderId="14" xfId="0" applyFont="1" applyFill="1" applyBorder="1" applyAlignment="1">
      <alignment horizontal="center" vertical="center" wrapText="1"/>
    </xf>
    <xf numFmtId="0" fontId="40" fillId="10" borderId="13" xfId="0" applyFont="1" applyFill="1" applyBorder="1" applyAlignment="1" applyProtection="1">
      <alignment horizontal="centerContinuous" vertical="center" wrapText="1"/>
      <protection/>
    </xf>
    <xf numFmtId="0" fontId="40" fillId="10" borderId="8" xfId="0" applyFont="1" applyFill="1" applyBorder="1" applyAlignment="1">
      <alignment horizontal="centerContinuous" vertical="center"/>
    </xf>
    <xf numFmtId="0" fontId="44" fillId="11" borderId="14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164" fontId="7" fillId="0" borderId="31" xfId="0" applyNumberFormat="1" applyFont="1" applyFill="1" applyBorder="1" applyAlignment="1" applyProtection="1">
      <alignment horizontal="center"/>
      <protection/>
    </xf>
    <xf numFmtId="0" fontId="36" fillId="2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3" fillId="9" borderId="31" xfId="0" applyFont="1" applyFill="1" applyBorder="1" applyAlignment="1">
      <alignment horizontal="center"/>
    </xf>
    <xf numFmtId="0" fontId="75" fillId="7" borderId="31" xfId="0" applyFont="1" applyFill="1" applyBorder="1" applyAlignment="1">
      <alignment horizontal="center"/>
    </xf>
    <xf numFmtId="0" fontId="76" fillId="5" borderId="31" xfId="0" applyFont="1" applyFill="1" applyBorder="1" applyAlignment="1">
      <alignment horizontal="center"/>
    </xf>
    <xf numFmtId="0" fontId="37" fillId="2" borderId="33" xfId="0" applyFont="1" applyFill="1" applyBorder="1" applyAlignment="1">
      <alignment horizontal="center"/>
    </xf>
    <xf numFmtId="0" fontId="37" fillId="2" borderId="34" xfId="0" applyFont="1" applyFill="1" applyBorder="1" applyAlignment="1">
      <alignment horizontal="center"/>
    </xf>
    <xf numFmtId="0" fontId="77" fillId="10" borderId="35" xfId="0" applyFont="1" applyFill="1" applyBorder="1" applyAlignment="1">
      <alignment horizontal="center"/>
    </xf>
    <xf numFmtId="0" fontId="77" fillId="10" borderId="36" xfId="0" applyFont="1" applyFill="1" applyBorder="1" applyAlignment="1">
      <alignment horizontal="center"/>
    </xf>
    <xf numFmtId="0" fontId="45" fillId="11" borderId="31" xfId="0" applyFont="1" applyFill="1" applyBorder="1" applyAlignment="1">
      <alignment horizontal="center"/>
    </xf>
    <xf numFmtId="0" fontId="78" fillId="7" borderId="31" xfId="0" applyFont="1" applyFill="1" applyBorder="1" applyAlignment="1">
      <alignment horizontal="center"/>
    </xf>
    <xf numFmtId="7" fontId="10" fillId="0" borderId="32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64" fontId="7" fillId="0" borderId="18" xfId="0" applyNumberFormat="1" applyFont="1" applyFill="1" applyBorder="1" applyAlignment="1" applyProtection="1">
      <alignment horizontal="center"/>
      <protection/>
    </xf>
    <xf numFmtId="0" fontId="36" fillId="2" borderId="1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3" fillId="9" borderId="18" xfId="0" applyFont="1" applyFill="1" applyBorder="1" applyAlignment="1">
      <alignment horizontal="center"/>
    </xf>
    <xf numFmtId="0" fontId="75" fillId="7" borderId="18" xfId="0" applyFont="1" applyFill="1" applyBorder="1" applyAlignment="1">
      <alignment horizontal="center"/>
    </xf>
    <xf numFmtId="0" fontId="76" fillId="5" borderId="18" xfId="0" applyFont="1" applyFill="1" applyBorder="1" applyAlignment="1">
      <alignment horizontal="center"/>
    </xf>
    <xf numFmtId="0" fontId="37" fillId="2" borderId="38" xfId="0" applyFont="1" applyFill="1" applyBorder="1" applyAlignment="1">
      <alignment horizontal="center"/>
    </xf>
    <xf numFmtId="0" fontId="37" fillId="2" borderId="39" xfId="0" applyFont="1" applyFill="1" applyBorder="1" applyAlignment="1">
      <alignment horizontal="center"/>
    </xf>
    <xf numFmtId="0" fontId="77" fillId="10" borderId="38" xfId="0" applyFont="1" applyFill="1" applyBorder="1" applyAlignment="1">
      <alignment horizontal="center"/>
    </xf>
    <xf numFmtId="0" fontId="77" fillId="10" borderId="39" xfId="0" applyFont="1" applyFill="1" applyBorder="1" applyAlignment="1">
      <alignment horizontal="center"/>
    </xf>
    <xf numFmtId="0" fontId="45" fillId="11" borderId="18" xfId="0" applyFont="1" applyFill="1" applyBorder="1" applyAlignment="1">
      <alignment horizontal="center"/>
    </xf>
    <xf numFmtId="0" fontId="78" fillId="7" borderId="18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1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 quotePrefix="1">
      <alignment horizontal="center"/>
      <protection locked="0"/>
    </xf>
    <xf numFmtId="174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3" fillId="9" borderId="2" xfId="0" applyNumberFormat="1" applyFont="1" applyFill="1" applyBorder="1" applyAlignment="1" applyProtection="1">
      <alignment horizontal="center"/>
      <protection/>
    </xf>
    <xf numFmtId="2" fontId="75" fillId="7" borderId="2" xfId="0" applyNumberFormat="1" applyFont="1" applyFill="1" applyBorder="1" applyAlignment="1">
      <alignment horizontal="center"/>
    </xf>
    <xf numFmtId="2" fontId="76" fillId="5" borderId="2" xfId="0" applyNumberFormat="1" applyFont="1" applyFill="1" applyBorder="1" applyAlignment="1">
      <alignment horizontal="center"/>
    </xf>
    <xf numFmtId="168" fontId="37" fillId="2" borderId="38" xfId="0" applyNumberFormat="1" applyFont="1" applyFill="1" applyBorder="1" applyAlignment="1" applyProtection="1" quotePrefix="1">
      <alignment horizontal="center"/>
      <protection/>
    </xf>
    <xf numFmtId="168" fontId="37" fillId="2" borderId="39" xfId="0" applyNumberFormat="1" applyFont="1" applyFill="1" applyBorder="1" applyAlignment="1" applyProtection="1" quotePrefix="1">
      <alignment horizontal="center"/>
      <protection/>
    </xf>
    <xf numFmtId="168" fontId="77" fillId="10" borderId="38" xfId="0" applyNumberFormat="1" applyFont="1" applyFill="1" applyBorder="1" applyAlignment="1" applyProtection="1" quotePrefix="1">
      <alignment horizontal="center"/>
      <protection/>
    </xf>
    <xf numFmtId="168" fontId="77" fillId="10" borderId="39" xfId="0" applyNumberFormat="1" applyFont="1" applyFill="1" applyBorder="1" applyAlignment="1" applyProtection="1" quotePrefix="1">
      <alignment horizontal="center"/>
      <protection/>
    </xf>
    <xf numFmtId="168" fontId="45" fillId="11" borderId="2" xfId="0" applyNumberFormat="1" applyFont="1" applyFill="1" applyBorder="1" applyAlignment="1" applyProtection="1" quotePrefix="1">
      <alignment horizontal="center"/>
      <protection/>
    </xf>
    <xf numFmtId="168" fontId="78" fillId="7" borderId="18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40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3" fillId="9" borderId="3" xfId="0" applyNumberFormat="1" applyFont="1" applyFill="1" applyBorder="1" applyAlignment="1" applyProtection="1">
      <alignment horizontal="center"/>
      <protection/>
    </xf>
    <xf numFmtId="2" fontId="75" fillId="7" borderId="3" xfId="0" applyNumberFormat="1" applyFont="1" applyFill="1" applyBorder="1" applyAlignment="1">
      <alignment horizontal="center"/>
    </xf>
    <xf numFmtId="2" fontId="76" fillId="5" borderId="3" xfId="0" applyNumberFormat="1" applyFont="1" applyFill="1" applyBorder="1" applyAlignment="1">
      <alignment horizontal="center"/>
    </xf>
    <xf numFmtId="168" fontId="37" fillId="2" borderId="41" xfId="0" applyNumberFormat="1" applyFont="1" applyFill="1" applyBorder="1" applyAlignment="1" applyProtection="1" quotePrefix="1">
      <alignment horizontal="center"/>
      <protection/>
    </xf>
    <xf numFmtId="168" fontId="37" fillId="2" borderId="42" xfId="0" applyNumberFormat="1" applyFont="1" applyFill="1" applyBorder="1" applyAlignment="1" applyProtection="1" quotePrefix="1">
      <alignment horizontal="center"/>
      <protection/>
    </xf>
    <xf numFmtId="168" fontId="77" fillId="10" borderId="26" xfId="0" applyNumberFormat="1" applyFont="1" applyFill="1" applyBorder="1" applyAlignment="1" applyProtection="1" quotePrefix="1">
      <alignment horizontal="center"/>
      <protection/>
    </xf>
    <xf numFmtId="168" fontId="77" fillId="10" borderId="28" xfId="0" applyNumberFormat="1" applyFont="1" applyFill="1" applyBorder="1" applyAlignment="1" applyProtection="1" quotePrefix="1">
      <alignment horizontal="center"/>
      <protection/>
    </xf>
    <xf numFmtId="168" fontId="45" fillId="11" borderId="3" xfId="0" applyNumberFormat="1" applyFont="1" applyFill="1" applyBorder="1" applyAlignment="1" applyProtection="1" quotePrefix="1">
      <alignment horizontal="center"/>
      <protection/>
    </xf>
    <xf numFmtId="168" fontId="78" fillId="7" borderId="3" xfId="0" applyNumberFormat="1" applyFont="1" applyFill="1" applyBorder="1" applyAlignment="1" applyProtection="1" quotePrefix="1">
      <alignment horizontal="center"/>
      <protection/>
    </xf>
    <xf numFmtId="168" fontId="63" fillId="0" borderId="19" xfId="0" applyNumberFormat="1" applyFont="1" applyFill="1" applyBorder="1" applyAlignment="1">
      <alignment horizontal="center"/>
    </xf>
    <xf numFmtId="168" fontId="28" fillId="0" borderId="43" xfId="0" applyNumberFormat="1" applyFont="1" applyFill="1" applyBorder="1" applyAlignment="1">
      <alignment horizontal="center"/>
    </xf>
    <xf numFmtId="4" fontId="75" fillId="7" borderId="14" xfId="0" applyNumberFormat="1" applyFont="1" applyFill="1" applyBorder="1" applyAlignment="1">
      <alignment horizontal="center"/>
    </xf>
    <xf numFmtId="4" fontId="76" fillId="5" borderId="14" xfId="0" applyNumberFormat="1" applyFont="1" applyFill="1" applyBorder="1" applyAlignment="1">
      <alignment horizontal="center"/>
    </xf>
    <xf numFmtId="4" fontId="37" fillId="2" borderId="44" xfId="0" applyNumberFormat="1" applyFont="1" applyFill="1" applyBorder="1" applyAlignment="1">
      <alignment horizontal="center"/>
    </xf>
    <xf numFmtId="4" fontId="37" fillId="2" borderId="8" xfId="0" applyNumberFormat="1" applyFont="1" applyFill="1" applyBorder="1" applyAlignment="1">
      <alignment horizontal="center"/>
    </xf>
    <xf numFmtId="4" fontId="77" fillId="10" borderId="44" xfId="0" applyNumberFormat="1" applyFont="1" applyFill="1" applyBorder="1" applyAlignment="1">
      <alignment horizontal="center"/>
    </xf>
    <xf numFmtId="4" fontId="77" fillId="10" borderId="45" xfId="0" applyNumberFormat="1" applyFont="1" applyFill="1" applyBorder="1" applyAlignment="1">
      <alignment horizontal="center"/>
    </xf>
    <xf numFmtId="4" fontId="45" fillId="11" borderId="14" xfId="0" applyNumberFormat="1" applyFont="1" applyFill="1" applyBorder="1" applyAlignment="1">
      <alignment horizontal="center"/>
    </xf>
    <xf numFmtId="4" fontId="78" fillId="7" borderId="14" xfId="0" applyNumberFormat="1" applyFont="1" applyFill="1" applyBorder="1" applyAlignment="1">
      <alignment horizontal="center"/>
    </xf>
    <xf numFmtId="7" fontId="79" fillId="0" borderId="14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1" fillId="0" borderId="7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2" fontId="31" fillId="0" borderId="0" xfId="0" applyNumberFormat="1" applyFont="1" applyFill="1" applyBorder="1" applyAlignment="1">
      <alignment/>
    </xf>
    <xf numFmtId="4" fontId="80" fillId="0" borderId="0" xfId="0" applyNumberFormat="1" applyFont="1" applyFill="1" applyBorder="1" applyAlignment="1">
      <alignment horizontal="center"/>
    </xf>
    <xf numFmtId="7" fontId="81" fillId="0" borderId="0" xfId="0" applyNumberFormat="1" applyFont="1" applyFill="1" applyBorder="1" applyAlignment="1">
      <alignment horizontal="right"/>
    </xf>
    <xf numFmtId="0" fontId="36" fillId="2" borderId="46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3" xfId="0" applyFont="1" applyBorder="1" applyAlignment="1" applyProtection="1">
      <alignment horizontal="left" vertical="center"/>
      <protection/>
    </xf>
    <xf numFmtId="174" fontId="0" fillId="0" borderId="8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4" fontId="0" fillId="0" borderId="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7" fillId="0" borderId="47" xfId="0" applyFont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8" fontId="7" fillId="0" borderId="47" xfId="0" applyNumberFormat="1" applyFont="1" applyBorder="1" applyAlignment="1" applyProtection="1">
      <alignment horizontal="center"/>
      <protection/>
    </xf>
    <xf numFmtId="164" fontId="7" fillId="0" borderId="47" xfId="0" applyNumberFormat="1" applyFont="1" applyBorder="1" applyAlignment="1" applyProtection="1">
      <alignment horizontal="center"/>
      <protection/>
    </xf>
    <xf numFmtId="2" fontId="58" fillId="0" borderId="47" xfId="0" applyNumberFormat="1" applyFont="1" applyBorder="1" applyAlignment="1">
      <alignment horizontal="center"/>
    </xf>
    <xf numFmtId="168" fontId="9" fillId="0" borderId="47" xfId="0" applyNumberFormat="1" applyFont="1" applyBorder="1" applyAlignment="1" applyProtection="1" quotePrefix="1">
      <alignment horizontal="center"/>
      <protection/>
    </xf>
    <xf numFmtId="168" fontId="7" fillId="0" borderId="47" xfId="0" applyNumberFormat="1" applyFont="1" applyBorder="1" applyAlignment="1">
      <alignment horizontal="center"/>
    </xf>
    <xf numFmtId="168" fontId="63" fillId="0" borderId="47" xfId="0" applyNumberFormat="1" applyFont="1" applyFill="1" applyBorder="1" applyAlignment="1">
      <alignment horizontal="center"/>
    </xf>
    <xf numFmtId="0" fontId="27" fillId="0" borderId="8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  <protection/>
    </xf>
    <xf numFmtId="0" fontId="40" fillId="10" borderId="14" xfId="0" applyFont="1" applyFill="1" applyBorder="1" applyAlignment="1">
      <alignment horizontal="center" vertical="center" wrapText="1"/>
    </xf>
    <xf numFmtId="0" fontId="60" fillId="5" borderId="8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3" fillId="4" borderId="20" xfId="0" applyFont="1" applyFill="1" applyBorder="1" applyAlignment="1" applyProtection="1">
      <alignment horizontal="center"/>
      <protection/>
    </xf>
    <xf numFmtId="0" fontId="77" fillId="10" borderId="20" xfId="0" applyFont="1" applyFill="1" applyBorder="1" applyAlignment="1" applyProtection="1">
      <alignment horizontal="center"/>
      <protection/>
    </xf>
    <xf numFmtId="168" fontId="62" fillId="5" borderId="33" xfId="0" applyNumberFormat="1" applyFont="1" applyFill="1" applyBorder="1" applyAlignment="1" applyProtection="1" quotePrefix="1">
      <alignment horizontal="center"/>
      <protection/>
    </xf>
    <xf numFmtId="168" fontId="62" fillId="5" borderId="34" xfId="0" applyNumberFormat="1" applyFont="1" applyFill="1" applyBorder="1" applyAlignment="1" applyProtection="1" quotePrefix="1">
      <alignment horizontal="center"/>
      <protection/>
    </xf>
    <xf numFmtId="168" fontId="46" fillId="3" borderId="20" xfId="0" applyNumberFormat="1" applyFont="1" applyFill="1" applyBorder="1" applyAlignment="1" applyProtection="1" quotePrefix="1">
      <alignment horizontal="center"/>
      <protection/>
    </xf>
    <xf numFmtId="7" fontId="82" fillId="0" borderId="2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36" fillId="2" borderId="21" xfId="0" applyFont="1" applyFill="1" applyBorder="1" applyAlignment="1" applyProtection="1">
      <alignment horizontal="center"/>
      <protection/>
    </xf>
    <xf numFmtId="0" fontId="43" fillId="4" borderId="2" xfId="0" applyFont="1" applyFill="1" applyBorder="1" applyAlignment="1" applyProtection="1">
      <alignment horizontal="center"/>
      <protection/>
    </xf>
    <xf numFmtId="0" fontId="77" fillId="10" borderId="2" xfId="0" applyFont="1" applyFill="1" applyBorder="1" applyAlignment="1" applyProtection="1">
      <alignment horizontal="center"/>
      <protection/>
    </xf>
    <xf numFmtId="168" fontId="62" fillId="5" borderId="48" xfId="0" applyNumberFormat="1" applyFont="1" applyFill="1" applyBorder="1" applyAlignment="1" applyProtection="1" quotePrefix="1">
      <alignment horizontal="center"/>
      <protection/>
    </xf>
    <xf numFmtId="168" fontId="46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43" fillId="4" borderId="2" xfId="0" applyNumberFormat="1" applyFont="1" applyFill="1" applyBorder="1" applyAlignment="1" applyProtection="1">
      <alignment horizontal="center"/>
      <protection locked="0"/>
    </xf>
    <xf numFmtId="2" fontId="77" fillId="10" borderId="2" xfId="0" applyNumberFormat="1" applyFont="1" applyFill="1" applyBorder="1" applyAlignment="1" applyProtection="1">
      <alignment horizontal="center"/>
      <protection locked="0"/>
    </xf>
    <xf numFmtId="168" fontId="62" fillId="5" borderId="22" xfId="0" applyNumberFormat="1" applyFont="1" applyFill="1" applyBorder="1" applyAlignment="1" applyProtection="1" quotePrefix="1">
      <alignment horizontal="center"/>
      <protection locked="0"/>
    </xf>
    <xf numFmtId="168" fontId="62" fillId="5" borderId="48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68" fontId="7" fillId="0" borderId="19" xfId="0" applyNumberFormat="1" applyFont="1" applyBorder="1" applyAlignment="1" applyProtection="1">
      <alignment horizontal="center"/>
      <protection locked="0"/>
    </xf>
    <xf numFmtId="168" fontId="7" fillId="0" borderId="19" xfId="0" applyNumberFormat="1" applyFont="1" applyBorder="1" applyAlignment="1" applyProtection="1">
      <alignment horizontal="center"/>
      <protection/>
    </xf>
    <xf numFmtId="164" fontId="43" fillId="4" borderId="3" xfId="0" applyNumberFormat="1" applyFont="1" applyFill="1" applyBorder="1" applyAlignment="1" applyProtection="1">
      <alignment horizontal="center"/>
      <protection locked="0"/>
    </xf>
    <xf numFmtId="2" fontId="77" fillId="10" borderId="3" xfId="0" applyNumberFormat="1" applyFont="1" applyFill="1" applyBorder="1" applyAlignment="1" applyProtection="1">
      <alignment horizontal="center"/>
      <protection locked="0"/>
    </xf>
    <xf numFmtId="168" fontId="62" fillId="5" borderId="26" xfId="0" applyNumberFormat="1" applyFont="1" applyFill="1" applyBorder="1" applyAlignment="1" applyProtection="1" quotePrefix="1">
      <alignment horizontal="center"/>
      <protection locked="0"/>
    </xf>
    <xf numFmtId="168" fontId="62" fillId="5" borderId="28" xfId="0" applyNumberFormat="1" applyFont="1" applyFill="1" applyBorder="1" applyAlignment="1" applyProtection="1" quotePrefix="1">
      <alignment horizontal="center"/>
      <protection locked="0"/>
    </xf>
    <xf numFmtId="7" fontId="28" fillId="0" borderId="29" xfId="0" applyNumberFormat="1" applyFont="1" applyFill="1" applyBorder="1" applyAlignment="1">
      <alignment horizontal="right"/>
    </xf>
    <xf numFmtId="4" fontId="77" fillId="10" borderId="14" xfId="0" applyNumberFormat="1" applyFont="1" applyFill="1" applyBorder="1" applyAlignment="1">
      <alignment horizontal="center"/>
    </xf>
    <xf numFmtId="4" fontId="62" fillId="5" borderId="44" xfId="0" applyNumberFormat="1" applyFont="1" applyFill="1" applyBorder="1" applyAlignment="1">
      <alignment horizontal="center"/>
    </xf>
    <xf numFmtId="4" fontId="62" fillId="5" borderId="45" xfId="0" applyNumberFormat="1" applyFont="1" applyFill="1" applyBorder="1" applyAlignment="1">
      <alignment horizontal="center"/>
    </xf>
    <xf numFmtId="4" fontId="46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31" fillId="0" borderId="1" xfId="0" applyFont="1" applyBorder="1" applyAlignment="1">
      <alignment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2" fontId="58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 applyProtection="1" quotePrefix="1">
      <alignment horizontal="center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168" fontId="51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7" fillId="7" borderId="14" xfId="0" applyFont="1" applyFill="1" applyBorder="1" applyAlignment="1">
      <alignment horizontal="center" vertical="center" wrapText="1"/>
    </xf>
    <xf numFmtId="0" fontId="44" fillId="12" borderId="13" xfId="0" applyFont="1" applyFill="1" applyBorder="1" applyAlignment="1" applyProtection="1">
      <alignment horizontal="centerContinuous" vertical="center" wrapText="1"/>
      <protection/>
    </xf>
    <xf numFmtId="0" fontId="44" fillId="12" borderId="8" xfId="0" applyFont="1" applyFill="1" applyBorder="1" applyAlignment="1">
      <alignment horizontal="centerContinuous" vertical="center"/>
    </xf>
    <xf numFmtId="0" fontId="48" fillId="5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84" fillId="7" borderId="31" xfId="0" applyFont="1" applyFill="1" applyBorder="1" applyAlignment="1">
      <alignment horizontal="center"/>
    </xf>
    <xf numFmtId="0" fontId="45" fillId="12" borderId="33" xfId="0" applyFont="1" applyFill="1" applyBorder="1" applyAlignment="1">
      <alignment horizontal="center"/>
    </xf>
    <xf numFmtId="0" fontId="45" fillId="12" borderId="34" xfId="0" applyFont="1" applyFill="1" applyBorder="1" applyAlignment="1">
      <alignment horizontal="center"/>
    </xf>
    <xf numFmtId="0" fontId="49" fillId="5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7" fontId="29" fillId="0" borderId="31" xfId="0" applyNumberFormat="1" applyFont="1" applyFill="1" applyBorder="1" applyAlignment="1">
      <alignment horizontal="center"/>
    </xf>
    <xf numFmtId="0" fontId="12" fillId="0" borderId="24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168" fontId="36" fillId="2" borderId="18" xfId="0" applyNumberFormat="1" applyFont="1" applyFill="1" applyBorder="1" applyAlignment="1" applyProtection="1">
      <alignment horizontal="center"/>
      <protection/>
    </xf>
    <xf numFmtId="22" fontId="7" fillId="0" borderId="38" xfId="0" applyNumberFormat="1" applyFont="1" applyBorder="1" applyAlignment="1">
      <alignment horizontal="center"/>
    </xf>
    <xf numFmtId="22" fontId="7" fillId="0" borderId="51" xfId="0" applyNumberFormat="1" applyFont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 quotePrefix="1">
      <alignment horizontal="center"/>
      <protection/>
    </xf>
    <xf numFmtId="164" fontId="7" fillId="0" borderId="18" xfId="0" applyNumberFormat="1" applyFont="1" applyFill="1" applyBorder="1" applyAlignment="1" applyProtection="1" quotePrefix="1">
      <alignment horizontal="center"/>
      <protection/>
    </xf>
    <xf numFmtId="168" fontId="7" fillId="0" borderId="37" xfId="0" applyNumberFormat="1" applyFont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"/>
      <protection/>
    </xf>
    <xf numFmtId="164" fontId="36" fillId="2" borderId="24" xfId="0" applyNumberFormat="1" applyFont="1" applyFill="1" applyBorder="1" applyAlignment="1" applyProtection="1">
      <alignment horizontal="center"/>
      <protection/>
    </xf>
    <xf numFmtId="2" fontId="84" fillId="7" borderId="18" xfId="0" applyNumberFormat="1" applyFont="1" applyFill="1" applyBorder="1" applyAlignment="1">
      <alignment horizontal="center"/>
    </xf>
    <xf numFmtId="168" fontId="45" fillId="12" borderId="38" xfId="0" applyNumberFormat="1" applyFont="1" applyFill="1" applyBorder="1" applyAlignment="1" applyProtection="1" quotePrefix="1">
      <alignment horizontal="center"/>
      <protection/>
    </xf>
    <xf numFmtId="168" fontId="45" fillId="12" borderId="39" xfId="0" applyNumberFormat="1" applyFont="1" applyFill="1" applyBorder="1" applyAlignment="1" applyProtection="1" quotePrefix="1">
      <alignment horizontal="center"/>
      <protection/>
    </xf>
    <xf numFmtId="168" fontId="49" fillId="5" borderId="18" xfId="0" applyNumberFormat="1" applyFont="1" applyFill="1" applyBorder="1" applyAlignment="1" applyProtection="1" quotePrefix="1">
      <alignment horizontal="center"/>
      <protection/>
    </xf>
    <xf numFmtId="168" fontId="29" fillId="0" borderId="18" xfId="0" applyNumberFormat="1" applyFont="1" applyFill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64" fontId="36" fillId="2" borderId="47" xfId="0" applyNumberFormat="1" applyFont="1" applyFill="1" applyBorder="1" applyAlignment="1" applyProtection="1">
      <alignment horizontal="center"/>
      <protection locked="0"/>
    </xf>
    <xf numFmtId="2" fontId="84" fillId="7" borderId="2" xfId="0" applyNumberFormat="1" applyFont="1" applyFill="1" applyBorder="1" applyAlignment="1" applyProtection="1">
      <alignment horizontal="center"/>
      <protection locked="0"/>
    </xf>
    <xf numFmtId="168" fontId="45" fillId="12" borderId="38" xfId="0" applyNumberFormat="1" applyFont="1" applyFill="1" applyBorder="1" applyAlignment="1" applyProtection="1" quotePrefix="1">
      <alignment horizontal="center"/>
      <protection locked="0"/>
    </xf>
    <xf numFmtId="168" fontId="45" fillId="12" borderId="39" xfId="0" applyNumberFormat="1" applyFont="1" applyFill="1" applyBorder="1" applyAlignment="1" applyProtection="1" quotePrefix="1">
      <alignment horizontal="center"/>
      <protection locked="0"/>
    </xf>
    <xf numFmtId="168" fontId="49" fillId="5" borderId="18" xfId="0" applyNumberFormat="1" applyFont="1" applyFill="1" applyBorder="1" applyAlignment="1" applyProtection="1" quotePrefix="1">
      <alignment horizontal="center"/>
      <protection locked="0"/>
    </xf>
    <xf numFmtId="2" fontId="7" fillId="0" borderId="52" xfId="0" applyNumberFormat="1" applyFont="1" applyFill="1" applyBorder="1" applyAlignment="1" applyProtection="1" quotePrefix="1">
      <alignment horizontal="center"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64" fontId="36" fillId="2" borderId="23" xfId="0" applyNumberFormat="1" applyFont="1" applyFill="1" applyBorder="1" applyAlignment="1" applyProtection="1">
      <alignment horizontal="center"/>
      <protection locked="0"/>
    </xf>
    <xf numFmtId="2" fontId="84" fillId="7" borderId="3" xfId="0" applyNumberFormat="1" applyFont="1" applyFill="1" applyBorder="1" applyAlignment="1" applyProtection="1">
      <alignment horizontal="center"/>
      <protection locked="0"/>
    </xf>
    <xf numFmtId="168" fontId="45" fillId="12" borderId="41" xfId="0" applyNumberFormat="1" applyFont="1" applyFill="1" applyBorder="1" applyAlignment="1" applyProtection="1" quotePrefix="1">
      <alignment horizontal="center"/>
      <protection locked="0"/>
    </xf>
    <xf numFmtId="168" fontId="45" fillId="12" borderId="42" xfId="0" applyNumberFormat="1" applyFont="1" applyFill="1" applyBorder="1" applyAlignment="1" applyProtection="1" quotePrefix="1">
      <alignment horizontal="center"/>
      <protection locked="0"/>
    </xf>
    <xf numFmtId="168" fontId="49" fillId="5" borderId="3" xfId="0" applyNumberFormat="1" applyFont="1" applyFill="1" applyBorder="1" applyAlignment="1" applyProtection="1" quotePrefix="1">
      <alignment horizontal="center"/>
      <protection locked="0"/>
    </xf>
    <xf numFmtId="168" fontId="29" fillId="0" borderId="29" xfId="0" applyNumberFormat="1" applyFont="1" applyFill="1" applyBorder="1" applyAlignment="1">
      <alignment horizontal="center"/>
    </xf>
    <xf numFmtId="4" fontId="84" fillId="7" borderId="14" xfId="0" applyNumberFormat="1" applyFont="1" applyFill="1" applyBorder="1" applyAlignment="1">
      <alignment horizontal="center"/>
    </xf>
    <xf numFmtId="4" fontId="45" fillId="12" borderId="44" xfId="0" applyNumberFormat="1" applyFont="1" applyFill="1" applyBorder="1" applyAlignment="1">
      <alignment horizontal="center"/>
    </xf>
    <xf numFmtId="4" fontId="45" fillId="12" borderId="8" xfId="0" applyNumberFormat="1" applyFont="1" applyFill="1" applyBorder="1" applyAlignment="1">
      <alignment horizontal="center"/>
    </xf>
    <xf numFmtId="4" fontId="49" fillId="5" borderId="14" xfId="0" applyNumberFormat="1" applyFont="1" applyFill="1" applyBorder="1" applyAlignment="1">
      <alignment horizontal="center"/>
    </xf>
    <xf numFmtId="0" fontId="7" fillId="0" borderId="53" xfId="0" applyFont="1" applyBorder="1" applyAlignment="1">
      <alignment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85" fillId="13" borderId="14" xfId="0" applyNumberFormat="1" applyFont="1" applyFill="1" applyBorder="1" applyAlignment="1" applyProtection="1">
      <alignment horizontal="center" vertical="center"/>
      <protection/>
    </xf>
    <xf numFmtId="0" fontId="56" fillId="4" borderId="14" xfId="0" applyFont="1" applyFill="1" applyBorder="1" applyAlignment="1" applyProtection="1">
      <alignment horizontal="center" vertical="center"/>
      <protection/>
    </xf>
    <xf numFmtId="0" fontId="60" fillId="5" borderId="14" xfId="0" applyFont="1" applyFill="1" applyBorder="1" applyAlignment="1">
      <alignment horizontal="center" vertical="center" wrapText="1"/>
    </xf>
    <xf numFmtId="0" fontId="48" fillId="14" borderId="13" xfId="0" applyFont="1" applyFill="1" applyBorder="1" applyAlignment="1">
      <alignment horizontal="centerContinuous" vertical="center" wrapText="1"/>
    </xf>
    <xf numFmtId="0" fontId="87" fillId="14" borderId="15" xfId="0" applyFont="1" applyFill="1" applyBorder="1" applyAlignment="1">
      <alignment horizontal="centerContinuous"/>
    </xf>
    <xf numFmtId="0" fontId="48" fillId="14" borderId="8" xfId="0" applyFont="1" applyFill="1" applyBorder="1" applyAlignment="1">
      <alignment horizontal="centerContinuous" vertical="center"/>
    </xf>
    <xf numFmtId="7" fontId="10" fillId="0" borderId="20" xfId="0" applyNumberFormat="1" applyFont="1" applyBorder="1" applyAlignment="1">
      <alignment/>
    </xf>
    <xf numFmtId="0" fontId="86" fillId="13" borderId="2" xfId="0" applyFont="1" applyFill="1" applyBorder="1" applyAlignment="1">
      <alignment/>
    </xf>
    <xf numFmtId="0" fontId="57" fillId="4" borderId="2" xfId="0" applyFont="1" applyFill="1" applyBorder="1" applyAlignment="1">
      <alignment/>
    </xf>
    <xf numFmtId="0" fontId="88" fillId="3" borderId="2" xfId="0" applyFont="1" applyFill="1" applyBorder="1" applyAlignment="1">
      <alignment/>
    </xf>
    <xf numFmtId="0" fontId="61" fillId="5" borderId="4" xfId="0" applyFont="1" applyFill="1" applyBorder="1" applyAlignment="1">
      <alignment/>
    </xf>
    <xf numFmtId="168" fontId="9" fillId="2" borderId="22" xfId="0" applyNumberFormat="1" applyFont="1" applyFill="1" applyBorder="1" applyAlignment="1" applyProtection="1" quotePrefix="1">
      <alignment horizontal="center"/>
      <protection/>
    </xf>
    <xf numFmtId="168" fontId="9" fillId="2" borderId="25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89" fillId="14" borderId="22" xfId="0" applyNumberFormat="1" applyFont="1" applyFill="1" applyBorder="1" applyAlignment="1" applyProtection="1" quotePrefix="1">
      <alignment horizontal="center"/>
      <protection/>
    </xf>
    <xf numFmtId="168" fontId="89" fillId="14" borderId="25" xfId="0" applyNumberFormat="1" applyFont="1" applyFill="1" applyBorder="1" applyAlignment="1" applyProtection="1" quotePrefix="1">
      <alignment horizontal="center"/>
      <protection/>
    </xf>
    <xf numFmtId="4" fontId="89" fillId="14" borderId="4" xfId="0" applyNumberFormat="1" applyFont="1" applyFill="1" applyBorder="1" applyAlignment="1" applyProtection="1">
      <alignment horizontal="center"/>
      <protection/>
    </xf>
    <xf numFmtId="0" fontId="86" fillId="13" borderId="2" xfId="0" applyFont="1" applyFill="1" applyBorder="1" applyAlignment="1" applyProtection="1">
      <alignment horizontal="center"/>
      <protection/>
    </xf>
    <xf numFmtId="174" fontId="57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4" xfId="0" applyNumberFormat="1" applyFont="1" applyFill="1" applyBorder="1" applyAlignment="1" applyProtection="1">
      <alignment horizontal="center"/>
      <protection locked="0"/>
    </xf>
    <xf numFmtId="2" fontId="45" fillId="3" borderId="2" xfId="0" applyNumberFormat="1" applyFont="1" applyFill="1" applyBorder="1" applyAlignment="1" applyProtection="1">
      <alignment horizontal="center"/>
      <protection locked="0"/>
    </xf>
    <xf numFmtId="2" fontId="62" fillId="5" borderId="4" xfId="0" applyNumberFormat="1" applyFont="1" applyFill="1" applyBorder="1" applyAlignment="1" applyProtection="1">
      <alignment horizontal="center"/>
      <protection locked="0"/>
    </xf>
    <xf numFmtId="168" fontId="49" fillId="14" borderId="22" xfId="0" applyNumberFormat="1" applyFont="1" applyFill="1" applyBorder="1" applyAlignment="1" applyProtection="1" quotePrefix="1">
      <alignment horizontal="center"/>
      <protection locked="0"/>
    </xf>
    <xf numFmtId="168" fontId="49" fillId="14" borderId="25" xfId="0" applyNumberFormat="1" applyFont="1" applyFill="1" applyBorder="1" applyAlignment="1" applyProtection="1" quotePrefix="1">
      <alignment horizontal="center"/>
      <protection locked="0"/>
    </xf>
    <xf numFmtId="4" fontId="49" fillId="14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1" applyFont="1" applyFill="1" applyBorder="1" applyAlignment="1" applyProtection="1">
      <alignment horizontal="center"/>
      <protection locked="0"/>
    </xf>
    <xf numFmtId="164" fontId="7" fillId="0" borderId="2" xfId="21" applyNumberFormat="1" applyFont="1" applyFill="1" applyBorder="1" applyAlignment="1" applyProtection="1">
      <alignment horizontal="center"/>
      <protection locked="0"/>
    </xf>
    <xf numFmtId="22" fontId="7" fillId="0" borderId="4" xfId="21" applyNumberFormat="1" applyFont="1" applyFill="1" applyBorder="1" applyAlignment="1" applyProtection="1">
      <alignment horizontal="center"/>
      <protection locked="0"/>
    </xf>
    <xf numFmtId="22" fontId="7" fillId="0" borderId="21" xfId="21" applyNumberFormat="1" applyFont="1" applyFill="1" applyBorder="1" applyAlignment="1" applyProtection="1">
      <alignment horizontal="center"/>
      <protection locked="0"/>
    </xf>
    <xf numFmtId="0" fontId="86" fillId="13" borderId="3" xfId="0" applyFont="1" applyFill="1" applyBorder="1" applyAlignment="1" applyProtection="1">
      <alignment horizontal="center"/>
      <protection/>
    </xf>
    <xf numFmtId="174" fontId="57" fillId="4" borderId="3" xfId="0" applyNumberFormat="1" applyFont="1" applyFill="1" applyBorder="1" applyAlignment="1" applyProtection="1">
      <alignment horizontal="center"/>
      <protection/>
    </xf>
    <xf numFmtId="2" fontId="88" fillId="3" borderId="3" xfId="0" applyNumberFormat="1" applyFont="1" applyFill="1" applyBorder="1" applyAlignment="1" applyProtection="1">
      <alignment horizontal="center"/>
      <protection locked="0"/>
    </xf>
    <xf numFmtId="2" fontId="62" fillId="5" borderId="3" xfId="0" applyNumberFormat="1" applyFont="1" applyFill="1" applyBorder="1" applyAlignment="1" applyProtection="1">
      <alignment horizontal="center"/>
      <protection locked="0"/>
    </xf>
    <xf numFmtId="168" fontId="49" fillId="14" borderId="26" xfId="0" applyNumberFormat="1" applyFont="1" applyFill="1" applyBorder="1" applyAlignment="1" applyProtection="1" quotePrefix="1">
      <alignment horizontal="center"/>
      <protection locked="0"/>
    </xf>
    <xf numFmtId="168" fontId="49" fillId="14" borderId="27" xfId="0" applyNumberFormat="1" applyFont="1" applyFill="1" applyBorder="1" applyAlignment="1" applyProtection="1" quotePrefix="1">
      <alignment horizontal="center"/>
      <protection locked="0"/>
    </xf>
    <xf numFmtId="4" fontId="49" fillId="14" borderId="28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5" fillId="3" borderId="14" xfId="0" applyNumberFormat="1" applyFont="1" applyFill="1" applyBorder="1" applyAlignment="1" applyProtection="1">
      <alignment horizontal="center"/>
      <protection/>
    </xf>
    <xf numFmtId="2" fontId="62" fillId="5" borderId="14" xfId="0" applyNumberFormat="1" applyFont="1" applyFill="1" applyBorder="1" applyAlignment="1" applyProtection="1">
      <alignment horizontal="center"/>
      <protection/>
    </xf>
    <xf numFmtId="2" fontId="37" fillId="2" borderId="14" xfId="0" applyNumberFormat="1" applyFont="1" applyFill="1" applyBorder="1" applyAlignment="1" applyProtection="1">
      <alignment horizontal="center"/>
      <protection/>
    </xf>
    <xf numFmtId="2" fontId="49" fillId="14" borderId="14" xfId="0" applyNumberFormat="1" applyFont="1" applyFill="1" applyBorder="1" applyAlignment="1" applyProtection="1">
      <alignment horizontal="center"/>
      <protection/>
    </xf>
    <xf numFmtId="0" fontId="22" fillId="0" borderId="12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86" fillId="0" borderId="20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88" fillId="0" borderId="20" xfId="0" applyFont="1" applyFill="1" applyBorder="1" applyAlignment="1">
      <alignment/>
    </xf>
    <xf numFmtId="0" fontId="61" fillId="0" borderId="2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89" fillId="0" borderId="33" xfId="0" applyFont="1" applyFill="1" applyBorder="1" applyAlignment="1">
      <alignment/>
    </xf>
    <xf numFmtId="0" fontId="89" fillId="0" borderId="54" xfId="0" applyFont="1" applyFill="1" applyBorder="1" applyAlignment="1">
      <alignment/>
    </xf>
    <xf numFmtId="0" fontId="89" fillId="0" borderId="34" xfId="0" applyFont="1" applyFill="1" applyBorder="1" applyAlignment="1">
      <alignment/>
    </xf>
    <xf numFmtId="0" fontId="68" fillId="0" borderId="20" xfId="0" applyFont="1" applyFill="1" applyBorder="1" applyAlignment="1">
      <alignment/>
    </xf>
    <xf numFmtId="0" fontId="69" fillId="0" borderId="20" xfId="0" applyFont="1" applyFill="1" applyBorder="1" applyAlignment="1">
      <alignment/>
    </xf>
    <xf numFmtId="22" fontId="7" fillId="0" borderId="20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13" xfId="0" applyNumberFormat="1" applyFont="1" applyBorder="1" applyAlignment="1">
      <alignment horizontal="centerContinuous"/>
    </xf>
    <xf numFmtId="170" fontId="7" fillId="0" borderId="20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1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/>
    </xf>
    <xf numFmtId="174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 applyProtection="1">
      <alignment horizontal="center"/>
      <protection/>
    </xf>
    <xf numFmtId="2" fontId="15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7" fillId="0" borderId="5" xfId="0" applyNumberFormat="1" applyFont="1" applyFill="1" applyBorder="1" applyAlignment="1">
      <alignment/>
    </xf>
    <xf numFmtId="2" fontId="20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Border="1" applyAlignment="1">
      <alignment/>
    </xf>
    <xf numFmtId="2" fontId="27" fillId="0" borderId="13" xfId="0" applyNumberFormat="1" applyFont="1" applyBorder="1" applyAlignment="1" applyProtection="1">
      <alignment horizontal="center" vertical="center" wrapText="1"/>
      <protection/>
    </xf>
    <xf numFmtId="2" fontId="7" fillId="0" borderId="20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7" fillId="0" borderId="4" xfId="0" applyNumberFormat="1" applyFont="1" applyBorder="1" applyAlignment="1" applyProtection="1" quotePrefix="1">
      <alignment horizontal="center"/>
      <protection locked="0"/>
    </xf>
    <xf numFmtId="2" fontId="7" fillId="0" borderId="3" xfId="0" applyNumberFormat="1" applyFont="1" applyBorder="1" applyAlignment="1" applyProtection="1" quotePrefix="1">
      <alignment horizontal="center"/>
      <protection locked="0"/>
    </xf>
    <xf numFmtId="2" fontId="31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7" fillId="0" borderId="1" xfId="0" applyNumberFormat="1" applyFont="1" applyFill="1" applyBorder="1" applyAlignment="1">
      <alignment/>
    </xf>
    <xf numFmtId="0" fontId="7" fillId="0" borderId="55" xfId="0" applyFont="1" applyFill="1" applyBorder="1" applyAlignment="1">
      <alignment horizontal="right"/>
    </xf>
    <xf numFmtId="168" fontId="63" fillId="0" borderId="0" xfId="0" applyNumberFormat="1" applyFont="1" applyFill="1" applyBorder="1" applyAlignment="1">
      <alignment horizontal="center"/>
    </xf>
    <xf numFmtId="0" fontId="4" fillId="0" borderId="13" xfId="21" applyFont="1" applyBorder="1" applyAlignment="1">
      <alignment horizontal="left" vertical="center"/>
      <protection/>
    </xf>
    <xf numFmtId="7" fontId="4" fillId="0" borderId="8" xfId="21" applyNumberFormat="1" applyFont="1" applyBorder="1" applyAlignment="1">
      <alignment horizontal="centerContinuous" vertical="center"/>
      <protection/>
    </xf>
    <xf numFmtId="168" fontId="7" fillId="0" borderId="0" xfId="21" applyNumberFormat="1" applyFont="1" applyBorder="1" applyAlignment="1" applyProtection="1">
      <alignment horizontal="center"/>
      <protection locked="0"/>
    </xf>
    <xf numFmtId="0" fontId="7" fillId="0" borderId="0" xfId="21" applyFont="1" applyBorder="1" applyAlignment="1" applyProtection="1" quotePrefix="1">
      <alignment horizontal="center"/>
      <protection locked="0"/>
    </xf>
    <xf numFmtId="22" fontId="7" fillId="0" borderId="0" xfId="21" applyNumberFormat="1" applyFont="1" applyBorder="1" applyAlignment="1" applyProtection="1">
      <alignment horizontal="center"/>
      <protection locked="0"/>
    </xf>
    <xf numFmtId="0" fontId="27" fillId="0" borderId="14" xfId="21" applyFont="1" applyBorder="1" applyAlignment="1">
      <alignment horizontal="center" vertical="center"/>
      <protection/>
    </xf>
    <xf numFmtId="0" fontId="27" fillId="0" borderId="14" xfId="21" applyFont="1" applyBorder="1" applyAlignment="1" applyProtection="1">
      <alignment horizontal="center" vertical="center"/>
      <protection/>
    </xf>
    <xf numFmtId="0" fontId="27" fillId="0" borderId="14" xfId="21" applyFont="1" applyBorder="1" applyAlignment="1" applyProtection="1">
      <alignment horizontal="center" vertical="center" wrapText="1"/>
      <protection/>
    </xf>
    <xf numFmtId="0" fontId="27" fillId="0" borderId="13" xfId="21" applyFont="1" applyBorder="1" applyAlignment="1" applyProtection="1">
      <alignment horizontal="center" vertical="center"/>
      <protection/>
    </xf>
    <xf numFmtId="0" fontId="27" fillId="0" borderId="14" xfId="21" applyFont="1" applyBorder="1" applyAlignment="1">
      <alignment horizontal="center" vertical="center" wrapText="1"/>
      <protection/>
    </xf>
    <xf numFmtId="0" fontId="7" fillId="0" borderId="46" xfId="21" applyFont="1" applyBorder="1" applyAlignment="1" applyProtection="1">
      <alignment horizontal="center"/>
      <protection locked="0"/>
    </xf>
    <xf numFmtId="0" fontId="7" fillId="0" borderId="49" xfId="21" applyFont="1" applyBorder="1" applyAlignment="1" applyProtection="1">
      <alignment horizontal="center"/>
      <protection locked="0"/>
    </xf>
    <xf numFmtId="0" fontId="7" fillId="0" borderId="49" xfId="21" applyFont="1" applyBorder="1" applyAlignment="1" applyProtection="1" quotePrefix="1">
      <alignment horizontal="center"/>
      <protection locked="0"/>
    </xf>
    <xf numFmtId="22" fontId="7" fillId="0" borderId="49" xfId="21" applyNumberFormat="1" applyFont="1" applyBorder="1" applyAlignment="1" applyProtection="1">
      <alignment horizontal="center"/>
      <protection locked="0"/>
    </xf>
    <xf numFmtId="4" fontId="7" fillId="6" borderId="46" xfId="21" applyNumberFormat="1" applyFont="1" applyFill="1" applyBorder="1" applyAlignment="1" applyProtection="1" quotePrefix="1">
      <alignment horizontal="center"/>
      <protection/>
    </xf>
    <xf numFmtId="164" fontId="7" fillId="6" borderId="46" xfId="21" applyNumberFormat="1" applyFont="1" applyFill="1" applyBorder="1" applyAlignment="1" applyProtection="1" quotePrefix="1">
      <alignment horizontal="center"/>
      <protection/>
    </xf>
    <xf numFmtId="168" fontId="7" fillId="0" borderId="46" xfId="21" applyNumberFormat="1" applyFont="1" applyBorder="1" applyAlignment="1" applyProtection="1">
      <alignment horizontal="center"/>
      <protection locked="0"/>
    </xf>
    <xf numFmtId="4" fontId="10" fillId="0" borderId="46" xfId="21" applyNumberFormat="1" applyFont="1" applyFill="1" applyBorder="1" applyAlignment="1">
      <alignment horizontal="right"/>
      <protection/>
    </xf>
    <xf numFmtId="0" fontId="7" fillId="0" borderId="37" xfId="21" applyFont="1" applyBorder="1" applyAlignment="1">
      <alignment horizontal="center"/>
      <protection/>
    </xf>
    <xf numFmtId="22" fontId="7" fillId="0" borderId="37" xfId="21" applyNumberFormat="1" applyFont="1" applyBorder="1" applyAlignment="1">
      <alignment horizontal="center"/>
      <protection/>
    </xf>
    <xf numFmtId="4" fontId="7" fillId="6" borderId="18" xfId="21" applyNumberFormat="1" applyFont="1" applyFill="1" applyBorder="1" applyAlignment="1" applyProtection="1" quotePrefix="1">
      <alignment horizontal="center"/>
      <protection/>
    </xf>
    <xf numFmtId="164" fontId="7" fillId="6" borderId="18" xfId="21" applyNumberFormat="1" applyFont="1" applyFill="1" applyBorder="1" applyAlignment="1" applyProtection="1" quotePrefix="1">
      <alignment horizontal="center"/>
      <protection/>
    </xf>
    <xf numFmtId="168" fontId="7" fillId="0" borderId="18" xfId="21" applyNumberFormat="1" applyFont="1" applyBorder="1" applyAlignment="1" applyProtection="1">
      <alignment horizontal="center"/>
      <protection locked="0"/>
    </xf>
    <xf numFmtId="7" fontId="10" fillId="0" borderId="2" xfId="19" applyNumberFormat="1" applyFont="1" applyFill="1" applyBorder="1" applyAlignment="1">
      <alignment horizontal="right"/>
    </xf>
    <xf numFmtId="0" fontId="7" fillId="0" borderId="40" xfId="21" applyFont="1" applyBorder="1" applyAlignment="1" applyProtection="1">
      <alignment horizontal="center"/>
      <protection locked="0"/>
    </xf>
    <xf numFmtId="0" fontId="7" fillId="0" borderId="56" xfId="21" applyFont="1" applyBorder="1" applyAlignment="1" applyProtection="1">
      <alignment horizontal="center"/>
      <protection locked="0"/>
    </xf>
    <xf numFmtId="0" fontId="7" fillId="0" borderId="56" xfId="21" applyFont="1" applyBorder="1" applyAlignment="1" applyProtection="1" quotePrefix="1">
      <alignment horizontal="center"/>
      <protection locked="0"/>
    </xf>
    <xf numFmtId="22" fontId="7" fillId="0" borderId="56" xfId="21" applyNumberFormat="1" applyFont="1" applyBorder="1" applyAlignment="1" applyProtection="1">
      <alignment horizontal="center"/>
      <protection locked="0"/>
    </xf>
    <xf numFmtId="22" fontId="7" fillId="0" borderId="57" xfId="21" applyNumberFormat="1" applyFont="1" applyBorder="1" applyAlignment="1" applyProtection="1">
      <alignment horizontal="center"/>
      <protection locked="0"/>
    </xf>
    <xf numFmtId="4" fontId="7" fillId="6" borderId="40" xfId="21" applyNumberFormat="1" applyFont="1" applyFill="1" applyBorder="1" applyAlignment="1" applyProtection="1" quotePrefix="1">
      <alignment horizontal="center"/>
      <protection/>
    </xf>
    <xf numFmtId="164" fontId="7" fillId="6" borderId="40" xfId="21" applyNumberFormat="1" applyFont="1" applyFill="1" applyBorder="1" applyAlignment="1" applyProtection="1" quotePrefix="1">
      <alignment horizontal="center"/>
      <protection/>
    </xf>
    <xf numFmtId="168" fontId="7" fillId="0" borderId="40" xfId="21" applyNumberFormat="1" applyFont="1" applyBorder="1" applyAlignment="1" applyProtection="1">
      <alignment horizontal="center"/>
      <protection locked="0"/>
    </xf>
    <xf numFmtId="4" fontId="10" fillId="0" borderId="40" xfId="21" applyNumberFormat="1" applyFont="1" applyFill="1" applyBorder="1" applyAlignment="1">
      <alignment horizontal="right"/>
      <protection/>
    </xf>
    <xf numFmtId="7" fontId="13" fillId="0" borderId="14" xfId="21" applyNumberFormat="1" applyFont="1" applyFill="1" applyBorder="1" applyAlignment="1">
      <alignment horizontal="right"/>
      <protection/>
    </xf>
    <xf numFmtId="7" fontId="10" fillId="0" borderId="18" xfId="19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7" fillId="0" borderId="55" xfId="0" applyFont="1" applyBorder="1" applyAlignment="1">
      <alignment/>
    </xf>
    <xf numFmtId="7" fontId="25" fillId="0" borderId="13" xfId="0" applyNumberFormat="1" applyFont="1" applyBorder="1" applyAlignment="1">
      <alignment horizontal="center"/>
    </xf>
    <xf numFmtId="7" fontId="25" fillId="0" borderId="8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1" fillId="0" borderId="0" xfId="21" applyFont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RA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48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23.140625" style="5" customWidth="1"/>
    <col min="10" max="10" width="29.8515625" style="5" bestFit="1" customWidth="1"/>
    <col min="11" max="11" width="12.28125" style="5" customWidth="1"/>
    <col min="12" max="12" width="15.7109375" style="5" customWidth="1"/>
    <col min="13" max="14" width="11.421875" style="5" customWidth="1"/>
    <col min="15" max="15" width="14.140625" style="5" customWidth="1"/>
    <col min="16" max="16" width="11.421875" style="5" customWidth="1"/>
    <col min="17" max="17" width="14.7109375" style="5" customWidth="1"/>
    <col min="18" max="18" width="11.421875" style="5" customWidth="1"/>
    <col min="19" max="19" width="12.00390625" style="5" customWidth="1"/>
    <col min="20" max="16384" width="11.421875" style="5" customWidth="1"/>
  </cols>
  <sheetData>
    <row r="1" spans="1:12" s="15" customFormat="1" ht="26.25">
      <c r="A1" s="533"/>
      <c r="B1" s="16"/>
      <c r="E1" s="51"/>
      <c r="L1" s="136"/>
    </row>
    <row r="2" spans="2:11" s="15" customFormat="1" ht="26.25">
      <c r="B2" s="16" t="s">
        <v>149</v>
      </c>
      <c r="C2" s="17"/>
      <c r="D2" s="18"/>
      <c r="E2" s="18"/>
      <c r="F2" s="18"/>
      <c r="G2" s="18"/>
      <c r="H2" s="18"/>
      <c r="I2" s="18"/>
      <c r="J2" s="18"/>
      <c r="K2" s="18"/>
    </row>
    <row r="3" spans="3:20" ht="12.75">
      <c r="C3"/>
      <c r="D3" s="19"/>
      <c r="E3" s="19"/>
      <c r="F3" s="19"/>
      <c r="G3" s="19"/>
      <c r="H3" s="19"/>
      <c r="I3" s="19"/>
      <c r="J3" s="19"/>
      <c r="K3" s="19"/>
      <c r="Q3" s="4"/>
      <c r="R3" s="4"/>
      <c r="S3" s="4"/>
      <c r="T3" s="4"/>
    </row>
    <row r="4" spans="1:20" s="22" customFormat="1" ht="11.25">
      <c r="A4" s="20" t="s">
        <v>1</v>
      </c>
      <c r="B4" s="2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s="22" customFormat="1" ht="11.25">
      <c r="A5" s="20" t="s">
        <v>2</v>
      </c>
      <c r="B5" s="2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2:20" s="15" customFormat="1" ht="11.25" customHeight="1">
      <c r="B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s="26" customFormat="1" ht="21">
      <c r="B7" s="77" t="s">
        <v>41</v>
      </c>
      <c r="C7" s="162"/>
      <c r="D7" s="163"/>
      <c r="E7" s="163"/>
      <c r="F7" s="164"/>
      <c r="G7" s="164"/>
      <c r="H7" s="164"/>
      <c r="I7" s="164"/>
      <c r="J7" s="164"/>
      <c r="K7" s="164"/>
      <c r="L7" s="27"/>
      <c r="M7" s="27"/>
      <c r="N7" s="27"/>
      <c r="O7" s="27"/>
      <c r="P7" s="27"/>
      <c r="Q7" s="27"/>
      <c r="R7" s="27"/>
      <c r="S7" s="27"/>
      <c r="T7" s="27"/>
    </row>
    <row r="8" spans="9:20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2:20" s="26" customFormat="1" ht="21">
      <c r="B9" s="77" t="s">
        <v>40</v>
      </c>
      <c r="C9" s="162"/>
      <c r="D9" s="163"/>
      <c r="E9" s="163"/>
      <c r="F9" s="163"/>
      <c r="G9" s="163"/>
      <c r="H9" s="163"/>
      <c r="I9" s="164"/>
      <c r="J9" s="164"/>
      <c r="K9" s="164"/>
      <c r="L9" s="27"/>
      <c r="M9" s="27"/>
      <c r="N9" s="27"/>
      <c r="O9" s="27"/>
      <c r="P9" s="27"/>
      <c r="Q9" s="27"/>
      <c r="R9" s="27"/>
      <c r="S9" s="27"/>
      <c r="T9" s="27"/>
    </row>
    <row r="10" spans="4:20" ht="12.75">
      <c r="D10" s="28"/>
      <c r="E10" s="2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2:20" s="26" customFormat="1" ht="20.25">
      <c r="B11" s="77" t="s">
        <v>119</v>
      </c>
      <c r="C11" s="165"/>
      <c r="D11" s="166"/>
      <c r="E11" s="166"/>
      <c r="F11" s="163"/>
      <c r="G11" s="163"/>
      <c r="H11" s="163"/>
      <c r="I11" s="164"/>
      <c r="J11" s="164"/>
      <c r="K11" s="164"/>
      <c r="L11" s="27"/>
      <c r="M11" s="27"/>
      <c r="N11" s="27"/>
      <c r="O11" s="27"/>
      <c r="P11" s="27"/>
      <c r="Q11" s="27"/>
      <c r="R11" s="27"/>
      <c r="S11" s="27"/>
      <c r="T11" s="27"/>
    </row>
    <row r="12" spans="4:20" s="29" customFormat="1" ht="16.5" thickBot="1">
      <c r="D12" s="3"/>
      <c r="E12" s="3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2:20" s="29" customFormat="1" ht="16.5" thickTop="1">
      <c r="B13" s="513"/>
      <c r="C13" s="31"/>
      <c r="D13" s="31"/>
      <c r="E13" s="514"/>
      <c r="F13" s="31"/>
      <c r="G13" s="31"/>
      <c r="H13" s="31"/>
      <c r="I13" s="31"/>
      <c r="J13" s="31"/>
      <c r="K13" s="32"/>
      <c r="L13" s="30"/>
      <c r="M13" s="30"/>
      <c r="N13" s="30"/>
      <c r="O13" s="30"/>
      <c r="P13" s="30"/>
      <c r="Q13" s="30"/>
      <c r="R13" s="30"/>
      <c r="S13" s="30"/>
      <c r="T13" s="30"/>
    </row>
    <row r="14" spans="2:20" s="33" customFormat="1" ht="19.5">
      <c r="B14" s="34" t="s">
        <v>68</v>
      </c>
      <c r="C14" s="35"/>
      <c r="D14" s="36"/>
      <c r="E14" s="515"/>
      <c r="F14" s="37"/>
      <c r="G14" s="37"/>
      <c r="H14" s="37"/>
      <c r="I14" s="38"/>
      <c r="J14" s="38"/>
      <c r="K14" s="39"/>
      <c r="L14" s="40"/>
      <c r="M14" s="40"/>
      <c r="N14" s="40"/>
      <c r="O14" s="40"/>
      <c r="P14" s="40"/>
      <c r="Q14" s="40"/>
      <c r="R14" s="40"/>
      <c r="S14" s="40"/>
      <c r="T14" s="40"/>
    </row>
    <row r="15" spans="2:20" s="33" customFormat="1" ht="13.5" customHeight="1">
      <c r="B15" s="41"/>
      <c r="C15" s="42"/>
      <c r="D15" s="156"/>
      <c r="E15" s="160"/>
      <c r="F15" s="43"/>
      <c r="G15" s="43"/>
      <c r="H15" s="43"/>
      <c r="I15" s="40"/>
      <c r="J15" s="40"/>
      <c r="K15" s="44"/>
      <c r="L15" s="40"/>
      <c r="M15" s="40"/>
      <c r="N15" s="40"/>
      <c r="O15" s="40"/>
      <c r="P15" s="40"/>
      <c r="Q15" s="40"/>
      <c r="R15" s="40"/>
      <c r="S15" s="40"/>
      <c r="T15" s="40"/>
    </row>
    <row r="16" spans="2:20" s="33" customFormat="1" ht="19.5">
      <c r="B16" s="41"/>
      <c r="C16" s="45" t="s">
        <v>3</v>
      </c>
      <c r="D16" s="156" t="s">
        <v>0</v>
      </c>
      <c r="E16" s="160"/>
      <c r="F16" s="43"/>
      <c r="G16" s="43"/>
      <c r="H16" s="43"/>
      <c r="I16" s="46"/>
      <c r="J16" s="46" t="s">
        <v>138</v>
      </c>
      <c r="K16" s="44"/>
      <c r="L16" s="40"/>
      <c r="M16" s="40"/>
      <c r="N16" s="40"/>
      <c r="O16" s="40"/>
      <c r="P16" s="40"/>
      <c r="Q16" s="40"/>
      <c r="R16" s="40"/>
      <c r="S16" s="40"/>
      <c r="T16" s="40"/>
    </row>
    <row r="17" spans="2:20" s="33" customFormat="1" ht="19.5">
      <c r="B17" s="41"/>
      <c r="C17" s="45"/>
      <c r="D17" s="156">
        <v>11</v>
      </c>
      <c r="E17" s="157" t="s">
        <v>4</v>
      </c>
      <c r="F17" s="43"/>
      <c r="G17" s="43"/>
      <c r="H17" s="43"/>
      <c r="I17" s="46">
        <f>'LI-08 (1)'!AC42</f>
        <v>159496.4</v>
      </c>
      <c r="J17" s="46">
        <f>'LI-08 (1)'!AD42</f>
        <v>19065.139436429352</v>
      </c>
      <c r="K17" s="44"/>
      <c r="L17" s="40"/>
      <c r="M17" s="40"/>
      <c r="N17" s="40"/>
      <c r="O17" s="40"/>
      <c r="P17" s="40"/>
      <c r="Q17" s="40"/>
      <c r="R17" s="40"/>
      <c r="S17" s="40"/>
      <c r="T17" s="40"/>
    </row>
    <row r="18" spans="2:20" s="33" customFormat="1" ht="19.5">
      <c r="B18" s="41"/>
      <c r="C18" s="45"/>
      <c r="D18" s="156">
        <v>13</v>
      </c>
      <c r="E18" s="157" t="s">
        <v>130</v>
      </c>
      <c r="F18" s="43"/>
      <c r="G18" s="43"/>
      <c r="H18" s="43"/>
      <c r="I18" s="46">
        <f>'Incendio-DAG'!AC24</f>
        <v>12664.04</v>
      </c>
      <c r="J18" s="46">
        <f>'Incendio-DAG'!AD24</f>
        <v>1513.7747660937214</v>
      </c>
      <c r="K18" s="44"/>
      <c r="L18" s="40"/>
      <c r="M18" s="40"/>
      <c r="N18" s="40"/>
      <c r="O18" s="40"/>
      <c r="P18" s="40"/>
      <c r="Q18" s="40"/>
      <c r="R18" s="40"/>
      <c r="S18" s="40"/>
      <c r="T18" s="40"/>
    </row>
    <row r="19" spans="2:20" s="33" customFormat="1" ht="19.5">
      <c r="B19" s="41"/>
      <c r="C19" s="45"/>
      <c r="D19" s="156">
        <v>14</v>
      </c>
      <c r="E19" s="157" t="s">
        <v>141</v>
      </c>
      <c r="F19" s="43"/>
      <c r="G19" s="43"/>
      <c r="H19" s="43"/>
      <c r="I19" s="46">
        <f>'Incendio-DAG'!K38</f>
        <v>10948.2</v>
      </c>
      <c r="J19" s="46">
        <f>'Incendio-DAG'!L38</f>
        <v>130.8675079439939</v>
      </c>
      <c r="K19" s="44"/>
      <c r="L19" s="40"/>
      <c r="M19" s="40"/>
      <c r="N19" s="40"/>
      <c r="O19" s="40"/>
      <c r="P19" s="40"/>
      <c r="Q19" s="40"/>
      <c r="R19" s="40"/>
      <c r="S19" s="40"/>
      <c r="T19" s="40"/>
    </row>
    <row r="20" spans="2:20" ht="12.75" customHeight="1">
      <c r="B20" s="47"/>
      <c r="C20" s="48"/>
      <c r="D20" s="156"/>
      <c r="E20" s="516"/>
      <c r="F20" s="49"/>
      <c r="G20" s="49"/>
      <c r="H20" s="49"/>
      <c r="I20" s="50"/>
      <c r="J20" s="50"/>
      <c r="K20" s="6"/>
      <c r="L20" s="4"/>
      <c r="M20" s="4"/>
      <c r="N20" s="4"/>
      <c r="O20" s="4"/>
      <c r="P20" s="4"/>
      <c r="Q20" s="4"/>
      <c r="R20" s="4"/>
      <c r="S20" s="4"/>
      <c r="T20" s="4"/>
    </row>
    <row r="21" spans="2:20" s="33" customFormat="1" ht="19.5">
      <c r="B21" s="41"/>
      <c r="C21" s="45" t="s">
        <v>5</v>
      </c>
      <c r="D21" s="159" t="s">
        <v>6</v>
      </c>
      <c r="E21" s="160"/>
      <c r="F21" s="43"/>
      <c r="G21" s="43"/>
      <c r="H21" s="43"/>
      <c r="I21" s="46"/>
      <c r="J21" s="46"/>
      <c r="K21" s="44"/>
      <c r="L21" s="40"/>
      <c r="M21" s="40"/>
      <c r="N21" s="40"/>
      <c r="O21" s="40"/>
      <c r="P21" s="40"/>
      <c r="Q21" s="40"/>
      <c r="R21" s="40"/>
      <c r="S21" s="40"/>
      <c r="T21" s="40"/>
    </row>
    <row r="22" spans="2:20" s="33" customFormat="1" ht="19.5">
      <c r="B22" s="41"/>
      <c r="C22" s="45"/>
      <c r="D22" s="156">
        <v>21</v>
      </c>
      <c r="E22" s="157" t="s">
        <v>7</v>
      </c>
      <c r="F22" s="43"/>
      <c r="G22" s="43"/>
      <c r="H22" s="43"/>
      <c r="I22" s="46"/>
      <c r="J22" s="46"/>
      <c r="K22" s="44"/>
      <c r="L22" s="40"/>
      <c r="M22" s="40"/>
      <c r="N22" s="40"/>
      <c r="O22" s="40"/>
      <c r="P22" s="40"/>
      <c r="Q22" s="40"/>
      <c r="R22" s="40"/>
      <c r="S22" s="40"/>
      <c r="T22" s="40"/>
    </row>
    <row r="23" spans="2:20" s="33" customFormat="1" ht="19.5">
      <c r="B23" s="41"/>
      <c r="C23" s="45"/>
      <c r="D23" s="156"/>
      <c r="E23" s="158">
        <v>211</v>
      </c>
      <c r="F23" s="51" t="s">
        <v>4</v>
      </c>
      <c r="G23" s="43"/>
      <c r="H23" s="43"/>
      <c r="I23" s="46">
        <f>'TR-08 (1)'!AA41</f>
        <v>561252.37</v>
      </c>
      <c r="J23" s="46">
        <f>'TR-08 (1)'!AB41</f>
        <v>67088.37890206647</v>
      </c>
      <c r="K23" s="44"/>
      <c r="L23" s="40"/>
      <c r="M23" s="40"/>
      <c r="N23" s="40"/>
      <c r="O23" s="40"/>
      <c r="P23" s="40"/>
      <c r="Q23" s="40"/>
      <c r="R23" s="40"/>
      <c r="S23" s="40"/>
      <c r="T23" s="40"/>
    </row>
    <row r="24" spans="2:20" s="33" customFormat="1" ht="19.5">
      <c r="B24" s="41"/>
      <c r="C24" s="45"/>
      <c r="D24" s="156">
        <v>22</v>
      </c>
      <c r="E24" s="157" t="s">
        <v>8</v>
      </c>
      <c r="F24" s="43"/>
      <c r="G24" s="43"/>
      <c r="H24" s="43"/>
      <c r="I24" s="46"/>
      <c r="J24" s="46"/>
      <c r="K24" s="44"/>
      <c r="L24" s="40"/>
      <c r="M24" s="40"/>
      <c r="N24" s="40"/>
      <c r="O24" s="40"/>
      <c r="P24" s="40"/>
      <c r="Q24" s="40"/>
      <c r="R24" s="40"/>
      <c r="S24" s="40"/>
      <c r="T24" s="40"/>
    </row>
    <row r="25" spans="2:20" s="33" customFormat="1" ht="19.5">
      <c r="B25" s="41"/>
      <c r="C25" s="45"/>
      <c r="D25" s="156"/>
      <c r="E25" s="158">
        <v>221</v>
      </c>
      <c r="F25" s="51" t="s">
        <v>4</v>
      </c>
      <c r="G25" s="43"/>
      <c r="H25" s="43"/>
      <c r="I25" s="46">
        <f>'SA-08 (1)'!T45</f>
        <v>14021.53</v>
      </c>
      <c r="J25" s="46">
        <f>'SA-08 (1)'!U45</f>
        <v>1676.0403825477606</v>
      </c>
      <c r="K25" s="44"/>
      <c r="L25" s="40"/>
      <c r="M25" s="40"/>
      <c r="N25" s="40"/>
      <c r="O25" s="40"/>
      <c r="P25" s="40"/>
      <c r="Q25" s="40"/>
      <c r="R25" s="40"/>
      <c r="S25" s="40"/>
      <c r="T25" s="40"/>
    </row>
    <row r="26" spans="2:20" ht="12.75" customHeight="1">
      <c r="B26" s="47"/>
      <c r="C26" s="48"/>
      <c r="D26" s="156"/>
      <c r="E26" s="516"/>
      <c r="F26" s="49"/>
      <c r="G26" s="49"/>
      <c r="H26" s="49"/>
      <c r="I26" s="50"/>
      <c r="J26" s="50"/>
      <c r="K26" s="6"/>
      <c r="L26" s="4"/>
      <c r="M26" s="4"/>
      <c r="N26" s="4"/>
      <c r="O26" s="4"/>
      <c r="P26" s="4"/>
      <c r="Q26" s="4"/>
      <c r="R26" s="4"/>
      <c r="S26" s="4"/>
      <c r="T26" s="4"/>
    </row>
    <row r="27" spans="2:20" s="33" customFormat="1" ht="19.5">
      <c r="B27" s="41"/>
      <c r="C27" s="45" t="s">
        <v>9</v>
      </c>
      <c r="D27" s="159" t="s">
        <v>42</v>
      </c>
      <c r="E27" s="160"/>
      <c r="F27" s="43"/>
      <c r="G27" s="43"/>
      <c r="H27" s="43"/>
      <c r="I27" s="46"/>
      <c r="J27" s="46"/>
      <c r="K27" s="44"/>
      <c r="L27" s="40"/>
      <c r="M27" s="40"/>
      <c r="N27" s="40"/>
      <c r="O27" s="40"/>
      <c r="P27" s="40"/>
      <c r="Q27" s="40"/>
      <c r="R27" s="40"/>
      <c r="S27" s="40"/>
      <c r="T27" s="40"/>
    </row>
    <row r="28" spans="2:20" s="33" customFormat="1" ht="19.5">
      <c r="B28" s="41"/>
      <c r="C28" s="45"/>
      <c r="D28" s="156">
        <v>31</v>
      </c>
      <c r="E28" s="157" t="s">
        <v>4</v>
      </c>
      <c r="F28" s="43"/>
      <c r="G28" s="43"/>
      <c r="H28" s="43"/>
      <c r="I28" s="46">
        <f>'RE-08 (1)'!V39</f>
        <v>777966.97</v>
      </c>
      <c r="J28" s="46">
        <f>'RE-08 (1)'!W39</f>
        <v>92993.00252027035</v>
      </c>
      <c r="K28" s="44"/>
      <c r="L28" s="40"/>
      <c r="M28" s="40"/>
      <c r="N28" s="40"/>
      <c r="O28" s="40"/>
      <c r="P28" s="40"/>
      <c r="Q28" s="40"/>
      <c r="R28" s="40"/>
      <c r="S28" s="40"/>
      <c r="T28" s="40"/>
    </row>
    <row r="29" spans="2:20" s="33" customFormat="1" ht="19.5">
      <c r="B29" s="41"/>
      <c r="C29" s="45"/>
      <c r="D29" s="156"/>
      <c r="E29" s="157"/>
      <c r="F29" s="43"/>
      <c r="G29" s="43"/>
      <c r="H29" s="43"/>
      <c r="I29" s="46"/>
      <c r="J29" s="46"/>
      <c r="K29" s="44"/>
      <c r="L29" s="40"/>
      <c r="M29" s="40"/>
      <c r="N29" s="40"/>
      <c r="O29" s="40"/>
      <c r="P29" s="40"/>
      <c r="Q29" s="40"/>
      <c r="R29" s="40"/>
      <c r="S29" s="40"/>
      <c r="T29" s="40"/>
    </row>
    <row r="30" spans="2:20" s="33" customFormat="1" ht="20.25" thickBot="1">
      <c r="B30" s="41"/>
      <c r="C30" s="42"/>
      <c r="D30" s="156"/>
      <c r="E30" s="160"/>
      <c r="F30" s="43"/>
      <c r="G30" s="43"/>
      <c r="H30" s="43"/>
      <c r="I30" s="40"/>
      <c r="J30" s="40"/>
      <c r="K30" s="44"/>
      <c r="L30" s="40"/>
      <c r="M30" s="40"/>
      <c r="N30" s="40"/>
      <c r="O30" s="40"/>
      <c r="P30" s="40"/>
      <c r="Q30" s="40"/>
      <c r="R30" s="40"/>
      <c r="S30" s="40"/>
      <c r="T30" s="40"/>
    </row>
    <row r="31" spans="2:20" s="33" customFormat="1" ht="20.25" thickBot="1" thickTop="1">
      <c r="B31" s="41"/>
      <c r="C31" s="45"/>
      <c r="D31" s="45"/>
      <c r="F31" s="608" t="s">
        <v>10</v>
      </c>
      <c r="G31" s="609"/>
      <c r="H31" s="610"/>
      <c r="I31" s="604">
        <f>SUM(I16:I28)</f>
        <v>1536349.51</v>
      </c>
      <c r="J31" s="52">
        <f>SUM(J17:J28)</f>
        <v>182467.20351535163</v>
      </c>
      <c r="K31" s="44"/>
      <c r="L31" s="40"/>
      <c r="M31" s="40"/>
      <c r="N31" s="40"/>
      <c r="O31" s="40"/>
      <c r="P31" s="40"/>
      <c r="Q31" s="40"/>
      <c r="R31" s="40"/>
      <c r="S31" s="40"/>
      <c r="T31" s="40"/>
    </row>
    <row r="32" spans="2:20" s="33" customFormat="1" ht="30.75" customHeight="1" thickBot="1" thickTop="1">
      <c r="B32" s="41"/>
      <c r="C32" s="45"/>
      <c r="D32" s="45"/>
      <c r="F32" s="606" t="s">
        <v>147</v>
      </c>
      <c r="G32" s="607"/>
      <c r="H32" s="607"/>
      <c r="I32" s="604"/>
      <c r="J32" s="605">
        <v>183775.6532045713</v>
      </c>
      <c r="K32" s="44"/>
      <c r="L32" s="40"/>
      <c r="M32" s="40"/>
      <c r="N32" s="40"/>
      <c r="O32" s="40"/>
      <c r="P32" s="40"/>
      <c r="Q32" s="40"/>
      <c r="R32" s="40"/>
      <c r="S32" s="40"/>
      <c r="T32" s="40"/>
    </row>
    <row r="33" spans="2:20" s="33" customFormat="1" ht="27.75" customHeight="1" thickBot="1" thickTop="1">
      <c r="B33" s="41"/>
      <c r="C33" s="45"/>
      <c r="D33" s="45"/>
      <c r="F33" s="606" t="s">
        <v>148</v>
      </c>
      <c r="G33" s="607"/>
      <c r="H33" s="607"/>
      <c r="I33" s="604"/>
      <c r="J33" s="605">
        <f>+J31-J32</f>
        <v>-1308.4496892196767</v>
      </c>
      <c r="K33" s="44"/>
      <c r="L33" s="40"/>
      <c r="M33" s="40"/>
      <c r="N33" s="40"/>
      <c r="O33" s="40"/>
      <c r="P33" s="40"/>
      <c r="Q33" s="40"/>
      <c r="R33" s="40"/>
      <c r="S33" s="40"/>
      <c r="T33" s="40"/>
    </row>
    <row r="34" spans="2:20" s="33" customFormat="1" ht="19.5" thickTop="1">
      <c r="B34" s="41"/>
      <c r="C34" s="45"/>
      <c r="D34" s="45"/>
      <c r="F34" s="155"/>
      <c r="G34" s="40"/>
      <c r="H34" s="119"/>
      <c r="I34" s="119"/>
      <c r="J34" s="119"/>
      <c r="K34" s="44"/>
      <c r="L34" s="40"/>
      <c r="M34" s="40"/>
      <c r="N34" s="40"/>
      <c r="O34" s="40"/>
      <c r="P34" s="40"/>
      <c r="Q34" s="40"/>
      <c r="R34" s="40"/>
      <c r="S34" s="40"/>
      <c r="T34" s="40"/>
    </row>
    <row r="35" spans="2:20" s="33" customFormat="1" ht="9.75" customHeight="1">
      <c r="B35" s="41"/>
      <c r="C35" s="45"/>
      <c r="D35" s="45"/>
      <c r="F35" s="155"/>
      <c r="G35" s="119"/>
      <c r="H35" s="119"/>
      <c r="K35" s="44"/>
      <c r="L35" s="40"/>
      <c r="M35" s="40"/>
      <c r="N35" s="40"/>
      <c r="O35" s="40"/>
      <c r="P35" s="40"/>
      <c r="Q35" s="40"/>
      <c r="R35" s="40"/>
      <c r="S35" s="40"/>
      <c r="T35" s="40"/>
    </row>
    <row r="36" spans="2:20" s="33" customFormat="1" ht="18.75">
      <c r="B36" s="41"/>
      <c r="C36" s="161" t="s">
        <v>118</v>
      </c>
      <c r="D36" s="45"/>
      <c r="F36" s="155"/>
      <c r="G36" s="119"/>
      <c r="H36" s="119"/>
      <c r="K36" s="44"/>
      <c r="L36" s="40"/>
      <c r="M36" s="40"/>
      <c r="N36" s="40"/>
      <c r="O36" s="40"/>
      <c r="P36" s="40"/>
      <c r="Q36" s="40"/>
      <c r="R36" s="40"/>
      <c r="S36" s="40"/>
      <c r="T36" s="40"/>
    </row>
    <row r="37" spans="2:20" s="29" customFormat="1" ht="10.5" customHeight="1" thickBot="1">
      <c r="B37" s="53"/>
      <c r="C37" s="54"/>
      <c r="D37" s="54"/>
      <c r="E37" s="55"/>
      <c r="F37" s="55"/>
      <c r="G37" s="55"/>
      <c r="H37" s="55"/>
      <c r="I37" s="55"/>
      <c r="J37" s="55"/>
      <c r="K37" s="56"/>
      <c r="L37" s="30"/>
      <c r="M37" s="30"/>
      <c r="N37" s="57"/>
      <c r="O37" s="58"/>
      <c r="P37" s="58"/>
      <c r="Q37" s="59"/>
      <c r="R37" s="60"/>
      <c r="S37" s="30"/>
      <c r="T37" s="30"/>
    </row>
    <row r="38" spans="4:20" ht="13.5" thickTop="1">
      <c r="D38" s="4"/>
      <c r="F38" s="4"/>
      <c r="G38" s="4"/>
      <c r="H38" s="4"/>
      <c r="I38" s="4"/>
      <c r="J38" s="4"/>
      <c r="K38" s="4"/>
      <c r="L38" s="4"/>
      <c r="M38" s="4"/>
      <c r="N38" s="12"/>
      <c r="O38" s="61"/>
      <c r="P38" s="61"/>
      <c r="Q38" s="4"/>
      <c r="R38" s="62"/>
      <c r="S38" s="4"/>
      <c r="T38" s="4"/>
    </row>
    <row r="39" spans="4:20" ht="12.75">
      <c r="D39" s="4"/>
      <c r="F39" s="4"/>
      <c r="G39" s="4"/>
      <c r="H39" s="4"/>
      <c r="I39" s="4"/>
      <c r="J39" s="4"/>
      <c r="K39" s="4"/>
      <c r="L39" s="4"/>
      <c r="M39" s="4"/>
      <c r="N39" s="4"/>
      <c r="O39" s="63"/>
      <c r="P39" s="63"/>
      <c r="Q39" s="64"/>
      <c r="R39" s="62"/>
      <c r="S39" s="4"/>
      <c r="T39" s="4"/>
    </row>
    <row r="40" spans="4:20" ht="12.7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3"/>
      <c r="P40" s="63"/>
      <c r="Q40" s="64"/>
      <c r="R40" s="62"/>
      <c r="S40" s="4"/>
      <c r="T40" s="4"/>
    </row>
    <row r="41" spans="4:20" ht="12.75">
      <c r="D41" s="4"/>
      <c r="E41" s="4"/>
      <c r="M41" s="4"/>
      <c r="N41" s="4"/>
      <c r="O41" s="4"/>
      <c r="P41" s="4"/>
      <c r="Q41" s="4"/>
      <c r="R41" s="4"/>
      <c r="S41" s="4"/>
      <c r="T41" s="4"/>
    </row>
    <row r="42" spans="4:20" ht="12.75">
      <c r="D42" s="4"/>
      <c r="E42" s="4"/>
      <c r="Q42" s="4"/>
      <c r="R42" s="4"/>
      <c r="S42" s="4"/>
      <c r="T42" s="4"/>
    </row>
    <row r="43" spans="4:20" ht="12.75">
      <c r="D43" s="4"/>
      <c r="E43" s="4"/>
      <c r="Q43" s="4"/>
      <c r="R43" s="4"/>
      <c r="S43" s="4"/>
      <c r="T43" s="4"/>
    </row>
    <row r="44" spans="4:20" ht="12.75">
      <c r="D44" s="4"/>
      <c r="E44" s="4"/>
      <c r="Q44" s="4"/>
      <c r="R44" s="4"/>
      <c r="S44" s="4"/>
      <c r="T44" s="4"/>
    </row>
    <row r="45" spans="4:20" ht="12.75">
      <c r="D45" s="4"/>
      <c r="E45" s="4"/>
      <c r="Q45" s="4"/>
      <c r="R45" s="4"/>
      <c r="S45" s="4"/>
      <c r="T45" s="4"/>
    </row>
    <row r="46" spans="4:20" ht="12.75">
      <c r="D46" s="4"/>
      <c r="E46" s="4"/>
      <c r="Q46" s="4"/>
      <c r="R46" s="4"/>
      <c r="S46" s="4"/>
      <c r="T46" s="4"/>
    </row>
    <row r="47" spans="17:20" ht="12.75">
      <c r="Q47" s="4"/>
      <c r="R47" s="4"/>
      <c r="S47" s="4"/>
      <c r="T47" s="4"/>
    </row>
    <row r="48" spans="17:20" ht="12.75">
      <c r="Q48" s="4"/>
      <c r="R48" s="4"/>
      <c r="S48" s="4"/>
      <c r="T48" s="4"/>
    </row>
  </sheetData>
  <mergeCells count="3">
    <mergeCell ref="F32:H32"/>
    <mergeCell ref="F31:H31"/>
    <mergeCell ref="F33:H33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F45"/>
  <sheetViews>
    <sheetView tabSelected="1" zoomScale="75" zoomScaleNormal="75" workbookViewId="0" topLeftCell="L1">
      <selection activeCell="B2" sqref="B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15" customFormat="1" ht="26.25">
      <c r="A1"/>
      <c r="C1"/>
      <c r="E1"/>
      <c r="G1"/>
      <c r="I1"/>
      <c r="K1"/>
      <c r="M1"/>
      <c r="O1"/>
      <c r="Q1"/>
      <c r="S1"/>
      <c r="U1"/>
      <c r="W1"/>
      <c r="Y1"/>
      <c r="AE1" s="136"/>
    </row>
    <row r="2" spans="1:31" s="15" customFormat="1" ht="26.25">
      <c r="A2" s="83"/>
      <c r="B2" s="16" t="s">
        <v>149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="5" customFormat="1" ht="12.75">
      <c r="A3" s="82"/>
    </row>
    <row r="4" spans="1:2" s="22" customFormat="1" ht="11.25">
      <c r="A4" s="20" t="s">
        <v>1</v>
      </c>
      <c r="B4" s="118"/>
    </row>
    <row r="5" spans="1:2" s="22" customFormat="1" ht="11.25">
      <c r="A5" s="20" t="s">
        <v>2</v>
      </c>
      <c r="B5" s="118"/>
    </row>
    <row r="6" s="5" customFormat="1" ht="13.5" thickBot="1"/>
    <row r="7" spans="2:31" s="5" customFormat="1" ht="13.5" thickTop="1">
      <c r="B7" s="65"/>
      <c r="C7" s="66"/>
      <c r="D7" s="66"/>
      <c r="E7" s="188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86"/>
    </row>
    <row r="8" spans="2:31" s="26" customFormat="1" ht="20.25">
      <c r="B8" s="73"/>
      <c r="C8" s="27"/>
      <c r="D8" s="167" t="s">
        <v>43</v>
      </c>
      <c r="E8" s="27"/>
      <c r="F8" s="27"/>
      <c r="G8" s="27"/>
      <c r="H8" s="27"/>
      <c r="N8" s="27"/>
      <c r="O8" s="27"/>
      <c r="P8" s="9"/>
      <c r="Q8" s="9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101"/>
    </row>
    <row r="9" spans="2:31" s="5" customFormat="1" ht="12.75">
      <c r="B9" s="4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4"/>
    </row>
    <row r="10" spans="2:31" s="26" customFormat="1" ht="20.25">
      <c r="B10" s="73"/>
      <c r="C10" s="27"/>
      <c r="D10" s="9" t="s">
        <v>11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101"/>
    </row>
    <row r="11" spans="2:31" s="5" customFormat="1" ht="12.75">
      <c r="B11" s="4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4"/>
    </row>
    <row r="12" spans="2:31" s="26" customFormat="1" ht="20.25">
      <c r="B12" s="73"/>
      <c r="C12" s="27"/>
      <c r="D12" s="9" t="s">
        <v>66</v>
      </c>
      <c r="E12" s="27"/>
      <c r="F12" s="27"/>
      <c r="G12" s="27"/>
      <c r="I12" s="27"/>
      <c r="J12" s="27"/>
      <c r="K12" s="27"/>
      <c r="L12" s="27"/>
      <c r="M12" s="27"/>
      <c r="N12" s="27"/>
      <c r="O12" s="27"/>
      <c r="P12" s="9"/>
      <c r="Q12" s="9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101"/>
    </row>
    <row r="13" spans="2:31" s="5" customFormat="1" ht="12.75">
      <c r="B13" s="47"/>
      <c r="C13" s="4"/>
      <c r="D13" s="4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4"/>
    </row>
    <row r="14" spans="2:31" s="33" customFormat="1" ht="19.5">
      <c r="B14" s="34" t="str">
        <f>'TOT-0807'!B14</f>
        <v>Desde el 01 al 31 de agosto de 2007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189"/>
      <c r="O14" s="189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135"/>
    </row>
    <row r="15" spans="2:31" s="5" customFormat="1" ht="16.5" customHeight="1" thickBot="1">
      <c r="B15" s="47"/>
      <c r="C15" s="4"/>
      <c r="D15" s="4"/>
      <c r="E15" s="62"/>
      <c r="F15" s="62"/>
      <c r="G15" s="4"/>
      <c r="H15" s="4"/>
      <c r="I15" s="4"/>
      <c r="J15" s="190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4"/>
    </row>
    <row r="16" spans="2:31" s="5" customFormat="1" ht="16.5" customHeight="1" thickBot="1" thickTop="1">
      <c r="B16" s="47"/>
      <c r="C16" s="4"/>
      <c r="D16" s="76" t="s">
        <v>63</v>
      </c>
      <c r="E16" s="535">
        <v>89.969</v>
      </c>
      <c r="F16" s="19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4"/>
    </row>
    <row r="17" spans="2:31" s="5" customFormat="1" ht="16.5" customHeight="1" thickBot="1" thickTop="1">
      <c r="B17" s="47"/>
      <c r="C17" s="4"/>
      <c r="D17" s="76" t="s">
        <v>64</v>
      </c>
      <c r="E17" s="535">
        <v>74.974</v>
      </c>
      <c r="F17" s="191"/>
      <c r="G17" s="4"/>
      <c r="H17" s="4"/>
      <c r="I17" s="4"/>
      <c r="J17" s="192"/>
      <c r="K17" s="193"/>
      <c r="L17" s="4"/>
      <c r="M17" s="4"/>
      <c r="N17" s="4"/>
      <c r="O17" s="4"/>
      <c r="P17" s="4"/>
      <c r="Q17" s="4"/>
      <c r="R17" s="4"/>
      <c r="S17" s="4"/>
      <c r="T17" s="4"/>
      <c r="U17" s="4"/>
      <c r="V17" s="109"/>
      <c r="W17" s="109"/>
      <c r="X17" s="109"/>
      <c r="Y17" s="109"/>
      <c r="Z17" s="109"/>
      <c r="AA17" s="109"/>
      <c r="AB17" s="109"/>
      <c r="AE17" s="14"/>
    </row>
    <row r="18" spans="2:31" s="5" customFormat="1" ht="16.5" customHeight="1" thickBot="1" thickTop="1">
      <c r="B18" s="47"/>
      <c r="C18" s="4"/>
      <c r="D18" s="4"/>
      <c r="E18" s="194"/>
      <c r="F18" s="4"/>
      <c r="G18" s="4"/>
      <c r="H18" s="4"/>
      <c r="I18" s="4"/>
      <c r="J18" s="4"/>
      <c r="K18" s="4"/>
      <c r="L18" s="4"/>
      <c r="M18" s="4"/>
      <c r="N18" s="19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4"/>
    </row>
    <row r="19" spans="2:31" s="5" customFormat="1" ht="33.75" customHeight="1" thickBot="1" thickTop="1">
      <c r="B19" s="47"/>
      <c r="C19" s="78" t="s">
        <v>12</v>
      </c>
      <c r="D19" s="79" t="s">
        <v>0</v>
      </c>
      <c r="E19" s="468" t="s">
        <v>13</v>
      </c>
      <c r="F19" s="80" t="s">
        <v>14</v>
      </c>
      <c r="G19" s="196" t="s">
        <v>45</v>
      </c>
      <c r="H19" s="469" t="s">
        <v>36</v>
      </c>
      <c r="I19" s="470" t="s">
        <v>15</v>
      </c>
      <c r="J19" s="79" t="s">
        <v>16</v>
      </c>
      <c r="K19" s="170" t="s">
        <v>17</v>
      </c>
      <c r="L19" s="81" t="s">
        <v>35</v>
      </c>
      <c r="M19" s="80" t="s">
        <v>31</v>
      </c>
      <c r="N19" s="81" t="s">
        <v>18</v>
      </c>
      <c r="O19" s="80" t="s">
        <v>37</v>
      </c>
      <c r="P19" s="170" t="s">
        <v>38</v>
      </c>
      <c r="Q19" s="79" t="s">
        <v>32</v>
      </c>
      <c r="R19" s="134" t="s">
        <v>19</v>
      </c>
      <c r="S19" s="471" t="s">
        <v>20</v>
      </c>
      <c r="T19" s="197" t="s">
        <v>39</v>
      </c>
      <c r="U19" s="198"/>
      <c r="V19" s="199"/>
      <c r="W19" s="472" t="s">
        <v>67</v>
      </c>
      <c r="X19" s="473"/>
      <c r="Y19" s="474"/>
      <c r="Z19" s="200" t="s">
        <v>21</v>
      </c>
      <c r="AA19" s="201" t="s">
        <v>46</v>
      </c>
      <c r="AB19" s="131" t="s">
        <v>47</v>
      </c>
      <c r="AC19" s="131" t="s">
        <v>22</v>
      </c>
      <c r="AD19" s="131" t="s">
        <v>139</v>
      </c>
      <c r="AE19" s="202"/>
    </row>
    <row r="20" spans="2:31" s="5" customFormat="1" ht="16.5" customHeight="1" thickTop="1">
      <c r="B20" s="47"/>
      <c r="C20" s="172"/>
      <c r="D20" s="518"/>
      <c r="E20" s="518"/>
      <c r="F20" s="536"/>
      <c r="G20" s="517"/>
      <c r="H20" s="519"/>
      <c r="I20" s="520"/>
      <c r="J20" s="531"/>
      <c r="K20" s="531"/>
      <c r="L20" s="517"/>
      <c r="M20" s="517"/>
      <c r="N20" s="517"/>
      <c r="O20" s="517"/>
      <c r="P20" s="517"/>
      <c r="Q20" s="517"/>
      <c r="R20" s="521"/>
      <c r="S20" s="522"/>
      <c r="T20" s="523"/>
      <c r="U20" s="524"/>
      <c r="V20" s="525"/>
      <c r="W20" s="526"/>
      <c r="X20" s="527"/>
      <c r="Y20" s="528"/>
      <c r="Z20" s="529"/>
      <c r="AA20" s="530"/>
      <c r="AB20" s="517"/>
      <c r="AC20" s="475"/>
      <c r="AD20" s="475"/>
      <c r="AE20" s="14"/>
    </row>
    <row r="21" spans="2:31" s="5" customFormat="1" ht="16.5" customHeight="1">
      <c r="B21" s="47"/>
      <c r="C21" s="268"/>
      <c r="D21" s="173"/>
      <c r="E21" s="7"/>
      <c r="F21" s="537"/>
      <c r="G21" s="173"/>
      <c r="H21" s="476"/>
      <c r="I21" s="477"/>
      <c r="J21" s="203"/>
      <c r="K21" s="109"/>
      <c r="L21" s="173"/>
      <c r="M21" s="173"/>
      <c r="N21" s="174"/>
      <c r="O21" s="173"/>
      <c r="P21" s="173"/>
      <c r="Q21" s="173"/>
      <c r="R21" s="478"/>
      <c r="S21" s="479"/>
      <c r="T21" s="480"/>
      <c r="U21" s="481"/>
      <c r="V21" s="482"/>
      <c r="W21" s="483"/>
      <c r="X21" s="484"/>
      <c r="Y21" s="485"/>
      <c r="Z21" s="204"/>
      <c r="AA21" s="205"/>
      <c r="AB21" s="173"/>
      <c r="AC21" s="206"/>
      <c r="AD21" s="206"/>
      <c r="AE21" s="14"/>
    </row>
    <row r="22" spans="2:32" s="5" customFormat="1" ht="16.5" customHeight="1">
      <c r="B22" s="47"/>
      <c r="C22" s="147">
        <v>1</v>
      </c>
      <c r="D22" s="147" t="s">
        <v>69</v>
      </c>
      <c r="E22" s="175">
        <v>500</v>
      </c>
      <c r="F22" s="538">
        <v>346</v>
      </c>
      <c r="G22" s="175" t="s">
        <v>70</v>
      </c>
      <c r="H22" s="486">
        <f aca="true" t="shared" si="0" ref="H22:H40">IF(G22="A",200,IF(G22="B",60,20))</f>
        <v>200</v>
      </c>
      <c r="I22" s="487">
        <f aca="true" t="shared" si="1" ref="I22:I40">IF(E22=500,IF(F22&lt;100,100*$E$16/100,F22*$E$16/100),IF(F22&lt;100,100*$E$17/100,F22*$E$17/100))</f>
        <v>311.29274</v>
      </c>
      <c r="J22" s="488">
        <v>39295.39236111111</v>
      </c>
      <c r="K22" s="489">
        <v>39295.427083333336</v>
      </c>
      <c r="L22" s="178">
        <f aca="true" t="shared" si="2" ref="L22:L40">IF(D22="","",(K22-J22)*24)</f>
        <v>0.8333333334303461</v>
      </c>
      <c r="M22" s="179">
        <f aca="true" t="shared" si="3" ref="M22:M40">IF(D22="","",ROUND((K22-J22)*24*60,0))</f>
        <v>50</v>
      </c>
      <c r="N22" s="209" t="s">
        <v>71</v>
      </c>
      <c r="O22" s="180" t="str">
        <f aca="true" t="shared" si="4" ref="O22:O40">IF(D22="","","--")</f>
        <v>--</v>
      </c>
      <c r="P22" s="145" t="str">
        <f aca="true" t="shared" si="5" ref="P22:P40">IF(D22="","","NO")</f>
        <v>NO</v>
      </c>
      <c r="Q22" s="145" t="str">
        <f aca="true" t="shared" si="6" ref="Q22:Q40">IF(D22="","",IF(OR(N22="P",N22="RP"),"--","NO"))</f>
        <v>NO</v>
      </c>
      <c r="R22" s="490" t="str">
        <f aca="true" t="shared" si="7" ref="R22:R40">IF(N22="P",I22*H22*ROUND(M22/60,2)*0.01,"--")</f>
        <v>--</v>
      </c>
      <c r="S22" s="491" t="str">
        <f aca="true" t="shared" si="8" ref="S22:S40">IF(N22="RP",I22*H22*ROUND(M22/60,2)*0.01*O22/100,"--")</f>
        <v>--</v>
      </c>
      <c r="T22" s="211">
        <f aca="true" t="shared" si="9" ref="T22:T40">IF(AND(N22="F",Q22="NO"),I22*H22*IF(P22="SI",1.2,1),"--")</f>
        <v>62258.547999999995</v>
      </c>
      <c r="U22" s="212">
        <f aca="true" t="shared" si="10" ref="U22:U40">IF(AND(N22="F",M22&gt;=10),I22*H22*IF(P22="SI",1.2,1)*IF(M22&lt;=300,ROUND(M22/60,2),5),"--")</f>
        <v>51674.59483999999</v>
      </c>
      <c r="V22" s="213" t="str">
        <f aca="true" t="shared" si="11" ref="V22:V40">IF(AND(N22="F",M22&gt;300),(ROUND(M22/60,2)-5)*I22*H22*0.1*IF(P22="SI",1.2,1),"--")</f>
        <v>--</v>
      </c>
      <c r="W22" s="492" t="str">
        <f aca="true" t="shared" si="12" ref="W22:W40">IF(AND(N22="R",Q22="NO"),I22*H22*O22/100*IF(P22="SI",1.2,1),"--")</f>
        <v>--</v>
      </c>
      <c r="X22" s="493" t="str">
        <f aca="true" t="shared" si="13" ref="X22:X40">IF(AND(N22="R",M22&gt;=10),I22*H22*O22/100*IF(P22="SI",1.2,1)*IF(M22&lt;=300,ROUND(M22/60,2),5),"--")</f>
        <v>--</v>
      </c>
      <c r="Y22" s="494" t="str">
        <f aca="true" t="shared" si="14" ref="Y22:Y40">IF(AND(N22="R",M22&gt;300),(ROUND(M22/60,2)-5)*I22*H22*0.1*O22/100*IF(P22="SI",1.2,1),"--")</f>
        <v>--</v>
      </c>
      <c r="Z22" s="214" t="str">
        <f aca="true" t="shared" si="15" ref="Z22:Z40">IF(N22="RF",ROUND(M22/60,2)*I22*H22*0.1*IF(P22="SI",1.2,1),"--")</f>
        <v>--</v>
      </c>
      <c r="AA22" s="215" t="str">
        <f aca="true" t="shared" si="16" ref="AA22:AA40">IF(N22="RR",ROUND(M22/60,2)*I22*H22*0.1*O22/100*IF(P22="SI",1.2,1),"--")</f>
        <v>--</v>
      </c>
      <c r="AB22" s="495" t="s">
        <v>72</v>
      </c>
      <c r="AC22" s="13">
        <f aca="true" t="shared" si="17" ref="AC22:AC34">IF(D22="","",SUM(R22:AA22)*IF(AB22="SI",1,2))</f>
        <v>113933.14283999999</v>
      </c>
      <c r="AD22" s="13">
        <f>AC22*(1-$AF$22)</f>
        <v>13618.810832555022</v>
      </c>
      <c r="AE22" s="496"/>
      <c r="AF22" s="5">
        <v>0.8804666447964105</v>
      </c>
    </row>
    <row r="23" spans="2:31" s="5" customFormat="1" ht="16.5" customHeight="1">
      <c r="B23" s="47"/>
      <c r="C23" s="268">
        <v>2</v>
      </c>
      <c r="D23" s="147" t="s">
        <v>73</v>
      </c>
      <c r="E23" s="175">
        <v>220</v>
      </c>
      <c r="F23" s="538">
        <v>114</v>
      </c>
      <c r="G23" s="175" t="s">
        <v>74</v>
      </c>
      <c r="H23" s="486">
        <f t="shared" si="0"/>
        <v>20</v>
      </c>
      <c r="I23" s="487">
        <f t="shared" si="1"/>
        <v>85.47036</v>
      </c>
      <c r="J23" s="488">
        <v>39295.4375</v>
      </c>
      <c r="K23" s="489">
        <v>39295.69097222222</v>
      </c>
      <c r="L23" s="178">
        <f t="shared" si="2"/>
        <v>6.083333333255723</v>
      </c>
      <c r="M23" s="179">
        <f t="shared" si="3"/>
        <v>365</v>
      </c>
      <c r="N23" s="209" t="s">
        <v>75</v>
      </c>
      <c r="O23" s="180" t="str">
        <f t="shared" si="4"/>
        <v>--</v>
      </c>
      <c r="P23" s="145" t="str">
        <f t="shared" si="5"/>
        <v>NO</v>
      </c>
      <c r="Q23" s="145" t="str">
        <f t="shared" si="6"/>
        <v>--</v>
      </c>
      <c r="R23" s="490">
        <f t="shared" si="7"/>
        <v>103.93195776</v>
      </c>
      <c r="S23" s="491" t="str">
        <f t="shared" si="8"/>
        <v>--</v>
      </c>
      <c r="T23" s="211" t="str">
        <f t="shared" si="9"/>
        <v>--</v>
      </c>
      <c r="U23" s="212" t="str">
        <f t="shared" si="10"/>
        <v>--</v>
      </c>
      <c r="V23" s="213" t="str">
        <f t="shared" si="11"/>
        <v>--</v>
      </c>
      <c r="W23" s="492" t="str">
        <f t="shared" si="12"/>
        <v>--</v>
      </c>
      <c r="X23" s="493" t="str">
        <f t="shared" si="13"/>
        <v>--</v>
      </c>
      <c r="Y23" s="494" t="str">
        <f t="shared" si="14"/>
        <v>--</v>
      </c>
      <c r="Z23" s="214" t="str">
        <f t="shared" si="15"/>
        <v>--</v>
      </c>
      <c r="AA23" s="215" t="str">
        <f t="shared" si="16"/>
        <v>--</v>
      </c>
      <c r="AB23" s="495" t="s">
        <v>72</v>
      </c>
      <c r="AC23" s="13">
        <f t="shared" si="17"/>
        <v>103.93195776</v>
      </c>
      <c r="AD23" s="13">
        <f>AC23*(1-$AF$22)</f>
        <v>12.423335623930544</v>
      </c>
      <c r="AE23" s="496"/>
    </row>
    <row r="24" spans="2:31" s="5" customFormat="1" ht="16.5" customHeight="1">
      <c r="B24" s="47"/>
      <c r="C24" s="268">
        <v>4</v>
      </c>
      <c r="D24" s="497" t="s">
        <v>78</v>
      </c>
      <c r="E24" s="498">
        <v>500</v>
      </c>
      <c r="F24" s="539">
        <v>259</v>
      </c>
      <c r="G24" s="498" t="s">
        <v>77</v>
      </c>
      <c r="H24" s="486">
        <f t="shared" si="0"/>
        <v>60</v>
      </c>
      <c r="I24" s="487">
        <f t="shared" si="1"/>
        <v>233.01970999999998</v>
      </c>
      <c r="J24" s="499">
        <v>39295.63263888889</v>
      </c>
      <c r="K24" s="500">
        <v>39295.64861111111</v>
      </c>
      <c r="L24" s="178">
        <f t="shared" si="2"/>
        <v>0.3833333331858739</v>
      </c>
      <c r="M24" s="179">
        <f t="shared" si="3"/>
        <v>23</v>
      </c>
      <c r="N24" s="209" t="s">
        <v>71</v>
      </c>
      <c r="O24" s="180" t="str">
        <f t="shared" si="4"/>
        <v>--</v>
      </c>
      <c r="P24" s="145" t="str">
        <f t="shared" si="5"/>
        <v>NO</v>
      </c>
      <c r="Q24" s="145" t="str">
        <f t="shared" si="6"/>
        <v>NO</v>
      </c>
      <c r="R24" s="490" t="str">
        <f t="shared" si="7"/>
        <v>--</v>
      </c>
      <c r="S24" s="491" t="str">
        <f t="shared" si="8"/>
        <v>--</v>
      </c>
      <c r="T24" s="211">
        <f t="shared" si="9"/>
        <v>13981.182599999998</v>
      </c>
      <c r="U24" s="212">
        <f t="shared" si="10"/>
        <v>5312.849388</v>
      </c>
      <c r="V24" s="213" t="str">
        <f t="shared" si="11"/>
        <v>--</v>
      </c>
      <c r="W24" s="492" t="str">
        <f t="shared" si="12"/>
        <v>--</v>
      </c>
      <c r="X24" s="493" t="str">
        <f t="shared" si="13"/>
        <v>--</v>
      </c>
      <c r="Y24" s="494" t="str">
        <f t="shared" si="14"/>
        <v>--</v>
      </c>
      <c r="Z24" s="214" t="str">
        <f t="shared" si="15"/>
        <v>--</v>
      </c>
      <c r="AA24" s="215" t="str">
        <f t="shared" si="16"/>
        <v>--</v>
      </c>
      <c r="AB24" s="495" t="s">
        <v>72</v>
      </c>
      <c r="AC24" s="13">
        <f t="shared" si="17"/>
        <v>19294.031988</v>
      </c>
      <c r="AD24" s="13">
        <f>AC24*(1-$AF$22)</f>
        <v>2306.280378931023</v>
      </c>
      <c r="AE24" s="496"/>
    </row>
    <row r="25" spans="2:31" s="5" customFormat="1" ht="16.5" customHeight="1">
      <c r="B25" s="47"/>
      <c r="C25" s="147">
        <v>5</v>
      </c>
      <c r="D25" s="147" t="s">
        <v>78</v>
      </c>
      <c r="E25" s="175">
        <v>500</v>
      </c>
      <c r="F25" s="538">
        <v>259</v>
      </c>
      <c r="G25" s="175" t="s">
        <v>77</v>
      </c>
      <c r="H25" s="486">
        <f t="shared" si="0"/>
        <v>60</v>
      </c>
      <c r="I25" s="487">
        <f t="shared" si="1"/>
        <v>233.01970999999998</v>
      </c>
      <c r="J25" s="488">
        <v>39296.16111111111</v>
      </c>
      <c r="K25" s="489">
        <v>39296.169444444444</v>
      </c>
      <c r="L25" s="178">
        <f t="shared" si="2"/>
        <v>0.19999999995343387</v>
      </c>
      <c r="M25" s="179">
        <f t="shared" si="3"/>
        <v>12</v>
      </c>
      <c r="N25" s="209" t="s">
        <v>71</v>
      </c>
      <c r="O25" s="180" t="str">
        <f t="shared" si="4"/>
        <v>--</v>
      </c>
      <c r="P25" s="145" t="str">
        <f t="shared" si="5"/>
        <v>NO</v>
      </c>
      <c r="Q25" s="145" t="s">
        <v>72</v>
      </c>
      <c r="R25" s="490" t="str">
        <f t="shared" si="7"/>
        <v>--</v>
      </c>
      <c r="S25" s="491" t="str">
        <f t="shared" si="8"/>
        <v>--</v>
      </c>
      <c r="T25" s="211" t="str">
        <f t="shared" si="9"/>
        <v>--</v>
      </c>
      <c r="U25" s="212">
        <f t="shared" si="10"/>
        <v>2796.23652</v>
      </c>
      <c r="V25" s="213" t="str">
        <f t="shared" si="11"/>
        <v>--</v>
      </c>
      <c r="W25" s="492" t="str">
        <f t="shared" si="12"/>
        <v>--</v>
      </c>
      <c r="X25" s="493" t="str">
        <f t="shared" si="13"/>
        <v>--</v>
      </c>
      <c r="Y25" s="494" t="str">
        <f t="shared" si="14"/>
        <v>--</v>
      </c>
      <c r="Z25" s="214" t="str">
        <f t="shared" si="15"/>
        <v>--</v>
      </c>
      <c r="AA25" s="215" t="str">
        <f t="shared" si="16"/>
        <v>--</v>
      </c>
      <c r="AB25" s="495" t="s">
        <v>72</v>
      </c>
      <c r="AC25" s="13">
        <f t="shared" si="17"/>
        <v>2796.23652</v>
      </c>
      <c r="AD25" s="13">
        <f aca="true" t="shared" si="18" ref="AD25:AD39">AC25*(1-$AF$22)</f>
        <v>334.2435331784091</v>
      </c>
      <c r="AE25" s="496"/>
    </row>
    <row r="26" spans="2:31" s="5" customFormat="1" ht="16.5" customHeight="1">
      <c r="B26" s="47"/>
      <c r="C26" s="268">
        <v>6</v>
      </c>
      <c r="D26" s="147" t="s">
        <v>73</v>
      </c>
      <c r="E26" s="175">
        <v>220</v>
      </c>
      <c r="F26" s="538">
        <v>114</v>
      </c>
      <c r="G26" s="175" t="s">
        <v>74</v>
      </c>
      <c r="H26" s="486">
        <f t="shared" si="0"/>
        <v>20</v>
      </c>
      <c r="I26" s="487">
        <f t="shared" si="1"/>
        <v>85.47036</v>
      </c>
      <c r="J26" s="488">
        <v>39296.37013888889</v>
      </c>
      <c r="K26" s="489">
        <v>39296.64444444444</v>
      </c>
      <c r="L26" s="178">
        <f t="shared" si="2"/>
        <v>6.583333333313931</v>
      </c>
      <c r="M26" s="179">
        <f t="shared" si="3"/>
        <v>395</v>
      </c>
      <c r="N26" s="209" t="s">
        <v>75</v>
      </c>
      <c r="O26" s="180" t="str">
        <f t="shared" si="4"/>
        <v>--</v>
      </c>
      <c r="P26" s="145" t="str">
        <f t="shared" si="5"/>
        <v>NO</v>
      </c>
      <c r="Q26" s="145" t="str">
        <f t="shared" si="6"/>
        <v>--</v>
      </c>
      <c r="R26" s="490">
        <f t="shared" si="7"/>
        <v>112.47899376000001</v>
      </c>
      <c r="S26" s="491" t="str">
        <f t="shared" si="8"/>
        <v>--</v>
      </c>
      <c r="T26" s="211" t="str">
        <f t="shared" si="9"/>
        <v>--</v>
      </c>
      <c r="U26" s="212" t="str">
        <f t="shared" si="10"/>
        <v>--</v>
      </c>
      <c r="V26" s="213" t="str">
        <f t="shared" si="11"/>
        <v>--</v>
      </c>
      <c r="W26" s="492" t="str">
        <f t="shared" si="12"/>
        <v>--</v>
      </c>
      <c r="X26" s="493" t="str">
        <f t="shared" si="13"/>
        <v>--</v>
      </c>
      <c r="Y26" s="494" t="str">
        <f t="shared" si="14"/>
        <v>--</v>
      </c>
      <c r="Z26" s="214" t="str">
        <f t="shared" si="15"/>
        <v>--</v>
      </c>
      <c r="AA26" s="215" t="str">
        <f t="shared" si="16"/>
        <v>--</v>
      </c>
      <c r="AB26" s="495" t="s">
        <v>72</v>
      </c>
      <c r="AC26" s="13">
        <f t="shared" si="17"/>
        <v>112.47899376000001</v>
      </c>
      <c r="AD26" s="13">
        <f t="shared" si="18"/>
        <v>13.444991514056413</v>
      </c>
      <c r="AE26" s="496"/>
    </row>
    <row r="27" spans="2:31" s="5" customFormat="1" ht="16.5" customHeight="1">
      <c r="B27" s="47"/>
      <c r="C27" s="147">
        <v>7</v>
      </c>
      <c r="D27" s="138" t="s">
        <v>79</v>
      </c>
      <c r="E27" s="140">
        <v>500</v>
      </c>
      <c r="F27" s="540">
        <v>289</v>
      </c>
      <c r="G27" s="140" t="s">
        <v>74</v>
      </c>
      <c r="H27" s="486">
        <f t="shared" si="0"/>
        <v>20</v>
      </c>
      <c r="I27" s="487">
        <f t="shared" si="1"/>
        <v>260.01041</v>
      </c>
      <c r="J27" s="176">
        <v>39299.47638888889</v>
      </c>
      <c r="K27" s="208">
        <v>39299.629166666666</v>
      </c>
      <c r="L27" s="178">
        <f t="shared" si="2"/>
        <v>3.666666666569654</v>
      </c>
      <c r="M27" s="179">
        <f t="shared" si="3"/>
        <v>220</v>
      </c>
      <c r="N27" s="209" t="s">
        <v>75</v>
      </c>
      <c r="O27" s="180" t="str">
        <f t="shared" si="4"/>
        <v>--</v>
      </c>
      <c r="P27" s="145" t="str">
        <f t="shared" si="5"/>
        <v>NO</v>
      </c>
      <c r="Q27" s="145" t="str">
        <f t="shared" si="6"/>
        <v>--</v>
      </c>
      <c r="R27" s="490">
        <f t="shared" si="7"/>
        <v>190.84764093999996</v>
      </c>
      <c r="S27" s="491" t="str">
        <f t="shared" si="8"/>
        <v>--</v>
      </c>
      <c r="T27" s="211" t="str">
        <f t="shared" si="9"/>
        <v>--</v>
      </c>
      <c r="U27" s="212" t="str">
        <f t="shared" si="10"/>
        <v>--</v>
      </c>
      <c r="V27" s="213" t="str">
        <f t="shared" si="11"/>
        <v>--</v>
      </c>
      <c r="W27" s="492" t="str">
        <f t="shared" si="12"/>
        <v>--</v>
      </c>
      <c r="X27" s="493" t="str">
        <f t="shared" si="13"/>
        <v>--</v>
      </c>
      <c r="Y27" s="494" t="str">
        <f t="shared" si="14"/>
        <v>--</v>
      </c>
      <c r="Z27" s="214" t="str">
        <f t="shared" si="15"/>
        <v>--</v>
      </c>
      <c r="AA27" s="215" t="str">
        <f t="shared" si="16"/>
        <v>--</v>
      </c>
      <c r="AB27" s="495" t="s">
        <v>72</v>
      </c>
      <c r="AC27" s="13">
        <f t="shared" si="17"/>
        <v>190.84764093999996</v>
      </c>
      <c r="AD27" s="13">
        <f t="shared" si="18"/>
        <v>22.812658854248134</v>
      </c>
      <c r="AE27" s="496"/>
    </row>
    <row r="28" spans="2:31" s="5" customFormat="1" ht="16.5" customHeight="1">
      <c r="B28" s="47"/>
      <c r="C28" s="268">
        <v>8</v>
      </c>
      <c r="D28" s="138" t="s">
        <v>136</v>
      </c>
      <c r="E28" s="140">
        <v>220</v>
      </c>
      <c r="F28" s="540">
        <v>77</v>
      </c>
      <c r="G28" s="140" t="s">
        <v>74</v>
      </c>
      <c r="H28" s="486">
        <f t="shared" si="0"/>
        <v>20</v>
      </c>
      <c r="I28" s="487">
        <f t="shared" si="1"/>
        <v>74.974</v>
      </c>
      <c r="J28" s="176">
        <v>39303.3875</v>
      </c>
      <c r="K28" s="208">
        <v>39303.48125</v>
      </c>
      <c r="L28" s="178">
        <f t="shared" si="2"/>
        <v>2.25</v>
      </c>
      <c r="M28" s="179">
        <f t="shared" si="3"/>
        <v>135</v>
      </c>
      <c r="N28" s="209" t="s">
        <v>75</v>
      </c>
      <c r="O28" s="180" t="str">
        <f t="shared" si="4"/>
        <v>--</v>
      </c>
      <c r="P28" s="145" t="str">
        <f t="shared" si="5"/>
        <v>NO</v>
      </c>
      <c r="Q28" s="145" t="str">
        <f t="shared" si="6"/>
        <v>--</v>
      </c>
      <c r="R28" s="490">
        <f t="shared" si="7"/>
        <v>33.7383</v>
      </c>
      <c r="S28" s="491" t="str">
        <f t="shared" si="8"/>
        <v>--</v>
      </c>
      <c r="T28" s="211" t="str">
        <f t="shared" si="9"/>
        <v>--</v>
      </c>
      <c r="U28" s="212" t="str">
        <f t="shared" si="10"/>
        <v>--</v>
      </c>
      <c r="V28" s="213" t="str">
        <f t="shared" si="11"/>
        <v>--</v>
      </c>
      <c r="W28" s="492" t="str">
        <f t="shared" si="12"/>
        <v>--</v>
      </c>
      <c r="X28" s="493" t="str">
        <f t="shared" si="13"/>
        <v>--</v>
      </c>
      <c r="Y28" s="494" t="str">
        <f t="shared" si="14"/>
        <v>--</v>
      </c>
      <c r="Z28" s="214" t="str">
        <f t="shared" si="15"/>
        <v>--</v>
      </c>
      <c r="AA28" s="215" t="str">
        <f t="shared" si="16"/>
        <v>--</v>
      </c>
      <c r="AB28" s="495" t="s">
        <v>72</v>
      </c>
      <c r="AC28" s="13">
        <f t="shared" si="17"/>
        <v>33.7383</v>
      </c>
      <c r="AD28" s="13">
        <f t="shared" si="18"/>
        <v>4.032852197865266</v>
      </c>
      <c r="AE28" s="496"/>
    </row>
    <row r="29" spans="2:31" s="5" customFormat="1" ht="16.5" customHeight="1">
      <c r="B29" s="47"/>
      <c r="C29" s="147">
        <v>9</v>
      </c>
      <c r="D29" s="138" t="s">
        <v>80</v>
      </c>
      <c r="E29" s="140">
        <v>500</v>
      </c>
      <c r="F29" s="540">
        <v>53</v>
      </c>
      <c r="G29" s="140" t="s">
        <v>74</v>
      </c>
      <c r="H29" s="486">
        <f t="shared" si="0"/>
        <v>20</v>
      </c>
      <c r="I29" s="487">
        <f t="shared" si="1"/>
        <v>89.969</v>
      </c>
      <c r="J29" s="176">
        <v>39303.42152777778</v>
      </c>
      <c r="K29" s="208">
        <v>39303.74513888889</v>
      </c>
      <c r="L29" s="178">
        <f t="shared" si="2"/>
        <v>7.766666666662786</v>
      </c>
      <c r="M29" s="179">
        <f t="shared" si="3"/>
        <v>466</v>
      </c>
      <c r="N29" s="209" t="s">
        <v>75</v>
      </c>
      <c r="O29" s="180" t="str">
        <f t="shared" si="4"/>
        <v>--</v>
      </c>
      <c r="P29" s="145" t="str">
        <f t="shared" si="5"/>
        <v>NO</v>
      </c>
      <c r="Q29" s="145" t="str">
        <f t="shared" si="6"/>
        <v>--</v>
      </c>
      <c r="R29" s="490">
        <f t="shared" si="7"/>
        <v>139.811826</v>
      </c>
      <c r="S29" s="491" t="str">
        <f t="shared" si="8"/>
        <v>--</v>
      </c>
      <c r="T29" s="211" t="str">
        <f t="shared" si="9"/>
        <v>--</v>
      </c>
      <c r="U29" s="212" t="str">
        <f t="shared" si="10"/>
        <v>--</v>
      </c>
      <c r="V29" s="213" t="str">
        <f t="shared" si="11"/>
        <v>--</v>
      </c>
      <c r="W29" s="492" t="str">
        <f t="shared" si="12"/>
        <v>--</v>
      </c>
      <c r="X29" s="493" t="str">
        <f t="shared" si="13"/>
        <v>--</v>
      </c>
      <c r="Y29" s="494" t="str">
        <f t="shared" si="14"/>
        <v>--</v>
      </c>
      <c r="Z29" s="214" t="str">
        <f t="shared" si="15"/>
        <v>--</v>
      </c>
      <c r="AA29" s="215" t="str">
        <f t="shared" si="16"/>
        <v>--</v>
      </c>
      <c r="AB29" s="495" t="s">
        <v>72</v>
      </c>
      <c r="AC29" s="13">
        <f t="shared" si="17"/>
        <v>139.811826</v>
      </c>
      <c r="AD29" s="13">
        <f t="shared" si="18"/>
        <v>16.712176658920455</v>
      </c>
      <c r="AE29" s="496"/>
    </row>
    <row r="30" spans="2:31" s="5" customFormat="1" ht="16.5" customHeight="1">
      <c r="B30" s="47"/>
      <c r="C30" s="268">
        <v>10</v>
      </c>
      <c r="D30" s="138" t="s">
        <v>81</v>
      </c>
      <c r="E30" s="140">
        <v>500</v>
      </c>
      <c r="F30" s="540">
        <v>4.5</v>
      </c>
      <c r="G30" s="140" t="s">
        <v>74</v>
      </c>
      <c r="H30" s="486">
        <f t="shared" si="0"/>
        <v>20</v>
      </c>
      <c r="I30" s="487">
        <f t="shared" si="1"/>
        <v>89.969</v>
      </c>
      <c r="J30" s="176">
        <v>39305.395833333336</v>
      </c>
      <c r="K30" s="208">
        <v>39305.75902777778</v>
      </c>
      <c r="L30" s="178">
        <f t="shared" si="2"/>
        <v>8.71666666661622</v>
      </c>
      <c r="M30" s="179">
        <f t="shared" si="3"/>
        <v>523</v>
      </c>
      <c r="N30" s="209" t="s">
        <v>75</v>
      </c>
      <c r="O30" s="180" t="str">
        <f t="shared" si="4"/>
        <v>--</v>
      </c>
      <c r="P30" s="145" t="str">
        <f t="shared" si="5"/>
        <v>NO</v>
      </c>
      <c r="Q30" s="145" t="str">
        <f t="shared" si="6"/>
        <v>--</v>
      </c>
      <c r="R30" s="490">
        <f t="shared" si="7"/>
        <v>156.905936</v>
      </c>
      <c r="S30" s="491" t="str">
        <f t="shared" si="8"/>
        <v>--</v>
      </c>
      <c r="T30" s="211" t="str">
        <f t="shared" si="9"/>
        <v>--</v>
      </c>
      <c r="U30" s="212" t="str">
        <f t="shared" si="10"/>
        <v>--</v>
      </c>
      <c r="V30" s="213" t="str">
        <f t="shared" si="11"/>
        <v>--</v>
      </c>
      <c r="W30" s="492" t="str">
        <f t="shared" si="12"/>
        <v>--</v>
      </c>
      <c r="X30" s="493" t="str">
        <f t="shared" si="13"/>
        <v>--</v>
      </c>
      <c r="Y30" s="494" t="str">
        <f t="shared" si="14"/>
        <v>--</v>
      </c>
      <c r="Z30" s="214" t="str">
        <f t="shared" si="15"/>
        <v>--</v>
      </c>
      <c r="AA30" s="215" t="str">
        <f t="shared" si="16"/>
        <v>--</v>
      </c>
      <c r="AB30" s="495" t="s">
        <v>72</v>
      </c>
      <c r="AC30" s="13">
        <f t="shared" si="17"/>
        <v>156.905936</v>
      </c>
      <c r="AD30" s="13">
        <f t="shared" si="18"/>
        <v>18.755492981439687</v>
      </c>
      <c r="AE30" s="496"/>
    </row>
    <row r="31" spans="2:31" s="5" customFormat="1" ht="16.5" customHeight="1">
      <c r="B31" s="47"/>
      <c r="C31" s="147">
        <v>11</v>
      </c>
      <c r="D31" s="138" t="s">
        <v>81</v>
      </c>
      <c r="E31" s="140">
        <v>500</v>
      </c>
      <c r="F31" s="540">
        <v>4.5</v>
      </c>
      <c r="G31" s="140" t="s">
        <v>74</v>
      </c>
      <c r="H31" s="486">
        <f t="shared" si="0"/>
        <v>20</v>
      </c>
      <c r="I31" s="487">
        <f t="shared" si="1"/>
        <v>89.969</v>
      </c>
      <c r="J31" s="176">
        <v>39306.35277777778</v>
      </c>
      <c r="K31" s="208">
        <v>39306.680555555555</v>
      </c>
      <c r="L31" s="178">
        <f t="shared" si="2"/>
        <v>7.866666666639503</v>
      </c>
      <c r="M31" s="179">
        <f t="shared" si="3"/>
        <v>472</v>
      </c>
      <c r="N31" s="209" t="s">
        <v>75</v>
      </c>
      <c r="O31" s="180" t="str">
        <f t="shared" si="4"/>
        <v>--</v>
      </c>
      <c r="P31" s="145" t="str">
        <f t="shared" si="5"/>
        <v>NO</v>
      </c>
      <c r="Q31" s="145" t="str">
        <f t="shared" si="6"/>
        <v>--</v>
      </c>
      <c r="R31" s="490">
        <f t="shared" si="7"/>
        <v>141.61120599999998</v>
      </c>
      <c r="S31" s="491" t="str">
        <f t="shared" si="8"/>
        <v>--</v>
      </c>
      <c r="T31" s="211" t="str">
        <f t="shared" si="9"/>
        <v>--</v>
      </c>
      <c r="U31" s="212" t="str">
        <f t="shared" si="10"/>
        <v>--</v>
      </c>
      <c r="V31" s="213" t="str">
        <f t="shared" si="11"/>
        <v>--</v>
      </c>
      <c r="W31" s="492" t="str">
        <f t="shared" si="12"/>
        <v>--</v>
      </c>
      <c r="X31" s="493" t="str">
        <f t="shared" si="13"/>
        <v>--</v>
      </c>
      <c r="Y31" s="494" t="str">
        <f t="shared" si="14"/>
        <v>--</v>
      </c>
      <c r="Z31" s="214" t="str">
        <f t="shared" si="15"/>
        <v>--</v>
      </c>
      <c r="AA31" s="215" t="str">
        <f t="shared" si="16"/>
        <v>--</v>
      </c>
      <c r="AB31" s="495" t="s">
        <v>72</v>
      </c>
      <c r="AC31" s="13">
        <f t="shared" si="17"/>
        <v>141.61120599999998</v>
      </c>
      <c r="AD31" s="13">
        <f t="shared" si="18"/>
        <v>16.927262587606688</v>
      </c>
      <c r="AE31" s="496"/>
    </row>
    <row r="32" spans="2:31" s="5" customFormat="1" ht="16.5" customHeight="1">
      <c r="B32" s="47"/>
      <c r="C32" s="268">
        <v>12</v>
      </c>
      <c r="D32" s="138" t="s">
        <v>80</v>
      </c>
      <c r="E32" s="140">
        <v>500</v>
      </c>
      <c r="F32" s="540">
        <v>53</v>
      </c>
      <c r="G32" s="140" t="s">
        <v>74</v>
      </c>
      <c r="H32" s="486">
        <f t="shared" si="0"/>
        <v>20</v>
      </c>
      <c r="I32" s="487">
        <f t="shared" si="1"/>
        <v>89.969</v>
      </c>
      <c r="J32" s="176">
        <v>39308.37986111111</v>
      </c>
      <c r="K32" s="177">
        <v>39308.70138888889</v>
      </c>
      <c r="L32" s="178">
        <f t="shared" si="2"/>
        <v>7.716666666674428</v>
      </c>
      <c r="M32" s="179">
        <f t="shared" si="3"/>
        <v>463</v>
      </c>
      <c r="N32" s="209" t="s">
        <v>75</v>
      </c>
      <c r="O32" s="180" t="str">
        <f t="shared" si="4"/>
        <v>--</v>
      </c>
      <c r="P32" s="145" t="str">
        <f t="shared" si="5"/>
        <v>NO</v>
      </c>
      <c r="Q32" s="145" t="str">
        <f t="shared" si="6"/>
        <v>--</v>
      </c>
      <c r="R32" s="490">
        <f t="shared" si="7"/>
        <v>138.912136</v>
      </c>
      <c r="S32" s="491" t="str">
        <f t="shared" si="8"/>
        <v>--</v>
      </c>
      <c r="T32" s="211" t="str">
        <f t="shared" si="9"/>
        <v>--</v>
      </c>
      <c r="U32" s="212" t="str">
        <f t="shared" si="10"/>
        <v>--</v>
      </c>
      <c r="V32" s="213" t="str">
        <f t="shared" si="11"/>
        <v>--</v>
      </c>
      <c r="W32" s="492" t="str">
        <f t="shared" si="12"/>
        <v>--</v>
      </c>
      <c r="X32" s="493" t="str">
        <f t="shared" si="13"/>
        <v>--</v>
      </c>
      <c r="Y32" s="494" t="str">
        <f t="shared" si="14"/>
        <v>--</v>
      </c>
      <c r="Z32" s="214" t="str">
        <f t="shared" si="15"/>
        <v>--</v>
      </c>
      <c r="AA32" s="215" t="str">
        <f t="shared" si="16"/>
        <v>--</v>
      </c>
      <c r="AB32" s="495" t="s">
        <v>72</v>
      </c>
      <c r="AC32" s="13">
        <f t="shared" si="17"/>
        <v>138.912136</v>
      </c>
      <c r="AD32" s="13">
        <f t="shared" si="18"/>
        <v>16.604633694577338</v>
      </c>
      <c r="AE32" s="496"/>
    </row>
    <row r="33" spans="2:31" s="5" customFormat="1" ht="16.5" customHeight="1">
      <c r="B33" s="47"/>
      <c r="C33" s="147">
        <v>13</v>
      </c>
      <c r="D33" s="138" t="s">
        <v>80</v>
      </c>
      <c r="E33" s="140">
        <v>500</v>
      </c>
      <c r="F33" s="540">
        <v>53</v>
      </c>
      <c r="G33" s="140" t="s">
        <v>74</v>
      </c>
      <c r="H33" s="486">
        <f t="shared" si="0"/>
        <v>20</v>
      </c>
      <c r="I33" s="487">
        <f t="shared" si="1"/>
        <v>89.969</v>
      </c>
      <c r="J33" s="176">
        <v>39309.36736111111</v>
      </c>
      <c r="K33" s="177">
        <v>39309.711805555555</v>
      </c>
      <c r="L33" s="178">
        <f t="shared" si="2"/>
        <v>8.266666666720994</v>
      </c>
      <c r="M33" s="179">
        <f t="shared" si="3"/>
        <v>496</v>
      </c>
      <c r="N33" s="209" t="s">
        <v>75</v>
      </c>
      <c r="O33" s="180" t="str">
        <f t="shared" si="4"/>
        <v>--</v>
      </c>
      <c r="P33" s="145" t="str">
        <f t="shared" si="5"/>
        <v>NO</v>
      </c>
      <c r="Q33" s="145" t="str">
        <f t="shared" si="6"/>
        <v>--</v>
      </c>
      <c r="R33" s="490">
        <f t="shared" si="7"/>
        <v>148.80872599999998</v>
      </c>
      <c r="S33" s="491" t="str">
        <f t="shared" si="8"/>
        <v>--</v>
      </c>
      <c r="T33" s="211" t="str">
        <f t="shared" si="9"/>
        <v>--</v>
      </c>
      <c r="U33" s="212" t="str">
        <f t="shared" si="10"/>
        <v>--</v>
      </c>
      <c r="V33" s="213" t="str">
        <f t="shared" si="11"/>
        <v>--</v>
      </c>
      <c r="W33" s="492" t="str">
        <f t="shared" si="12"/>
        <v>--</v>
      </c>
      <c r="X33" s="493" t="str">
        <f t="shared" si="13"/>
        <v>--</v>
      </c>
      <c r="Y33" s="494" t="str">
        <f t="shared" si="14"/>
        <v>--</v>
      </c>
      <c r="Z33" s="214" t="str">
        <f t="shared" si="15"/>
        <v>--</v>
      </c>
      <c r="AA33" s="215" t="str">
        <f t="shared" si="16"/>
        <v>--</v>
      </c>
      <c r="AB33" s="495" t="s">
        <v>72</v>
      </c>
      <c r="AC33" s="13">
        <f t="shared" si="17"/>
        <v>148.80872599999998</v>
      </c>
      <c r="AD33" s="13">
        <f t="shared" si="18"/>
        <v>17.787606302351627</v>
      </c>
      <c r="AE33" s="496"/>
    </row>
    <row r="34" spans="2:31" s="5" customFormat="1" ht="16.5" customHeight="1">
      <c r="B34" s="47"/>
      <c r="C34" s="268">
        <v>14</v>
      </c>
      <c r="D34" s="138" t="s">
        <v>80</v>
      </c>
      <c r="E34" s="140">
        <v>500</v>
      </c>
      <c r="F34" s="540">
        <v>53</v>
      </c>
      <c r="G34" s="140" t="s">
        <v>74</v>
      </c>
      <c r="H34" s="486">
        <f t="shared" si="0"/>
        <v>20</v>
      </c>
      <c r="I34" s="487">
        <f t="shared" si="1"/>
        <v>89.969</v>
      </c>
      <c r="J34" s="176">
        <v>39310.353472222225</v>
      </c>
      <c r="K34" s="177">
        <v>39310.71666666667</v>
      </c>
      <c r="L34" s="178">
        <f t="shared" si="2"/>
        <v>8.71666666661622</v>
      </c>
      <c r="M34" s="179">
        <f t="shared" si="3"/>
        <v>523</v>
      </c>
      <c r="N34" s="209" t="s">
        <v>75</v>
      </c>
      <c r="O34" s="180" t="str">
        <f t="shared" si="4"/>
        <v>--</v>
      </c>
      <c r="P34" s="145" t="str">
        <f t="shared" si="5"/>
        <v>NO</v>
      </c>
      <c r="Q34" s="145" t="str">
        <f t="shared" si="6"/>
        <v>--</v>
      </c>
      <c r="R34" s="490">
        <f t="shared" si="7"/>
        <v>156.905936</v>
      </c>
      <c r="S34" s="491" t="str">
        <f t="shared" si="8"/>
        <v>--</v>
      </c>
      <c r="T34" s="211" t="str">
        <f t="shared" si="9"/>
        <v>--</v>
      </c>
      <c r="U34" s="212" t="str">
        <f t="shared" si="10"/>
        <v>--</v>
      </c>
      <c r="V34" s="213" t="str">
        <f t="shared" si="11"/>
        <v>--</v>
      </c>
      <c r="W34" s="492" t="str">
        <f t="shared" si="12"/>
        <v>--</v>
      </c>
      <c r="X34" s="493" t="str">
        <f t="shared" si="13"/>
        <v>--</v>
      </c>
      <c r="Y34" s="494" t="str">
        <f t="shared" si="14"/>
        <v>--</v>
      </c>
      <c r="Z34" s="214" t="str">
        <f t="shared" si="15"/>
        <v>--</v>
      </c>
      <c r="AA34" s="215" t="str">
        <f t="shared" si="16"/>
        <v>--</v>
      </c>
      <c r="AB34" s="495" t="s">
        <v>72</v>
      </c>
      <c r="AC34" s="13">
        <f t="shared" si="17"/>
        <v>156.905936</v>
      </c>
      <c r="AD34" s="13">
        <f t="shared" si="18"/>
        <v>18.755492981439687</v>
      </c>
      <c r="AE34" s="496"/>
    </row>
    <row r="35" spans="2:31" s="5" customFormat="1" ht="16.5" customHeight="1">
      <c r="B35" s="47"/>
      <c r="C35" s="147">
        <v>15</v>
      </c>
      <c r="D35" s="138" t="s">
        <v>82</v>
      </c>
      <c r="E35" s="140">
        <v>500</v>
      </c>
      <c r="F35" s="540">
        <v>3</v>
      </c>
      <c r="G35" s="140" t="s">
        <v>74</v>
      </c>
      <c r="H35" s="486">
        <f t="shared" si="0"/>
        <v>20</v>
      </c>
      <c r="I35" s="487">
        <f t="shared" si="1"/>
        <v>89.969</v>
      </c>
      <c r="J35" s="176">
        <v>39311.040972222225</v>
      </c>
      <c r="K35" s="177">
        <v>39311.15694444445</v>
      </c>
      <c r="L35" s="178">
        <f t="shared" si="2"/>
        <v>2.7833333333255723</v>
      </c>
      <c r="M35" s="179">
        <f t="shared" si="3"/>
        <v>167</v>
      </c>
      <c r="N35" s="209" t="s">
        <v>75</v>
      </c>
      <c r="O35" s="180" t="str">
        <f t="shared" si="4"/>
        <v>--</v>
      </c>
      <c r="P35" s="145" t="str">
        <f t="shared" si="5"/>
        <v>NO</v>
      </c>
      <c r="Q35" s="145" t="str">
        <f t="shared" si="6"/>
        <v>--</v>
      </c>
      <c r="R35" s="490">
        <f t="shared" si="7"/>
        <v>50.022763999999995</v>
      </c>
      <c r="S35" s="491" t="str">
        <f t="shared" si="8"/>
        <v>--</v>
      </c>
      <c r="T35" s="211" t="str">
        <f t="shared" si="9"/>
        <v>--</v>
      </c>
      <c r="U35" s="212" t="str">
        <f t="shared" si="10"/>
        <v>--</v>
      </c>
      <c r="V35" s="213" t="str">
        <f t="shared" si="11"/>
        <v>--</v>
      </c>
      <c r="W35" s="492" t="str">
        <f t="shared" si="12"/>
        <v>--</v>
      </c>
      <c r="X35" s="493" t="str">
        <f t="shared" si="13"/>
        <v>--</v>
      </c>
      <c r="Y35" s="494" t="str">
        <f t="shared" si="14"/>
        <v>--</v>
      </c>
      <c r="Z35" s="214" t="str">
        <f t="shared" si="15"/>
        <v>--</v>
      </c>
      <c r="AA35" s="215" t="str">
        <f t="shared" si="16"/>
        <v>--</v>
      </c>
      <c r="AB35" s="495" t="s">
        <v>72</v>
      </c>
      <c r="AC35" s="13">
        <v>0</v>
      </c>
      <c r="AD35" s="13">
        <f t="shared" si="18"/>
        <v>0</v>
      </c>
      <c r="AE35" s="496"/>
    </row>
    <row r="36" spans="2:31" s="5" customFormat="1" ht="16.5" customHeight="1">
      <c r="B36" s="47"/>
      <c r="C36" s="268">
        <v>16</v>
      </c>
      <c r="D36" s="138" t="s">
        <v>80</v>
      </c>
      <c r="E36" s="140">
        <v>500</v>
      </c>
      <c r="F36" s="540">
        <v>53</v>
      </c>
      <c r="G36" s="140" t="s">
        <v>74</v>
      </c>
      <c r="H36" s="486">
        <f t="shared" si="0"/>
        <v>20</v>
      </c>
      <c r="I36" s="487">
        <f t="shared" si="1"/>
        <v>89.969</v>
      </c>
      <c r="J36" s="176">
        <v>39311.384722222225</v>
      </c>
      <c r="K36" s="177">
        <v>39311.70277777778</v>
      </c>
      <c r="L36" s="178">
        <f t="shared" si="2"/>
        <v>7.633333333244082</v>
      </c>
      <c r="M36" s="179">
        <f t="shared" si="3"/>
        <v>458</v>
      </c>
      <c r="N36" s="209" t="s">
        <v>75</v>
      </c>
      <c r="O36" s="180" t="str">
        <f t="shared" si="4"/>
        <v>--</v>
      </c>
      <c r="P36" s="145" t="str">
        <f t="shared" si="5"/>
        <v>NO</v>
      </c>
      <c r="Q36" s="145" t="str">
        <f t="shared" si="6"/>
        <v>--</v>
      </c>
      <c r="R36" s="490">
        <f t="shared" si="7"/>
        <v>137.29269399999998</v>
      </c>
      <c r="S36" s="491" t="str">
        <f t="shared" si="8"/>
        <v>--</v>
      </c>
      <c r="T36" s="211" t="str">
        <f t="shared" si="9"/>
        <v>--</v>
      </c>
      <c r="U36" s="212" t="str">
        <f t="shared" si="10"/>
        <v>--</v>
      </c>
      <c r="V36" s="213" t="str">
        <f t="shared" si="11"/>
        <v>--</v>
      </c>
      <c r="W36" s="492" t="str">
        <f t="shared" si="12"/>
        <v>--</v>
      </c>
      <c r="X36" s="493" t="str">
        <f t="shared" si="13"/>
        <v>--</v>
      </c>
      <c r="Y36" s="494" t="str">
        <f t="shared" si="14"/>
        <v>--</v>
      </c>
      <c r="Z36" s="214" t="str">
        <f t="shared" si="15"/>
        <v>--</v>
      </c>
      <c r="AA36" s="215" t="str">
        <f t="shared" si="16"/>
        <v>--</v>
      </c>
      <c r="AB36" s="495" t="s">
        <v>72</v>
      </c>
      <c r="AC36" s="13">
        <f>IF(D36="","",SUM(R36:AA36)*IF(AB36="SI",1,2))</f>
        <v>137.29269399999998</v>
      </c>
      <c r="AD36" s="13">
        <f t="shared" si="18"/>
        <v>16.411056358759726</v>
      </c>
      <c r="AE36" s="496"/>
    </row>
    <row r="37" spans="2:31" s="5" customFormat="1" ht="16.5" customHeight="1">
      <c r="B37" s="47"/>
      <c r="C37" s="147">
        <v>17</v>
      </c>
      <c r="D37" s="138" t="s">
        <v>83</v>
      </c>
      <c r="E37" s="140">
        <v>500</v>
      </c>
      <c r="F37" s="540">
        <v>194</v>
      </c>
      <c r="G37" s="140" t="s">
        <v>74</v>
      </c>
      <c r="H37" s="486">
        <f t="shared" si="0"/>
        <v>20</v>
      </c>
      <c r="I37" s="487">
        <f t="shared" si="1"/>
        <v>174.53985999999998</v>
      </c>
      <c r="J37" s="176">
        <v>39314.333333333336</v>
      </c>
      <c r="K37" s="177">
        <v>39314.725</v>
      </c>
      <c r="L37" s="178">
        <f t="shared" si="2"/>
        <v>9.399999999906868</v>
      </c>
      <c r="M37" s="179">
        <f t="shared" si="3"/>
        <v>564</v>
      </c>
      <c r="N37" s="209" t="s">
        <v>75</v>
      </c>
      <c r="O37" s="180" t="str">
        <f t="shared" si="4"/>
        <v>--</v>
      </c>
      <c r="P37" s="145" t="str">
        <f t="shared" si="5"/>
        <v>NO</v>
      </c>
      <c r="Q37" s="145" t="str">
        <f t="shared" si="6"/>
        <v>--</v>
      </c>
      <c r="R37" s="490">
        <f t="shared" si="7"/>
        <v>328.1349368</v>
      </c>
      <c r="S37" s="491" t="str">
        <f t="shared" si="8"/>
        <v>--</v>
      </c>
      <c r="T37" s="211" t="str">
        <f t="shared" si="9"/>
        <v>--</v>
      </c>
      <c r="U37" s="212" t="str">
        <f t="shared" si="10"/>
        <v>--</v>
      </c>
      <c r="V37" s="213" t="str">
        <f t="shared" si="11"/>
        <v>--</v>
      </c>
      <c r="W37" s="492" t="str">
        <f t="shared" si="12"/>
        <v>--</v>
      </c>
      <c r="X37" s="493" t="str">
        <f t="shared" si="13"/>
        <v>--</v>
      </c>
      <c r="Y37" s="494" t="str">
        <f t="shared" si="14"/>
        <v>--</v>
      </c>
      <c r="Z37" s="214" t="str">
        <f t="shared" si="15"/>
        <v>--</v>
      </c>
      <c r="AA37" s="215" t="str">
        <f t="shared" si="16"/>
        <v>--</v>
      </c>
      <c r="AB37" s="495" t="s">
        <v>72</v>
      </c>
      <c r="AC37" s="13">
        <f>IF(D37="","",SUM(R37:AA37)*IF(AB37="SI",1,2))</f>
        <v>328.1349368</v>
      </c>
      <c r="AD37" s="13">
        <f t="shared" si="18"/>
        <v>39.2230699552218</v>
      </c>
      <c r="AE37" s="496"/>
    </row>
    <row r="38" spans="2:31" s="5" customFormat="1" ht="16.5" customHeight="1">
      <c r="B38" s="47"/>
      <c r="C38" s="268">
        <v>18</v>
      </c>
      <c r="D38" s="138" t="s">
        <v>84</v>
      </c>
      <c r="E38" s="140">
        <v>500</v>
      </c>
      <c r="F38" s="540">
        <v>42</v>
      </c>
      <c r="G38" s="140" t="s">
        <v>77</v>
      </c>
      <c r="H38" s="486">
        <f t="shared" si="0"/>
        <v>60</v>
      </c>
      <c r="I38" s="487">
        <f t="shared" si="1"/>
        <v>89.969</v>
      </c>
      <c r="J38" s="176">
        <v>39318.48888888889</v>
      </c>
      <c r="K38" s="177">
        <v>39318.65277777778</v>
      </c>
      <c r="L38" s="178">
        <f t="shared" si="2"/>
        <v>3.933333333407063</v>
      </c>
      <c r="M38" s="179">
        <f t="shared" si="3"/>
        <v>236</v>
      </c>
      <c r="N38" s="209" t="s">
        <v>71</v>
      </c>
      <c r="O38" s="180" t="str">
        <f t="shared" si="4"/>
        <v>--</v>
      </c>
      <c r="P38" s="145" t="str">
        <f t="shared" si="5"/>
        <v>NO</v>
      </c>
      <c r="Q38" s="145" t="s">
        <v>72</v>
      </c>
      <c r="R38" s="490" t="str">
        <f t="shared" si="7"/>
        <v>--</v>
      </c>
      <c r="S38" s="491" t="str">
        <f t="shared" si="8"/>
        <v>--</v>
      </c>
      <c r="T38" s="211" t="str">
        <f t="shared" si="9"/>
        <v>--</v>
      </c>
      <c r="U38" s="212">
        <f t="shared" si="10"/>
        <v>21214.690199999997</v>
      </c>
      <c r="V38" s="213" t="str">
        <f t="shared" si="11"/>
        <v>--</v>
      </c>
      <c r="W38" s="492" t="str">
        <f t="shared" si="12"/>
        <v>--</v>
      </c>
      <c r="X38" s="493" t="str">
        <f t="shared" si="13"/>
        <v>--</v>
      </c>
      <c r="Y38" s="494" t="str">
        <f t="shared" si="14"/>
        <v>--</v>
      </c>
      <c r="Z38" s="214" t="str">
        <f t="shared" si="15"/>
        <v>--</v>
      </c>
      <c r="AA38" s="215" t="str">
        <f t="shared" si="16"/>
        <v>--</v>
      </c>
      <c r="AB38" s="495" t="s">
        <v>72</v>
      </c>
      <c r="AC38" s="13">
        <f>IF(D38="","",SUM(R38:AA38)*IF(AB38="SI",1,2))</f>
        <v>21214.690199999997</v>
      </c>
      <c r="AD38" s="13">
        <f t="shared" si="18"/>
        <v>2535.8630992107096</v>
      </c>
      <c r="AE38" s="496"/>
    </row>
    <row r="39" spans="2:31" s="5" customFormat="1" ht="16.5" customHeight="1">
      <c r="B39" s="47"/>
      <c r="C39" s="147">
        <v>19</v>
      </c>
      <c r="D39" s="138" t="s">
        <v>85</v>
      </c>
      <c r="E39" s="140">
        <v>500</v>
      </c>
      <c r="F39" s="540">
        <v>257</v>
      </c>
      <c r="G39" s="140" t="s">
        <v>77</v>
      </c>
      <c r="H39" s="486">
        <f t="shared" si="0"/>
        <v>60</v>
      </c>
      <c r="I39" s="487">
        <f t="shared" si="1"/>
        <v>231.22033</v>
      </c>
      <c r="J39" s="176">
        <v>39323.10833333333</v>
      </c>
      <c r="K39" s="177">
        <v>39323.24930555555</v>
      </c>
      <c r="L39" s="178">
        <f t="shared" si="2"/>
        <v>3.383333333360497</v>
      </c>
      <c r="M39" s="179">
        <f t="shared" si="3"/>
        <v>203</v>
      </c>
      <c r="N39" s="209" t="s">
        <v>75</v>
      </c>
      <c r="O39" s="180" t="str">
        <f t="shared" si="4"/>
        <v>--</v>
      </c>
      <c r="P39" s="145" t="str">
        <f t="shared" si="5"/>
        <v>NO</v>
      </c>
      <c r="Q39" s="145" t="str">
        <f t="shared" si="6"/>
        <v>--</v>
      </c>
      <c r="R39" s="490">
        <f t="shared" si="7"/>
        <v>468.91482923999996</v>
      </c>
      <c r="S39" s="491" t="str">
        <f t="shared" si="8"/>
        <v>--</v>
      </c>
      <c r="T39" s="211" t="str">
        <f t="shared" si="9"/>
        <v>--</v>
      </c>
      <c r="U39" s="212" t="str">
        <f t="shared" si="10"/>
        <v>--</v>
      </c>
      <c r="V39" s="213" t="str">
        <f t="shared" si="11"/>
        <v>--</v>
      </c>
      <c r="W39" s="492" t="str">
        <f t="shared" si="12"/>
        <v>--</v>
      </c>
      <c r="X39" s="493" t="str">
        <f t="shared" si="13"/>
        <v>--</v>
      </c>
      <c r="Y39" s="494" t="str">
        <f t="shared" si="14"/>
        <v>--</v>
      </c>
      <c r="Z39" s="214" t="str">
        <f t="shared" si="15"/>
        <v>--</v>
      </c>
      <c r="AA39" s="215" t="str">
        <f t="shared" si="16"/>
        <v>--</v>
      </c>
      <c r="AB39" s="495" t="s">
        <v>72</v>
      </c>
      <c r="AC39" s="13">
        <f>IF(D39="","",SUM(R39:AA39)*IF(AB39="SI",1,2))</f>
        <v>468.91482923999996</v>
      </c>
      <c r="AD39" s="13">
        <f t="shared" si="18"/>
        <v>56.05096284377545</v>
      </c>
      <c r="AE39" s="496"/>
    </row>
    <row r="40" spans="2:31" s="5" customFormat="1" ht="16.5" customHeight="1">
      <c r="B40" s="47"/>
      <c r="C40" s="268"/>
      <c r="D40" s="138"/>
      <c r="E40" s="140"/>
      <c r="F40" s="540"/>
      <c r="G40" s="140"/>
      <c r="H40" s="486">
        <f t="shared" si="0"/>
        <v>20</v>
      </c>
      <c r="I40" s="487">
        <f t="shared" si="1"/>
        <v>74.974</v>
      </c>
      <c r="J40" s="176"/>
      <c r="K40" s="177"/>
      <c r="L40" s="178">
        <f t="shared" si="2"/>
      </c>
      <c r="M40" s="179">
        <f t="shared" si="3"/>
      </c>
      <c r="N40" s="209"/>
      <c r="O40" s="180">
        <f t="shared" si="4"/>
      </c>
      <c r="P40" s="145">
        <f t="shared" si="5"/>
      </c>
      <c r="Q40" s="145">
        <f t="shared" si="6"/>
      </c>
      <c r="R40" s="490" t="str">
        <f t="shared" si="7"/>
        <v>--</v>
      </c>
      <c r="S40" s="491" t="str">
        <f t="shared" si="8"/>
        <v>--</v>
      </c>
      <c r="T40" s="211" t="str">
        <f t="shared" si="9"/>
        <v>--</v>
      </c>
      <c r="U40" s="212" t="str">
        <f t="shared" si="10"/>
        <v>--</v>
      </c>
      <c r="V40" s="213" t="str">
        <f t="shared" si="11"/>
        <v>--</v>
      </c>
      <c r="W40" s="492" t="str">
        <f t="shared" si="12"/>
        <v>--</v>
      </c>
      <c r="X40" s="493" t="str">
        <f t="shared" si="13"/>
        <v>--</v>
      </c>
      <c r="Y40" s="494" t="str">
        <f t="shared" si="14"/>
        <v>--</v>
      </c>
      <c r="Z40" s="214" t="str">
        <f t="shared" si="15"/>
        <v>--</v>
      </c>
      <c r="AA40" s="215" t="str">
        <f t="shared" si="16"/>
        <v>--</v>
      </c>
      <c r="AB40" s="495">
        <f>IF(D40="","","SI")</f>
      </c>
      <c r="AC40" s="13">
        <f>IF(D40="","",SUM(R40:AA40)*IF(AB40="SI",1,2))</f>
      </c>
      <c r="AD40" s="13"/>
      <c r="AE40" s="496"/>
    </row>
    <row r="41" spans="2:31" s="5" customFormat="1" ht="16.5" customHeight="1" thickBot="1">
      <c r="B41" s="47"/>
      <c r="C41" s="147"/>
      <c r="D41" s="142"/>
      <c r="E41" s="216"/>
      <c r="F41" s="534"/>
      <c r="G41" s="217"/>
      <c r="H41" s="501"/>
      <c r="I41" s="502"/>
      <c r="J41" s="532"/>
      <c r="K41" s="532"/>
      <c r="L41" s="8"/>
      <c r="M41" s="8"/>
      <c r="N41" s="144"/>
      <c r="O41" s="182"/>
      <c r="P41" s="144"/>
      <c r="Q41" s="144"/>
      <c r="R41" s="503"/>
      <c r="S41" s="504"/>
      <c r="T41" s="218"/>
      <c r="U41" s="219"/>
      <c r="V41" s="220"/>
      <c r="W41" s="505"/>
      <c r="X41" s="506"/>
      <c r="Y41" s="507"/>
      <c r="Z41" s="221"/>
      <c r="AA41" s="222"/>
      <c r="AB41" s="508"/>
      <c r="AC41" s="223"/>
      <c r="AD41" s="223"/>
      <c r="AE41" s="496"/>
    </row>
    <row r="42" spans="2:31" s="5" customFormat="1" ht="16.5" customHeight="1" thickBot="1" thickTop="1">
      <c r="B42" s="47"/>
      <c r="C42" s="120" t="s">
        <v>23</v>
      </c>
      <c r="D42" s="121" t="s">
        <v>121</v>
      </c>
      <c r="E42" s="224"/>
      <c r="F42" s="194"/>
      <c r="G42" s="225"/>
      <c r="H42" s="194"/>
      <c r="I42" s="183"/>
      <c r="J42" s="183"/>
      <c r="K42" s="183"/>
      <c r="L42" s="183"/>
      <c r="M42" s="183"/>
      <c r="N42" s="183"/>
      <c r="O42" s="226"/>
      <c r="P42" s="183"/>
      <c r="Q42" s="183"/>
      <c r="R42" s="509">
        <f aca="true" t="shared" si="19" ref="R42:AA42">SUM(R20:R41)</f>
        <v>2308.3178825</v>
      </c>
      <c r="S42" s="510">
        <f t="shared" si="19"/>
        <v>0</v>
      </c>
      <c r="T42" s="511">
        <f t="shared" si="19"/>
        <v>76239.7306</v>
      </c>
      <c r="U42" s="511">
        <f t="shared" si="19"/>
        <v>80998.370948</v>
      </c>
      <c r="V42" s="511">
        <f t="shared" si="19"/>
        <v>0</v>
      </c>
      <c r="W42" s="512">
        <f t="shared" si="19"/>
        <v>0</v>
      </c>
      <c r="X42" s="512">
        <f t="shared" si="19"/>
        <v>0</v>
      </c>
      <c r="Y42" s="512">
        <f t="shared" si="19"/>
        <v>0</v>
      </c>
      <c r="Z42" s="227">
        <f t="shared" si="19"/>
        <v>0</v>
      </c>
      <c r="AA42" s="228">
        <f t="shared" si="19"/>
        <v>0</v>
      </c>
      <c r="AB42" s="229"/>
      <c r="AC42" s="230">
        <f>ROUND(SUM(AC20:AC41),2)</f>
        <v>159496.4</v>
      </c>
      <c r="AD42" s="230">
        <f>SUM(AD22:AD39)</f>
        <v>19065.139436429352</v>
      </c>
      <c r="AE42" s="496"/>
    </row>
    <row r="43" spans="2:31" s="126" customFormat="1" ht="9.75" thickTop="1">
      <c r="B43" s="125"/>
      <c r="C43" s="122"/>
      <c r="D43" s="123" t="s">
        <v>122</v>
      </c>
      <c r="E43" s="231"/>
      <c r="F43" s="232"/>
      <c r="G43" s="233"/>
      <c r="H43" s="232"/>
      <c r="I43" s="184"/>
      <c r="J43" s="184"/>
      <c r="K43" s="184"/>
      <c r="L43" s="184"/>
      <c r="M43" s="184"/>
      <c r="N43" s="184"/>
      <c r="O43" s="234"/>
      <c r="P43" s="184"/>
      <c r="Q43" s="184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235"/>
      <c r="AD43" s="235"/>
      <c r="AE43" s="236"/>
    </row>
    <row r="44" spans="2:31" s="5" customFormat="1" ht="16.5" customHeight="1" thickBot="1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1"/>
    </row>
    <row r="45" spans="2:31" ht="16.5" customHeight="1" thickTop="1">
      <c r="B45" s="1"/>
      <c r="AE45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F40"/>
  <sheetViews>
    <sheetView tabSelected="1" zoomScale="75" zoomScaleNormal="75" workbookViewId="0" topLeftCell="K1">
      <selection activeCell="B2" sqref="B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5" width="12.57421875" style="0" customWidth="1"/>
    <col min="6" max="7" width="14.28125" style="0" bestFit="1" customWidth="1"/>
    <col min="8" max="8" width="3.140625" style="0" hidden="1" customWidth="1"/>
    <col min="9" max="9" width="7.00390625" style="0" hidden="1" customWidth="1"/>
    <col min="10" max="11" width="15.7109375" style="0" customWidth="1"/>
    <col min="12" max="12" width="12.7109375" style="0" customWidth="1"/>
    <col min="13" max="14" width="9.7109375" style="0" customWidth="1"/>
    <col min="15" max="15" width="8.7109375" style="0" customWidth="1"/>
    <col min="16" max="16" width="5.421875" style="0" customWidth="1"/>
    <col min="17" max="17" width="5.8515625" style="0" customWidth="1"/>
    <col min="18" max="19" width="12.28125" style="0" hidden="1" customWidth="1"/>
    <col min="20" max="21" width="10.57421875" style="0" hidden="1" customWidth="1"/>
    <col min="22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15" customFormat="1" ht="26.25">
      <c r="A1"/>
      <c r="C1"/>
      <c r="E1"/>
      <c r="G1"/>
      <c r="I1"/>
      <c r="K1"/>
      <c r="M1"/>
      <c r="O1"/>
      <c r="Q1"/>
      <c r="S1"/>
      <c r="U1"/>
      <c r="W1"/>
      <c r="Y1"/>
      <c r="AE1" s="136"/>
    </row>
    <row r="2" spans="1:31" s="15" customFormat="1" ht="26.25">
      <c r="A2" s="83"/>
      <c r="B2" s="16" t="s">
        <v>149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="5" customFormat="1" ht="12.75">
      <c r="A3" s="82"/>
    </row>
    <row r="4" spans="1:2" s="22" customFormat="1" ht="11.25">
      <c r="A4" s="20" t="s">
        <v>1</v>
      </c>
      <c r="B4" s="118"/>
    </row>
    <row r="5" spans="1:2" s="22" customFormat="1" ht="11.25">
      <c r="A5" s="20" t="s">
        <v>2</v>
      </c>
      <c r="B5" s="118"/>
    </row>
    <row r="6" s="5" customFormat="1" ht="13.5" thickBot="1"/>
    <row r="7" spans="2:31" s="5" customFormat="1" ht="13.5" thickTop="1">
      <c r="B7" s="65"/>
      <c r="C7" s="66"/>
      <c r="D7" s="66"/>
      <c r="E7" s="188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86"/>
    </row>
    <row r="8" spans="2:31" s="26" customFormat="1" ht="20.25">
      <c r="B8" s="73"/>
      <c r="C8" s="27"/>
      <c r="D8" s="167" t="s">
        <v>43</v>
      </c>
      <c r="E8" s="27"/>
      <c r="F8" s="27"/>
      <c r="G8" s="27"/>
      <c r="H8" s="27"/>
      <c r="N8" s="27"/>
      <c r="O8" s="27"/>
      <c r="P8" s="9"/>
      <c r="Q8" s="9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101"/>
    </row>
    <row r="9" spans="2:31" s="5" customFormat="1" ht="12.75">
      <c r="B9" s="4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4"/>
    </row>
    <row r="10" spans="2:31" s="26" customFormat="1" ht="20.25">
      <c r="B10" s="73"/>
      <c r="C10" s="27"/>
      <c r="D10" s="9" t="s">
        <v>11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101"/>
    </row>
    <row r="11" spans="2:31" s="5" customFormat="1" ht="12.75">
      <c r="B11" s="4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4"/>
    </row>
    <row r="12" spans="2:31" s="26" customFormat="1" ht="20.25">
      <c r="B12" s="73"/>
      <c r="C12" s="27"/>
      <c r="D12" s="9" t="s">
        <v>127</v>
      </c>
      <c r="E12" s="27"/>
      <c r="F12" s="27"/>
      <c r="G12" s="27"/>
      <c r="I12" s="27"/>
      <c r="J12" s="27"/>
      <c r="K12" s="27"/>
      <c r="L12" s="27"/>
      <c r="M12" s="27"/>
      <c r="N12" s="27"/>
      <c r="O12" s="27"/>
      <c r="P12" s="9"/>
      <c r="Q12" s="9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101"/>
    </row>
    <row r="13" spans="2:31" s="5" customFormat="1" ht="12.75">
      <c r="B13" s="47"/>
      <c r="C13" s="4"/>
      <c r="D13" s="4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4"/>
    </row>
    <row r="14" spans="2:31" s="33" customFormat="1" ht="19.5">
      <c r="B14" s="34" t="str">
        <f>'TOT-0807'!B14</f>
        <v>Desde el 01 al 31 de agosto de 2007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189"/>
      <c r="O14" s="189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135"/>
    </row>
    <row r="15" spans="2:31" s="5" customFormat="1" ht="16.5" customHeight="1" thickBot="1">
      <c r="B15" s="47"/>
      <c r="C15" s="4"/>
      <c r="D15" s="4"/>
      <c r="E15" s="62"/>
      <c r="F15" s="62"/>
      <c r="G15" s="4"/>
      <c r="H15" s="4"/>
      <c r="I15" s="4"/>
      <c r="J15" s="190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4"/>
    </row>
    <row r="16" spans="2:31" s="5" customFormat="1" ht="16.5" customHeight="1" thickBot="1" thickTop="1">
      <c r="B16" s="47"/>
      <c r="C16" s="4"/>
      <c r="D16" s="76" t="s">
        <v>63</v>
      </c>
      <c r="E16" s="535">
        <v>89.969</v>
      </c>
      <c r="F16" s="19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4"/>
    </row>
    <row r="17" spans="2:31" s="5" customFormat="1" ht="16.5" customHeight="1" thickBot="1" thickTop="1">
      <c r="B17" s="47"/>
      <c r="C17" s="4"/>
      <c r="D17" s="76" t="s">
        <v>64</v>
      </c>
      <c r="E17" s="535">
        <v>74.974</v>
      </c>
      <c r="F17" s="191"/>
      <c r="G17" s="4"/>
      <c r="H17" s="4"/>
      <c r="I17" s="4"/>
      <c r="J17" s="192"/>
      <c r="K17" s="193"/>
      <c r="L17" s="4"/>
      <c r="M17" s="4"/>
      <c r="N17" s="4"/>
      <c r="O17" s="4"/>
      <c r="P17" s="4"/>
      <c r="Q17" s="4"/>
      <c r="R17" s="4"/>
      <c r="S17" s="4"/>
      <c r="T17" s="4"/>
      <c r="U17" s="4"/>
      <c r="V17" s="109"/>
      <c r="W17" s="109"/>
      <c r="X17" s="109"/>
      <c r="Y17" s="109"/>
      <c r="Z17" s="109"/>
      <c r="AA17" s="109"/>
      <c r="AB17" s="109"/>
      <c r="AE17" s="14"/>
    </row>
    <row r="18" spans="2:31" s="5" customFormat="1" ht="16.5" customHeight="1" thickBot="1" thickTop="1">
      <c r="B18" s="47"/>
      <c r="C18" s="4"/>
      <c r="D18" s="4"/>
      <c r="E18" s="194"/>
      <c r="F18" s="4"/>
      <c r="G18" s="4"/>
      <c r="H18" s="4"/>
      <c r="I18" s="4"/>
      <c r="J18" s="4"/>
      <c r="K18" s="4"/>
      <c r="L18" s="4"/>
      <c r="M18" s="4"/>
      <c r="N18" s="19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4"/>
    </row>
    <row r="19" spans="2:31" s="5" customFormat="1" ht="33.75" customHeight="1" thickBot="1" thickTop="1">
      <c r="B19" s="47"/>
      <c r="C19" s="78" t="s">
        <v>12</v>
      </c>
      <c r="D19" s="79" t="s">
        <v>0</v>
      </c>
      <c r="E19" s="468" t="s">
        <v>13</v>
      </c>
      <c r="F19" s="80" t="s">
        <v>14</v>
      </c>
      <c r="G19" s="196" t="s">
        <v>45</v>
      </c>
      <c r="H19" s="469" t="s">
        <v>36</v>
      </c>
      <c r="I19" s="470" t="s">
        <v>15</v>
      </c>
      <c r="J19" s="79" t="s">
        <v>16</v>
      </c>
      <c r="K19" s="170" t="s">
        <v>17</v>
      </c>
      <c r="L19" s="81" t="s">
        <v>35</v>
      </c>
      <c r="M19" s="80" t="s">
        <v>31</v>
      </c>
      <c r="N19" s="81" t="s">
        <v>18</v>
      </c>
      <c r="O19" s="80" t="s">
        <v>37</v>
      </c>
      <c r="P19" s="170" t="s">
        <v>38</v>
      </c>
      <c r="Q19" s="79" t="s">
        <v>32</v>
      </c>
      <c r="R19" s="134" t="s">
        <v>19</v>
      </c>
      <c r="S19" s="471" t="s">
        <v>20</v>
      </c>
      <c r="T19" s="197" t="s">
        <v>39</v>
      </c>
      <c r="U19" s="198"/>
      <c r="V19" s="199"/>
      <c r="W19" s="472" t="s">
        <v>67</v>
      </c>
      <c r="X19" s="473"/>
      <c r="Y19" s="474"/>
      <c r="Z19" s="200" t="s">
        <v>21</v>
      </c>
      <c r="AA19" s="201" t="s">
        <v>46</v>
      </c>
      <c r="AB19" s="131" t="s">
        <v>47</v>
      </c>
      <c r="AC19" s="131" t="s">
        <v>22</v>
      </c>
      <c r="AD19" s="131" t="s">
        <v>139</v>
      </c>
      <c r="AE19" s="202"/>
    </row>
    <row r="20" spans="2:32" s="5" customFormat="1" ht="16.5" customHeight="1" thickTop="1">
      <c r="B20" s="47"/>
      <c r="C20" s="147"/>
      <c r="D20" s="497"/>
      <c r="E20" s="498"/>
      <c r="F20" s="539"/>
      <c r="G20" s="498"/>
      <c r="H20" s="486"/>
      <c r="I20" s="487"/>
      <c r="J20" s="499"/>
      <c r="K20" s="500"/>
      <c r="L20" s="178"/>
      <c r="M20" s="179"/>
      <c r="N20" s="209"/>
      <c r="O20" s="180"/>
      <c r="P20" s="145"/>
      <c r="Q20" s="145"/>
      <c r="R20" s="490"/>
      <c r="S20" s="491"/>
      <c r="T20" s="211"/>
      <c r="U20" s="212"/>
      <c r="V20" s="213"/>
      <c r="W20" s="492"/>
      <c r="X20" s="493"/>
      <c r="Y20" s="494"/>
      <c r="Z20" s="214"/>
      <c r="AA20" s="215"/>
      <c r="AB20" s="495"/>
      <c r="AC20" s="13"/>
      <c r="AD20" s="13"/>
      <c r="AE20" s="496"/>
      <c r="AF20" s="5">
        <v>0.8804666447964105</v>
      </c>
    </row>
    <row r="21" spans="2:31" s="5" customFormat="1" ht="16.5" customHeight="1">
      <c r="B21" s="47"/>
      <c r="C21" s="147">
        <v>3</v>
      </c>
      <c r="D21" s="497" t="s">
        <v>76</v>
      </c>
      <c r="E21" s="498">
        <v>500</v>
      </c>
      <c r="F21" s="539">
        <v>255</v>
      </c>
      <c r="G21" s="498" t="s">
        <v>77</v>
      </c>
      <c r="H21" s="486">
        <f>IF(G21="A",200,IF(G21="B",60,20))</f>
        <v>60</v>
      </c>
      <c r="I21" s="487">
        <f>IF(E21=500,IF(F21&lt;100,100*$E$16/100,F21*$E$16/100),IF(F21&lt;100,100*$E$17/100,F21*$E$17/100))</f>
        <v>229.42094999999998</v>
      </c>
      <c r="J21" s="499">
        <v>39295.62569444445</v>
      </c>
      <c r="K21" s="500">
        <v>39295.66388888889</v>
      </c>
      <c r="L21" s="178">
        <f>IF(D21="","",(K21-J21)*24)</f>
        <v>0.9166666666860692</v>
      </c>
      <c r="M21" s="179">
        <f>IF(D21="","",ROUND((K21-J21)*24*60,0))</f>
        <v>55</v>
      </c>
      <c r="N21" s="209" t="s">
        <v>71</v>
      </c>
      <c r="O21" s="180" t="str">
        <f>IF(D21="","","--")</f>
        <v>--</v>
      </c>
      <c r="P21" s="145" t="str">
        <f>IF(D21="","","NO")</f>
        <v>NO</v>
      </c>
      <c r="Q21" s="145" t="str">
        <f>IF(D21="","",IF(OR(N21="P",N21="RP"),"--","NO"))</f>
        <v>NO</v>
      </c>
      <c r="R21" s="490" t="str">
        <f>IF(N21="P",I21*H21*ROUND(M21/60,2)*0.01,"--")</f>
        <v>--</v>
      </c>
      <c r="S21" s="491" t="str">
        <f>IF(N21="RP",I21*H21*ROUND(M21/60,2)*0.01*O21/100,"--")</f>
        <v>--</v>
      </c>
      <c r="T21" s="211">
        <v>0</v>
      </c>
      <c r="U21" s="212">
        <f>IF(AND(N21="F",M21&gt;=10),I21*H21*IF(P21="SI",1.2,1)*IF(M21&lt;=300,ROUND(M21/60,2),5),"--")</f>
        <v>12664.036439999998</v>
      </c>
      <c r="V21" s="213" t="str">
        <f>IF(AND(N21="F",M21&gt;300),(ROUND(M21/60,2)-5)*I21*H21*0.1*IF(P21="SI",1.2,1),"--")</f>
        <v>--</v>
      </c>
      <c r="W21" s="492" t="str">
        <f>IF(AND(N21="R",Q21="NO"),I21*H21*O21/100*IF(P21="SI",1.2,1),"--")</f>
        <v>--</v>
      </c>
      <c r="X21" s="493" t="str">
        <f>IF(AND(N21="R",M21&gt;=10),I21*H21*O21/100*IF(P21="SI",1.2,1)*IF(M21&lt;=300,ROUND(M21/60,2),5),"--")</f>
        <v>--</v>
      </c>
      <c r="Y21" s="494" t="str">
        <f>IF(AND(N21="R",M21&gt;300),(ROUND(M21/60,2)-5)*I21*H21*0.1*O21/100*IF(P21="SI",1.2,1),"--")</f>
        <v>--</v>
      </c>
      <c r="Z21" s="214" t="str">
        <f>IF(N21="RF",ROUND(M21/60,2)*I21*H21*0.1*IF(P21="SI",1.2,1),"--")</f>
        <v>--</v>
      </c>
      <c r="AA21" s="215" t="str">
        <f>IF(N21="RR",ROUND(M21/60,2)*I21*H21*0.1*O21/100*IF(P21="SI",1.2,1),"--")</f>
        <v>--</v>
      </c>
      <c r="AB21" s="495" t="s">
        <v>72</v>
      </c>
      <c r="AC21" s="13">
        <f>IF(D21="","",SUM(R21:AA21)*IF(AB21="SI",1,2))</f>
        <v>12664.036439999998</v>
      </c>
      <c r="AD21" s="13">
        <f>AC21*(1-AF20)</f>
        <v>1513.7747660937214</v>
      </c>
      <c r="AE21" s="496"/>
    </row>
    <row r="22" spans="2:31" s="5" customFormat="1" ht="16.5" customHeight="1">
      <c r="B22" s="47"/>
      <c r="C22" s="147"/>
      <c r="D22" s="147"/>
      <c r="E22" s="175"/>
      <c r="F22" s="538"/>
      <c r="G22" s="175"/>
      <c r="H22" s="486"/>
      <c r="I22" s="487"/>
      <c r="J22" s="488"/>
      <c r="K22" s="489"/>
      <c r="L22" s="178"/>
      <c r="M22" s="179"/>
      <c r="N22" s="209"/>
      <c r="O22" s="180"/>
      <c r="P22" s="145"/>
      <c r="Q22" s="145"/>
      <c r="R22" s="490"/>
      <c r="S22" s="491"/>
      <c r="T22" s="211"/>
      <c r="U22" s="212"/>
      <c r="V22" s="213"/>
      <c r="W22" s="492"/>
      <c r="X22" s="493"/>
      <c r="Y22" s="494"/>
      <c r="Z22" s="214"/>
      <c r="AA22" s="215"/>
      <c r="AB22" s="495"/>
      <c r="AC22" s="13"/>
      <c r="AD22" s="13"/>
      <c r="AE22" s="496"/>
    </row>
    <row r="23" spans="2:31" s="5" customFormat="1" ht="16.5" customHeight="1" thickBot="1">
      <c r="B23" s="47"/>
      <c r="C23" s="147"/>
      <c r="D23" s="142"/>
      <c r="E23" s="216"/>
      <c r="F23" s="534"/>
      <c r="G23" s="217"/>
      <c r="H23" s="501"/>
      <c r="I23" s="502"/>
      <c r="J23" s="532"/>
      <c r="K23" s="532"/>
      <c r="L23" s="8"/>
      <c r="M23" s="8"/>
      <c r="N23" s="144"/>
      <c r="O23" s="182"/>
      <c r="P23" s="144"/>
      <c r="Q23" s="144"/>
      <c r="R23" s="503"/>
      <c r="S23" s="504"/>
      <c r="T23" s="218"/>
      <c r="U23" s="219"/>
      <c r="V23" s="220"/>
      <c r="W23" s="505"/>
      <c r="X23" s="506"/>
      <c r="Y23" s="507"/>
      <c r="Z23" s="221"/>
      <c r="AA23" s="222"/>
      <c r="AB23" s="508"/>
      <c r="AC23" s="223"/>
      <c r="AD23" s="223"/>
      <c r="AE23" s="496"/>
    </row>
    <row r="24" spans="2:31" s="5" customFormat="1" ht="16.5" customHeight="1" thickBot="1" thickTop="1">
      <c r="B24" s="47"/>
      <c r="C24" s="120" t="s">
        <v>23</v>
      </c>
      <c r="D24" s="121" t="s">
        <v>128</v>
      </c>
      <c r="E24" s="224"/>
      <c r="F24" s="194"/>
      <c r="G24" s="225"/>
      <c r="H24" s="194"/>
      <c r="I24" s="183"/>
      <c r="J24" s="183"/>
      <c r="K24" s="183"/>
      <c r="L24" s="183"/>
      <c r="M24" s="183"/>
      <c r="N24" s="183"/>
      <c r="O24" s="226"/>
      <c r="P24" s="183"/>
      <c r="Q24" s="183"/>
      <c r="R24" s="509">
        <f aca="true" t="shared" si="0" ref="R24:AA24">SUM(R20:R23)</f>
        <v>0</v>
      </c>
      <c r="S24" s="510">
        <f t="shared" si="0"/>
        <v>0</v>
      </c>
      <c r="T24" s="511">
        <f t="shared" si="0"/>
        <v>0</v>
      </c>
      <c r="U24" s="511">
        <f t="shared" si="0"/>
        <v>12664.036439999998</v>
      </c>
      <c r="V24" s="511">
        <f t="shared" si="0"/>
        <v>0</v>
      </c>
      <c r="W24" s="512">
        <f t="shared" si="0"/>
        <v>0</v>
      </c>
      <c r="X24" s="512">
        <f t="shared" si="0"/>
        <v>0</v>
      </c>
      <c r="Y24" s="512">
        <f t="shared" si="0"/>
        <v>0</v>
      </c>
      <c r="Z24" s="227">
        <f t="shared" si="0"/>
        <v>0</v>
      </c>
      <c r="AA24" s="228">
        <f t="shared" si="0"/>
        <v>0</v>
      </c>
      <c r="AB24" s="229"/>
      <c r="AC24" s="230">
        <f>ROUND(SUM(AC20:AC23),2)</f>
        <v>12664.04</v>
      </c>
      <c r="AD24" s="230">
        <f>SUM(AD21)</f>
        <v>1513.7747660937214</v>
      </c>
      <c r="AE24" s="496"/>
    </row>
    <row r="25" spans="2:31" s="126" customFormat="1" ht="9.75" thickTop="1">
      <c r="B25" s="125"/>
      <c r="C25" s="122"/>
      <c r="D25" s="123" t="s">
        <v>129</v>
      </c>
      <c r="E25" s="231"/>
      <c r="F25" s="232"/>
      <c r="G25" s="233"/>
      <c r="H25" s="232"/>
      <c r="I25" s="184"/>
      <c r="J25" s="184"/>
      <c r="K25" s="184"/>
      <c r="L25" s="184"/>
      <c r="M25" s="184"/>
      <c r="N25" s="184"/>
      <c r="O25" s="234"/>
      <c r="P25" s="184"/>
      <c r="Q25" s="184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235"/>
      <c r="AD25" s="235"/>
      <c r="AE25" s="236"/>
    </row>
    <row r="26" spans="2:31" s="126" customFormat="1" ht="9">
      <c r="B26" s="125"/>
      <c r="C26" s="122"/>
      <c r="D26" s="123"/>
      <c r="E26" s="231"/>
      <c r="F26" s="232"/>
      <c r="G26" s="233"/>
      <c r="H26" s="232"/>
      <c r="I26" s="184"/>
      <c r="J26" s="184"/>
      <c r="K26" s="184"/>
      <c r="L26" s="184"/>
      <c r="M26" s="184"/>
      <c r="N26" s="184"/>
      <c r="O26" s="234"/>
      <c r="P26" s="184"/>
      <c r="Q26" s="184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235"/>
      <c r="AD26" s="235"/>
      <c r="AE26" s="236"/>
    </row>
    <row r="27" spans="2:31" s="126" customFormat="1" ht="9">
      <c r="B27" s="125"/>
      <c r="C27" s="122"/>
      <c r="D27" s="123"/>
      <c r="E27" s="231"/>
      <c r="F27" s="232"/>
      <c r="G27" s="233"/>
      <c r="H27" s="232"/>
      <c r="I27" s="184"/>
      <c r="J27" s="184"/>
      <c r="K27" s="184"/>
      <c r="L27" s="184"/>
      <c r="M27" s="184"/>
      <c r="N27" s="184"/>
      <c r="O27" s="234"/>
      <c r="P27" s="184"/>
      <c r="Q27" s="184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235"/>
      <c r="AD27" s="235"/>
      <c r="AE27" s="236"/>
    </row>
    <row r="28" spans="2:31" s="126" customFormat="1" ht="20.25">
      <c r="B28" s="125"/>
      <c r="C28" s="611" t="s">
        <v>146</v>
      </c>
      <c r="D28" s="611"/>
      <c r="E28" s="611"/>
      <c r="F28" s="611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1"/>
      <c r="S28" s="611"/>
      <c r="T28" s="611"/>
      <c r="U28" s="611"/>
      <c r="V28" s="611"/>
      <c r="W28" s="611"/>
      <c r="X28" s="611"/>
      <c r="Y28" s="611"/>
      <c r="Z28" s="611"/>
      <c r="AA28" s="611"/>
      <c r="AB28" s="611"/>
      <c r="AC28" s="611"/>
      <c r="AD28" s="611"/>
      <c r="AE28" s="236"/>
    </row>
    <row r="29" spans="2:31" s="126" customFormat="1" ht="9">
      <c r="B29" s="125"/>
      <c r="C29" s="122"/>
      <c r="D29" s="123"/>
      <c r="E29" s="231"/>
      <c r="F29" s="232"/>
      <c r="G29" s="233"/>
      <c r="H29" s="232"/>
      <c r="I29" s="184"/>
      <c r="J29" s="184"/>
      <c r="K29" s="184"/>
      <c r="L29" s="184"/>
      <c r="M29" s="184"/>
      <c r="N29" s="184"/>
      <c r="O29" s="234"/>
      <c r="P29" s="184"/>
      <c r="Q29" s="184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235"/>
      <c r="AD29" s="235"/>
      <c r="AE29" s="236"/>
    </row>
    <row r="30" spans="2:31" s="126" customFormat="1" ht="9.75" thickBot="1">
      <c r="B30" s="125"/>
      <c r="C30" s="122"/>
      <c r="D30" s="123"/>
      <c r="E30" s="231"/>
      <c r="F30" s="232"/>
      <c r="G30" s="233"/>
      <c r="H30" s="232"/>
      <c r="I30" s="184"/>
      <c r="J30" s="184"/>
      <c r="K30" s="184"/>
      <c r="L30" s="184"/>
      <c r="M30" s="184"/>
      <c r="N30" s="184"/>
      <c r="O30" s="234"/>
      <c r="P30" s="184"/>
      <c r="Q30" s="184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235"/>
      <c r="AD30" s="235"/>
      <c r="AE30" s="236"/>
    </row>
    <row r="31" spans="2:31" s="126" customFormat="1" ht="14.25" thickBot="1" thickTop="1">
      <c r="B31" s="125"/>
      <c r="C31" s="122"/>
      <c r="D31" s="564" t="s">
        <v>142</v>
      </c>
      <c r="E31" s="565">
        <v>54741</v>
      </c>
      <c r="F31" s="232"/>
      <c r="G31" s="233"/>
      <c r="H31" s="232"/>
      <c r="I31" s="184"/>
      <c r="J31" s="184"/>
      <c r="K31" s="184"/>
      <c r="L31" s="184"/>
      <c r="M31" s="184"/>
      <c r="N31" s="184"/>
      <c r="O31" s="234"/>
      <c r="P31" s="184"/>
      <c r="Q31" s="184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235"/>
      <c r="AD31" s="235"/>
      <c r="AE31" s="236"/>
    </row>
    <row r="32" spans="2:31" s="126" customFormat="1" ht="10.5" thickBot="1" thickTop="1">
      <c r="B32" s="125"/>
      <c r="C32" s="122"/>
      <c r="D32" s="123"/>
      <c r="E32" s="231"/>
      <c r="F32" s="232"/>
      <c r="G32" s="233"/>
      <c r="H32" s="232"/>
      <c r="I32" s="184"/>
      <c r="J32" s="184"/>
      <c r="K32" s="184"/>
      <c r="L32" s="184"/>
      <c r="M32" s="184"/>
      <c r="N32" s="184"/>
      <c r="O32" s="234"/>
      <c r="P32" s="184"/>
      <c r="Q32" s="184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235"/>
      <c r="AD32" s="235"/>
      <c r="AE32" s="236"/>
    </row>
    <row r="33" spans="2:31" s="126" customFormat="1" ht="78" thickBot="1" thickTop="1">
      <c r="B33" s="125"/>
      <c r="C33" s="569" t="s">
        <v>12</v>
      </c>
      <c r="D33" s="570" t="s">
        <v>28</v>
      </c>
      <c r="E33" s="571" t="s">
        <v>143</v>
      </c>
      <c r="F33" s="570" t="s">
        <v>16</v>
      </c>
      <c r="G33" s="572" t="s">
        <v>17</v>
      </c>
      <c r="H33" s="571" t="s">
        <v>35</v>
      </c>
      <c r="I33" s="184" t="s">
        <v>31</v>
      </c>
      <c r="J33" s="571" t="s">
        <v>18</v>
      </c>
      <c r="K33" s="573" t="s">
        <v>22</v>
      </c>
      <c r="L33" s="131" t="s">
        <v>145</v>
      </c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235"/>
      <c r="Y33" s="235"/>
      <c r="Z33" s="236"/>
      <c r="AE33" s="236"/>
    </row>
    <row r="34" spans="2:31" s="126" customFormat="1" ht="15.75" thickTop="1">
      <c r="B34" s="125"/>
      <c r="C34" s="574"/>
      <c r="D34" s="575"/>
      <c r="E34" s="576"/>
      <c r="F34" s="577"/>
      <c r="G34" s="568"/>
      <c r="H34" s="578"/>
      <c r="I34" s="579"/>
      <c r="J34" s="580"/>
      <c r="K34" s="581"/>
      <c r="L34" s="13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235"/>
      <c r="Y34" s="235"/>
      <c r="Z34" s="236"/>
      <c r="AE34" s="236"/>
    </row>
    <row r="35" spans="2:31" s="126" customFormat="1" ht="15">
      <c r="B35" s="125"/>
      <c r="C35" s="574">
        <v>1</v>
      </c>
      <c r="D35" s="582" t="s">
        <v>144</v>
      </c>
      <c r="E35" s="582"/>
      <c r="F35" s="583">
        <v>39297.07847222222</v>
      </c>
      <c r="G35" s="583">
        <v>39297.51111111111</v>
      </c>
      <c r="H35" s="584">
        <f>IF(D35="","",ROUND((G35-F35)*24,2))</f>
        <v>10.38</v>
      </c>
      <c r="I35" s="585">
        <f>IF(D35="","",ROUND((G35-F35)*24*60,0))</f>
        <v>623</v>
      </c>
      <c r="J35" s="586" t="s">
        <v>75</v>
      </c>
      <c r="K35" s="598">
        <v>547.41</v>
      </c>
      <c r="L35" s="13">
        <f>K35*(1-$AF$20)</f>
        <v>65.43375397199695</v>
      </c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235"/>
      <c r="Y35" s="235"/>
      <c r="Z35" s="236"/>
      <c r="AE35" s="236"/>
    </row>
    <row r="36" spans="2:31" s="126" customFormat="1" ht="15">
      <c r="B36" s="125"/>
      <c r="C36" s="574">
        <v>2</v>
      </c>
      <c r="D36" s="582" t="s">
        <v>144</v>
      </c>
      <c r="E36" s="582"/>
      <c r="F36" s="583">
        <v>39305.28472222222</v>
      </c>
      <c r="G36" s="583">
        <v>39305.381944444445</v>
      </c>
      <c r="H36" s="584">
        <f>IF(D36="","",ROUND((G36-F36)*24,2))</f>
        <v>2.33</v>
      </c>
      <c r="I36" s="585">
        <f>IF(D36="","",ROUND((G36-F36)*24*60,0))</f>
        <v>140</v>
      </c>
      <c r="J36" s="586" t="s">
        <v>75</v>
      </c>
      <c r="K36" s="587">
        <v>547.41</v>
      </c>
      <c r="L36" s="13">
        <f>K36*(1-$AF$20)</f>
        <v>65.43375397199695</v>
      </c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235"/>
      <c r="Y36" s="235"/>
      <c r="Z36" s="236"/>
      <c r="AA36" s="124"/>
      <c r="AB36" s="124"/>
      <c r="AC36" s="124"/>
      <c r="AD36" s="124"/>
      <c r="AE36" s="236"/>
    </row>
    <row r="37" spans="2:31" s="5" customFormat="1" ht="16.5" customHeight="1" thickBot="1">
      <c r="B37" s="603"/>
      <c r="C37" s="588"/>
      <c r="D37" s="589"/>
      <c r="E37" s="590"/>
      <c r="F37" s="591"/>
      <c r="G37" s="592"/>
      <c r="H37" s="593">
        <f>IF(D37="","",ROUND((G37-F37)*24,2))</f>
      </c>
      <c r="I37" s="594">
        <f>IF(D37="","",ROUND((G37-F37)*24*60,0))</f>
      </c>
      <c r="J37" s="595"/>
      <c r="K37" s="596" t="s">
        <v>140</v>
      </c>
      <c r="L37" s="13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235"/>
      <c r="Y37" s="235"/>
      <c r="Z37" s="236"/>
      <c r="AA37" s="124"/>
      <c r="AB37" s="124"/>
      <c r="AC37" s="124"/>
      <c r="AD37" s="124"/>
      <c r="AE37" s="6"/>
    </row>
    <row r="38" spans="2:31" ht="16.5" customHeight="1" thickBot="1" thickTop="1">
      <c r="B38" s="599"/>
      <c r="C38" s="122"/>
      <c r="D38" s="567"/>
      <c r="E38" s="567"/>
      <c r="F38" s="568"/>
      <c r="G38" s="568"/>
      <c r="H38" s="568">
        <f>IF(D38="","",ROUND((G38-F38)*24,2))</f>
      </c>
      <c r="I38" s="568">
        <f>IF(D38="","",ROUND((G38-F38)*24*60,0))</f>
      </c>
      <c r="J38" s="566"/>
      <c r="K38" s="597">
        <v>10948.2</v>
      </c>
      <c r="L38" s="597">
        <f>SUM(L35:L36)</f>
        <v>130.8675079439939</v>
      </c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235"/>
      <c r="Y38" s="235"/>
      <c r="Z38" s="236"/>
      <c r="AA38" s="124"/>
      <c r="AB38" s="124"/>
      <c r="AC38" s="124"/>
      <c r="AD38" s="124"/>
      <c r="AE38" s="600"/>
    </row>
    <row r="39" spans="2:31" ht="13.5" thickTop="1">
      <c r="B39" s="59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600"/>
    </row>
    <row r="40" spans="2:31" ht="13.5" thickBot="1">
      <c r="B40" s="601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602"/>
    </row>
    <row r="41" ht="13.5" thickTop="1"/>
  </sheetData>
  <sheetProtection password="CC12"/>
  <mergeCells count="1">
    <mergeCell ref="C28:AD28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AD155"/>
  <sheetViews>
    <sheetView tabSelected="1" zoomScale="75" zoomScaleNormal="75" workbookViewId="0" topLeftCell="K12">
      <selection activeCell="B2" sqref="B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3" width="9.7109375" style="0" customWidth="1"/>
    <col min="14" max="14" width="9.7109375" style="56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9" width="15.7109375" style="0" customWidth="1"/>
  </cols>
  <sheetData>
    <row r="1" spans="2:29" s="15" customFormat="1" ht="26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544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137"/>
    </row>
    <row r="2" spans="1:29" s="15" customFormat="1" ht="26.25">
      <c r="A2" s="83"/>
      <c r="B2" s="237" t="s">
        <v>149</v>
      </c>
      <c r="C2" s="237"/>
      <c r="D2" s="237"/>
      <c r="E2" s="16"/>
      <c r="F2" s="237"/>
      <c r="G2" s="237"/>
      <c r="H2" s="237"/>
      <c r="I2" s="237"/>
      <c r="J2" s="237"/>
      <c r="K2" s="237"/>
      <c r="L2" s="237"/>
      <c r="M2" s="237"/>
      <c r="N2" s="545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</row>
    <row r="3" spans="1:29" s="5" customFormat="1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546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1:29" s="22" customFormat="1" ht="11.25">
      <c r="A4" s="238" t="s">
        <v>48</v>
      </c>
      <c r="B4" s="10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547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s="22" customFormat="1" ht="11.25">
      <c r="A5" s="238" t="s">
        <v>2</v>
      </c>
      <c r="B5" s="10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547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spans="1:29" s="5" customFormat="1" ht="13.5" thickBo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546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</row>
    <row r="7" spans="1:29" s="5" customFormat="1" ht="13.5" thickTop="1">
      <c r="A7" s="82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548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6"/>
    </row>
    <row r="8" spans="1:29" s="26" customFormat="1" ht="20.25">
      <c r="A8" s="99"/>
      <c r="B8" s="100"/>
      <c r="C8" s="99"/>
      <c r="D8" s="239" t="s">
        <v>43</v>
      </c>
      <c r="E8" s="99"/>
      <c r="F8" s="99"/>
      <c r="G8" s="240"/>
      <c r="H8" s="99"/>
      <c r="I8" s="99"/>
      <c r="J8" s="99"/>
      <c r="K8" s="99"/>
      <c r="L8" s="99"/>
      <c r="M8" s="99"/>
      <c r="N8" s="549"/>
      <c r="O8" s="99"/>
      <c r="P8" s="99"/>
      <c r="Q8" s="99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01"/>
    </row>
    <row r="9" spans="1:29" s="5" customFormat="1" ht="12.75">
      <c r="A9" s="82"/>
      <c r="B9" s="87"/>
      <c r="C9" s="82"/>
      <c r="D9" s="12"/>
      <c r="E9" s="241"/>
      <c r="F9" s="82"/>
      <c r="G9" s="12"/>
      <c r="H9" s="82"/>
      <c r="I9" s="82"/>
      <c r="J9" s="82"/>
      <c r="K9" s="82"/>
      <c r="L9" s="82"/>
      <c r="M9" s="82"/>
      <c r="N9" s="546"/>
      <c r="O9" s="82"/>
      <c r="P9" s="82"/>
      <c r="Q9" s="8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4"/>
    </row>
    <row r="10" spans="1:29" s="26" customFormat="1" ht="20.25">
      <c r="A10" s="99"/>
      <c r="B10" s="100"/>
      <c r="C10" s="99"/>
      <c r="D10" s="239" t="s">
        <v>24</v>
      </c>
      <c r="E10" s="99"/>
      <c r="F10" s="10"/>
      <c r="G10" s="88"/>
      <c r="H10" s="99"/>
      <c r="I10" s="99"/>
      <c r="J10" s="99"/>
      <c r="K10" s="99"/>
      <c r="L10" s="99"/>
      <c r="M10" s="99"/>
      <c r="N10" s="549"/>
      <c r="O10" s="99"/>
      <c r="P10" s="99"/>
      <c r="Q10" s="99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101"/>
    </row>
    <row r="11" spans="1:29" s="5" customFormat="1" ht="12.75">
      <c r="A11" s="82"/>
      <c r="B11" s="87"/>
      <c r="C11" s="82"/>
      <c r="D11" s="12"/>
      <c r="E11" s="12"/>
      <c r="F11" s="12"/>
      <c r="G11" s="12"/>
      <c r="H11" s="82"/>
      <c r="I11" s="82"/>
      <c r="J11" s="82"/>
      <c r="K11" s="82"/>
      <c r="L11" s="82"/>
      <c r="M11" s="82"/>
      <c r="N11" s="546"/>
      <c r="O11" s="82"/>
      <c r="P11" s="82"/>
      <c r="Q11" s="8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4"/>
    </row>
    <row r="12" spans="1:29" s="5" customFormat="1" ht="20.25">
      <c r="A12" s="99"/>
      <c r="B12" s="100"/>
      <c r="C12" s="99"/>
      <c r="D12" s="107" t="s">
        <v>25</v>
      </c>
      <c r="E12" s="99"/>
      <c r="F12" s="99"/>
      <c r="G12" s="99"/>
      <c r="H12" s="97"/>
      <c r="I12" s="97"/>
      <c r="J12" s="97"/>
      <c r="K12" s="97"/>
      <c r="L12" s="97"/>
      <c r="M12" s="82"/>
      <c r="N12" s="546"/>
      <c r="O12" s="82"/>
      <c r="P12" s="82"/>
      <c r="Q12" s="8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4"/>
    </row>
    <row r="13" spans="1:29" s="5" customFormat="1" ht="12.75">
      <c r="A13" s="82"/>
      <c r="B13" s="87"/>
      <c r="C13" s="82"/>
      <c r="D13" s="12"/>
      <c r="E13" s="12"/>
      <c r="F13" s="12"/>
      <c r="G13" s="90"/>
      <c r="H13" s="12"/>
      <c r="I13" s="12"/>
      <c r="J13" s="12"/>
      <c r="K13" s="12"/>
      <c r="L13" s="12"/>
      <c r="M13" s="82"/>
      <c r="N13" s="546"/>
      <c r="O13" s="82"/>
      <c r="P13" s="82"/>
      <c r="Q13" s="8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4"/>
    </row>
    <row r="14" spans="1:29" s="33" customFormat="1" ht="19.5">
      <c r="A14" s="103"/>
      <c r="B14" s="34" t="str">
        <f>'TOT-0807'!B14</f>
        <v>Desde el 01 al 31 de agosto de 2007</v>
      </c>
      <c r="C14" s="242"/>
      <c r="D14" s="106"/>
      <c r="E14" s="106"/>
      <c r="F14" s="106"/>
      <c r="G14" s="106"/>
      <c r="H14" s="106"/>
      <c r="I14" s="106"/>
      <c r="J14" s="106"/>
      <c r="K14" s="106"/>
      <c r="L14" s="106"/>
      <c r="M14" s="242"/>
      <c r="N14" s="550"/>
      <c r="O14" s="242"/>
      <c r="P14" s="242"/>
      <c r="Q14" s="242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243"/>
    </row>
    <row r="15" spans="1:29" s="5" customFormat="1" ht="13.5" thickBot="1">
      <c r="A15" s="82"/>
      <c r="B15" s="87"/>
      <c r="C15" s="82"/>
      <c r="D15" s="12"/>
      <c r="E15" s="12"/>
      <c r="F15" s="12"/>
      <c r="G15" s="90"/>
      <c r="H15" s="12"/>
      <c r="I15" s="12"/>
      <c r="J15" s="12"/>
      <c r="K15" s="12"/>
      <c r="L15" s="12"/>
      <c r="M15" s="82"/>
      <c r="N15" s="546"/>
      <c r="O15" s="82"/>
      <c r="P15" s="82"/>
      <c r="Q15" s="8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4"/>
    </row>
    <row r="16" spans="1:29" s="5" customFormat="1" ht="16.5" customHeight="1" thickBot="1" thickTop="1">
      <c r="A16" s="82"/>
      <c r="B16" s="87"/>
      <c r="C16" s="82"/>
      <c r="D16" s="244" t="s">
        <v>49</v>
      </c>
      <c r="E16" s="245"/>
      <c r="F16" s="246">
        <v>0.245</v>
      </c>
      <c r="H16" s="82"/>
      <c r="I16" s="82"/>
      <c r="J16" s="82"/>
      <c r="K16" s="82"/>
      <c r="L16" s="82"/>
      <c r="M16" s="82"/>
      <c r="N16" s="546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4"/>
    </row>
    <row r="17" spans="1:29" s="5" customFormat="1" ht="16.5" customHeight="1" thickBot="1" thickTop="1">
      <c r="A17" s="82"/>
      <c r="B17" s="87"/>
      <c r="C17" s="82"/>
      <c r="D17" s="104" t="s">
        <v>26</v>
      </c>
      <c r="E17" s="105"/>
      <c r="F17" s="541">
        <v>200</v>
      </c>
      <c r="G17"/>
      <c r="H17" s="12"/>
      <c r="I17" s="192"/>
      <c r="J17" s="193"/>
      <c r="K17" s="4"/>
      <c r="L17" s="12"/>
      <c r="M17" s="12"/>
      <c r="N17" s="551"/>
      <c r="O17" s="12"/>
      <c r="P17" s="12"/>
      <c r="Q17" s="12"/>
      <c r="R17" s="12"/>
      <c r="S17" s="12"/>
      <c r="T17" s="12"/>
      <c r="U17" s="91"/>
      <c r="V17" s="91"/>
      <c r="W17" s="91"/>
      <c r="X17" s="91"/>
      <c r="Y17" s="91"/>
      <c r="Z17" s="91"/>
      <c r="AA17" s="82"/>
      <c r="AB17" s="82"/>
      <c r="AC17" s="14"/>
    </row>
    <row r="18" spans="1:29" s="5" customFormat="1" ht="16.5" customHeight="1" thickBot="1" thickTop="1">
      <c r="A18" s="82"/>
      <c r="B18" s="87"/>
      <c r="C18" s="82"/>
      <c r="D18" s="12"/>
      <c r="E18" s="12"/>
      <c r="F18" s="12"/>
      <c r="G18" s="92"/>
      <c r="H18" s="12"/>
      <c r="I18" s="12"/>
      <c r="J18" s="12"/>
      <c r="K18" s="12"/>
      <c r="L18" s="12"/>
      <c r="M18" s="12"/>
      <c r="N18" s="551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4"/>
    </row>
    <row r="19" spans="1:29" s="5" customFormat="1" ht="33.75" customHeight="1" thickBot="1" thickTop="1">
      <c r="A19" s="82"/>
      <c r="B19" s="87"/>
      <c r="C19" s="117" t="s">
        <v>12</v>
      </c>
      <c r="D19" s="113" t="s">
        <v>27</v>
      </c>
      <c r="E19" s="112" t="s">
        <v>28</v>
      </c>
      <c r="F19" s="114" t="s">
        <v>29</v>
      </c>
      <c r="G19" s="115" t="s">
        <v>13</v>
      </c>
      <c r="H19" s="128" t="s">
        <v>15</v>
      </c>
      <c r="I19" s="112" t="s">
        <v>16</v>
      </c>
      <c r="J19" s="112" t="s">
        <v>17</v>
      </c>
      <c r="K19" s="113" t="s">
        <v>30</v>
      </c>
      <c r="L19" s="113" t="s">
        <v>31</v>
      </c>
      <c r="M19" s="81" t="s">
        <v>18</v>
      </c>
      <c r="N19" s="552" t="s">
        <v>37</v>
      </c>
      <c r="O19" s="116" t="s">
        <v>32</v>
      </c>
      <c r="P19" s="112" t="s">
        <v>33</v>
      </c>
      <c r="Q19" s="247" t="s">
        <v>36</v>
      </c>
      <c r="R19" s="248" t="s">
        <v>19</v>
      </c>
      <c r="S19" s="249" t="s">
        <v>20</v>
      </c>
      <c r="T19" s="197" t="s">
        <v>50</v>
      </c>
      <c r="U19" s="199"/>
      <c r="V19" s="250" t="s">
        <v>51</v>
      </c>
      <c r="W19" s="251"/>
      <c r="X19" s="252" t="s">
        <v>21</v>
      </c>
      <c r="Y19" s="253" t="s">
        <v>46</v>
      </c>
      <c r="Z19" s="131" t="s">
        <v>47</v>
      </c>
      <c r="AA19" s="115" t="s">
        <v>22</v>
      </c>
      <c r="AB19" s="115" t="s">
        <v>139</v>
      </c>
      <c r="AC19" s="14"/>
    </row>
    <row r="20" spans="1:29" s="5" customFormat="1" ht="16.5" customHeight="1" thickTop="1">
      <c r="A20" s="82"/>
      <c r="B20" s="87"/>
      <c r="C20" s="254"/>
      <c r="D20" s="254"/>
      <c r="E20" s="254"/>
      <c r="F20" s="254"/>
      <c r="G20" s="255"/>
      <c r="H20" s="256"/>
      <c r="I20" s="254"/>
      <c r="J20" s="254"/>
      <c r="K20" s="254"/>
      <c r="L20" s="254"/>
      <c r="M20" s="254"/>
      <c r="N20" s="553"/>
      <c r="O20" s="257"/>
      <c r="P20" s="254"/>
      <c r="Q20" s="258"/>
      <c r="R20" s="259"/>
      <c r="S20" s="260"/>
      <c r="T20" s="261"/>
      <c r="U20" s="262"/>
      <c r="V20" s="263"/>
      <c r="W20" s="264"/>
      <c r="X20" s="265"/>
      <c r="Y20" s="266"/>
      <c r="Z20" s="257"/>
      <c r="AA20" s="267"/>
      <c r="AB20" s="267"/>
      <c r="AC20" s="14"/>
    </row>
    <row r="21" spans="1:29" s="5" customFormat="1" ht="16.5" customHeight="1">
      <c r="A21" s="82"/>
      <c r="B21" s="87"/>
      <c r="C21" s="268"/>
      <c r="D21" s="268"/>
      <c r="E21" s="268"/>
      <c r="F21" s="268"/>
      <c r="G21" s="269"/>
      <c r="H21" s="270"/>
      <c r="I21" s="268"/>
      <c r="J21" s="268"/>
      <c r="K21" s="268"/>
      <c r="L21" s="268"/>
      <c r="M21" s="268"/>
      <c r="N21" s="554"/>
      <c r="O21" s="271"/>
      <c r="P21" s="268"/>
      <c r="Q21" s="272"/>
      <c r="R21" s="273"/>
      <c r="S21" s="274"/>
      <c r="T21" s="275"/>
      <c r="U21" s="276"/>
      <c r="V21" s="277"/>
      <c r="W21" s="278"/>
      <c r="X21" s="279"/>
      <c r="Y21" s="280"/>
      <c r="Z21" s="271"/>
      <c r="AA21" s="281"/>
      <c r="AB21" s="281"/>
      <c r="AC21" s="14"/>
    </row>
    <row r="22" spans="1:29" s="5" customFormat="1" ht="16.5" customHeight="1">
      <c r="A22" s="82"/>
      <c r="B22" s="87"/>
      <c r="C22" s="147"/>
      <c r="D22" s="141"/>
      <c r="E22" s="282"/>
      <c r="F22" s="283"/>
      <c r="G22" s="284"/>
      <c r="H22" s="285"/>
      <c r="I22" s="148"/>
      <c r="J22" s="148"/>
      <c r="K22" s="286"/>
      <c r="L22" s="11"/>
      <c r="M22" s="149"/>
      <c r="N22" s="555"/>
      <c r="O22" s="145"/>
      <c r="P22" s="145"/>
      <c r="Q22" s="287"/>
      <c r="R22" s="288"/>
      <c r="S22" s="289"/>
      <c r="T22" s="290"/>
      <c r="U22" s="291"/>
      <c r="V22" s="292"/>
      <c r="W22" s="293"/>
      <c r="X22" s="294"/>
      <c r="Y22" s="295"/>
      <c r="Z22" s="296"/>
      <c r="AA22" s="297"/>
      <c r="AB22" s="297"/>
      <c r="AC22" s="14"/>
    </row>
    <row r="23" spans="1:30" s="5" customFormat="1" ht="16.5" customHeight="1">
      <c r="A23" s="82"/>
      <c r="B23" s="87"/>
      <c r="C23" s="268">
        <v>21</v>
      </c>
      <c r="D23" s="141" t="s">
        <v>89</v>
      </c>
      <c r="E23" s="282" t="s">
        <v>90</v>
      </c>
      <c r="F23" s="283">
        <v>150</v>
      </c>
      <c r="G23" s="284" t="s">
        <v>65</v>
      </c>
      <c r="H23" s="285">
        <f>F23*$F$16</f>
        <v>36.75</v>
      </c>
      <c r="I23" s="148">
        <v>39296.163194444445</v>
      </c>
      <c r="J23" s="148">
        <v>39296.18958333333</v>
      </c>
      <c r="K23" s="286">
        <f aca="true" t="shared" si="0" ref="K23:K39">IF(D23="","",(J23-I23)*24)</f>
        <v>0.6333333333022892</v>
      </c>
      <c r="L23" s="11">
        <f aca="true" t="shared" si="1" ref="L23:L39">IF(D23="","",ROUND((J23-I23)*24*60,0))</f>
        <v>38</v>
      </c>
      <c r="M23" s="149" t="s">
        <v>71</v>
      </c>
      <c r="N23" s="555" t="str">
        <f aca="true" t="shared" si="2" ref="N23:N39">IF(D23="","","--")</f>
        <v>--</v>
      </c>
      <c r="O23" s="145" t="s">
        <v>72</v>
      </c>
      <c r="P23" s="145" t="str">
        <f aca="true" t="shared" si="3" ref="P23:P39">IF(D23="","","NO")</f>
        <v>NO</v>
      </c>
      <c r="Q23" s="287">
        <f>$F$17*IF(OR(M23="P",M23="RP"),0.1,1)*IF(P23="SI",1,0.1)</f>
        <v>20</v>
      </c>
      <c r="R23" s="288" t="str">
        <f aca="true" t="shared" si="4" ref="R23:R39">IF(M23="P",H23*Q23*ROUND(L23/60,2),"--")</f>
        <v>--</v>
      </c>
      <c r="S23" s="289" t="str">
        <f aca="true" t="shared" si="5" ref="S23:S39">IF(M23="RP",H23*Q23*N23/100*ROUND(L23/60,2),"--")</f>
        <v>--</v>
      </c>
      <c r="T23" s="290" t="str">
        <f aca="true" t="shared" si="6" ref="T23:T39">IF(AND(M23="F",O23="NO"),H23*Q23,"--")</f>
        <v>--</v>
      </c>
      <c r="U23" s="291">
        <f aca="true" t="shared" si="7" ref="U23:U39">IF(M23="F",H23*Q23*ROUND(L23/60,2),"--")</f>
        <v>463.05</v>
      </c>
      <c r="V23" s="292" t="str">
        <f aca="true" t="shared" si="8" ref="V23:V39">IF(AND(M23="R",O23="NO"),H23*Q23*N23/100,"--")</f>
        <v>--</v>
      </c>
      <c r="W23" s="293" t="str">
        <f aca="true" t="shared" si="9" ref="W23:W39">IF(M23="R",H23*Q23*N23/100*ROUND(L23/60,2),"--")</f>
        <v>--</v>
      </c>
      <c r="X23" s="294" t="str">
        <f aca="true" t="shared" si="10" ref="X23:X39">IF(M23="RF",H23*Q23*ROUND(L23/60,2),"--")</f>
        <v>--</v>
      </c>
      <c r="Y23" s="295" t="str">
        <f aca="true" t="shared" si="11" ref="Y23:Y39">IF(M23="RR",H23*Q23*N23/100*ROUND(L23/60,2),"--")</f>
        <v>--</v>
      </c>
      <c r="Z23" s="296" t="s">
        <v>72</v>
      </c>
      <c r="AA23" s="297">
        <f aca="true" t="shared" si="12" ref="AA23:AA39">IF(D23="","",SUM(R23:Y23)*IF(Z23="SI",1,2))</f>
        <v>463.05</v>
      </c>
      <c r="AB23" s="297">
        <f>AA23*(1-$AD$23)</f>
        <v>55.34992012702214</v>
      </c>
      <c r="AC23" s="14"/>
      <c r="AD23" s="5">
        <v>0.8804666447964105</v>
      </c>
    </row>
    <row r="24" spans="1:29" s="5" customFormat="1" ht="16.5" customHeight="1">
      <c r="A24" s="82"/>
      <c r="B24" s="87"/>
      <c r="C24" s="147">
        <v>22</v>
      </c>
      <c r="D24" s="141" t="s">
        <v>91</v>
      </c>
      <c r="E24" s="282" t="s">
        <v>92</v>
      </c>
      <c r="F24" s="283">
        <v>150</v>
      </c>
      <c r="G24" s="284" t="s">
        <v>65</v>
      </c>
      <c r="H24" s="285">
        <f>F24*$F$16</f>
        <v>36.75</v>
      </c>
      <c r="I24" s="148">
        <v>39299.33888888889</v>
      </c>
      <c r="J24" s="148">
        <v>39299.61875</v>
      </c>
      <c r="K24" s="286">
        <f t="shared" si="0"/>
        <v>6.716666666732635</v>
      </c>
      <c r="L24" s="11">
        <f t="shared" si="1"/>
        <v>403</v>
      </c>
      <c r="M24" s="149" t="s">
        <v>75</v>
      </c>
      <c r="N24" s="555" t="str">
        <f t="shared" si="2"/>
        <v>--</v>
      </c>
      <c r="O24" s="146" t="str">
        <f aca="true" t="shared" si="13" ref="O24:O39">IF(D24="","",IF(OR(M24="P",M24="RP"),"--","NO"))</f>
        <v>--</v>
      </c>
      <c r="P24" s="145" t="str">
        <f t="shared" si="3"/>
        <v>NO</v>
      </c>
      <c r="Q24" s="287">
        <f>$F$17*IF(OR(M24="P",M24="RP"),0.1,1)*IF(P24="SI",1,0.1)</f>
        <v>2</v>
      </c>
      <c r="R24" s="288">
        <f t="shared" si="4"/>
        <v>493.91999999999996</v>
      </c>
      <c r="S24" s="289" t="str">
        <f t="shared" si="5"/>
        <v>--</v>
      </c>
      <c r="T24" s="290" t="str">
        <f t="shared" si="6"/>
        <v>--</v>
      </c>
      <c r="U24" s="291" t="str">
        <f t="shared" si="7"/>
        <v>--</v>
      </c>
      <c r="V24" s="292" t="str">
        <f t="shared" si="8"/>
        <v>--</v>
      </c>
      <c r="W24" s="293" t="str">
        <f t="shared" si="9"/>
        <v>--</v>
      </c>
      <c r="X24" s="294" t="str">
        <f t="shared" si="10"/>
        <v>--</v>
      </c>
      <c r="Y24" s="295" t="str">
        <f t="shared" si="11"/>
        <v>--</v>
      </c>
      <c r="Z24" s="296" t="s">
        <v>72</v>
      </c>
      <c r="AA24" s="297">
        <f t="shared" si="12"/>
        <v>493.91999999999996</v>
      </c>
      <c r="AB24" s="297">
        <f aca="true" t="shared" si="14" ref="AB24:AB33">AA24*(1-$AD$23)</f>
        <v>59.03991480215694</v>
      </c>
      <c r="AC24" s="14"/>
    </row>
    <row r="25" spans="1:29" s="5" customFormat="1" ht="16.5" customHeight="1">
      <c r="A25" s="82"/>
      <c r="B25" s="87"/>
      <c r="C25" s="268">
        <v>23</v>
      </c>
      <c r="D25" s="141" t="s">
        <v>93</v>
      </c>
      <c r="E25" s="282" t="s">
        <v>90</v>
      </c>
      <c r="F25" s="283">
        <v>150</v>
      </c>
      <c r="G25" s="284" t="s">
        <v>94</v>
      </c>
      <c r="H25" s="285">
        <f>F25*$F$16</f>
        <v>36.75</v>
      </c>
      <c r="I25" s="148">
        <v>39301.623611111114</v>
      </c>
      <c r="J25" s="148">
        <v>39301.75625</v>
      </c>
      <c r="K25" s="286">
        <f t="shared" si="0"/>
        <v>3.18333333323244</v>
      </c>
      <c r="L25" s="11">
        <f t="shared" si="1"/>
        <v>191</v>
      </c>
      <c r="M25" s="149" t="s">
        <v>71</v>
      </c>
      <c r="N25" s="555" t="str">
        <f t="shared" si="2"/>
        <v>--</v>
      </c>
      <c r="O25" s="146" t="str">
        <f t="shared" si="13"/>
        <v>NO</v>
      </c>
      <c r="P25" s="145" t="str">
        <f t="shared" si="3"/>
        <v>NO</v>
      </c>
      <c r="Q25" s="287">
        <f>$F$17*IF(OR(M25="P",M25="RP"),0.1,1)*IF(P25="SI",1,0.1)</f>
        <v>20</v>
      </c>
      <c r="R25" s="288" t="str">
        <f t="shared" si="4"/>
        <v>--</v>
      </c>
      <c r="S25" s="289" t="str">
        <f t="shared" si="5"/>
        <v>--</v>
      </c>
      <c r="T25" s="290">
        <f t="shared" si="6"/>
        <v>735</v>
      </c>
      <c r="U25" s="291">
        <f t="shared" si="7"/>
        <v>2337.3</v>
      </c>
      <c r="V25" s="292" t="str">
        <f t="shared" si="8"/>
        <v>--</v>
      </c>
      <c r="W25" s="293" t="str">
        <f t="shared" si="9"/>
        <v>--</v>
      </c>
      <c r="X25" s="294" t="str">
        <f t="shared" si="10"/>
        <v>--</v>
      </c>
      <c r="Y25" s="295" t="str">
        <f t="shared" si="11"/>
        <v>--</v>
      </c>
      <c r="Z25" s="296" t="s">
        <v>72</v>
      </c>
      <c r="AA25" s="297">
        <f t="shared" si="12"/>
        <v>3072.3</v>
      </c>
      <c r="AB25" s="297">
        <f t="shared" si="14"/>
        <v>367.2423271919882</v>
      </c>
      <c r="AC25" s="14"/>
    </row>
    <row r="26" spans="1:29" s="5" customFormat="1" ht="16.5" customHeight="1">
      <c r="A26" s="82"/>
      <c r="B26" s="87"/>
      <c r="C26" s="147">
        <v>24</v>
      </c>
      <c r="D26" s="141" t="s">
        <v>95</v>
      </c>
      <c r="E26" s="282" t="s">
        <v>96</v>
      </c>
      <c r="F26" s="283">
        <v>300</v>
      </c>
      <c r="G26" s="284" t="s">
        <v>65</v>
      </c>
      <c r="H26" s="285">
        <f>F26*$F$16</f>
        <v>73.5</v>
      </c>
      <c r="I26" s="148">
        <v>39313.34583333333</v>
      </c>
      <c r="J26" s="148">
        <v>39313.63333333333</v>
      </c>
      <c r="K26" s="286">
        <f t="shared" si="0"/>
        <v>6.899999999965075</v>
      </c>
      <c r="L26" s="11">
        <f t="shared" si="1"/>
        <v>414</v>
      </c>
      <c r="M26" s="149" t="s">
        <v>75</v>
      </c>
      <c r="N26" s="555" t="str">
        <f t="shared" si="2"/>
        <v>--</v>
      </c>
      <c r="O26" s="146" t="str">
        <f t="shared" si="13"/>
        <v>--</v>
      </c>
      <c r="P26" s="145" t="str">
        <f t="shared" si="3"/>
        <v>NO</v>
      </c>
      <c r="Q26" s="287">
        <f>$F$17*IF(OR(M26="P",M26="RP"),0.1,1)*IF(P26="SI",1,0.1)</f>
        <v>2</v>
      </c>
      <c r="R26" s="288">
        <f t="shared" si="4"/>
        <v>1014.3000000000001</v>
      </c>
      <c r="S26" s="289" t="str">
        <f t="shared" si="5"/>
        <v>--</v>
      </c>
      <c r="T26" s="290" t="str">
        <f t="shared" si="6"/>
        <v>--</v>
      </c>
      <c r="U26" s="291" t="str">
        <f t="shared" si="7"/>
        <v>--</v>
      </c>
      <c r="V26" s="292" t="str">
        <f t="shared" si="8"/>
        <v>--</v>
      </c>
      <c r="W26" s="293" t="str">
        <f t="shared" si="9"/>
        <v>--</v>
      </c>
      <c r="X26" s="294" t="str">
        <f t="shared" si="10"/>
        <v>--</v>
      </c>
      <c r="Y26" s="295" t="str">
        <f t="shared" si="11"/>
        <v>--</v>
      </c>
      <c r="Z26" s="296" t="s">
        <v>72</v>
      </c>
      <c r="AA26" s="297">
        <f t="shared" si="12"/>
        <v>1014.3000000000001</v>
      </c>
      <c r="AB26" s="297">
        <f t="shared" si="14"/>
        <v>121.24268218300088</v>
      </c>
      <c r="AC26" s="14"/>
    </row>
    <row r="27" spans="1:29" s="5" customFormat="1" ht="16.5" customHeight="1">
      <c r="A27" s="82"/>
      <c r="B27" s="87"/>
      <c r="C27" s="147">
        <v>26</v>
      </c>
      <c r="D27" s="141" t="s">
        <v>95</v>
      </c>
      <c r="E27" s="282" t="s">
        <v>87</v>
      </c>
      <c r="F27" s="283">
        <v>300</v>
      </c>
      <c r="G27" s="284" t="s">
        <v>65</v>
      </c>
      <c r="H27" s="285">
        <f aca="true" t="shared" si="15" ref="H27:H39">F27*$F$16</f>
        <v>73.5</v>
      </c>
      <c r="I27" s="148">
        <v>39314.356944444444</v>
      </c>
      <c r="J27" s="148">
        <v>39314.55763888889</v>
      </c>
      <c r="K27" s="286">
        <f t="shared" si="0"/>
        <v>4.816666666651145</v>
      </c>
      <c r="L27" s="11">
        <f t="shared" si="1"/>
        <v>289</v>
      </c>
      <c r="M27" s="149" t="s">
        <v>75</v>
      </c>
      <c r="N27" s="555" t="str">
        <f t="shared" si="2"/>
        <v>--</v>
      </c>
      <c r="O27" s="146" t="str">
        <f t="shared" si="13"/>
        <v>--</v>
      </c>
      <c r="P27" s="145" t="str">
        <f t="shared" si="3"/>
        <v>NO</v>
      </c>
      <c r="Q27" s="287">
        <f aca="true" t="shared" si="16" ref="Q27:Q39">$F$17*IF(OR(M27="P",M27="RP"),0.1,1)*IF(P27="SI",1,0.1)</f>
        <v>2</v>
      </c>
      <c r="R27" s="288">
        <f t="shared" si="4"/>
        <v>708.5400000000001</v>
      </c>
      <c r="S27" s="289" t="str">
        <f t="shared" si="5"/>
        <v>--</v>
      </c>
      <c r="T27" s="290" t="str">
        <f t="shared" si="6"/>
        <v>--</v>
      </c>
      <c r="U27" s="291" t="str">
        <f t="shared" si="7"/>
        <v>--</v>
      </c>
      <c r="V27" s="292" t="str">
        <f t="shared" si="8"/>
        <v>--</v>
      </c>
      <c r="W27" s="293" t="str">
        <f t="shared" si="9"/>
        <v>--</v>
      </c>
      <c r="X27" s="294" t="str">
        <f t="shared" si="10"/>
        <v>--</v>
      </c>
      <c r="Y27" s="295" t="str">
        <f t="shared" si="11"/>
        <v>--</v>
      </c>
      <c r="Z27" s="296" t="s">
        <v>72</v>
      </c>
      <c r="AA27" s="297">
        <f t="shared" si="12"/>
        <v>708.5400000000001</v>
      </c>
      <c r="AB27" s="297">
        <f t="shared" si="14"/>
        <v>84.69416349595134</v>
      </c>
      <c r="AC27" s="14"/>
    </row>
    <row r="28" spans="1:29" s="5" customFormat="1" ht="16.5" customHeight="1">
      <c r="A28" s="82"/>
      <c r="B28" s="87"/>
      <c r="C28" s="268">
        <v>27</v>
      </c>
      <c r="D28" s="141" t="s">
        <v>89</v>
      </c>
      <c r="E28" s="282" t="s">
        <v>90</v>
      </c>
      <c r="F28" s="283">
        <v>150</v>
      </c>
      <c r="G28" s="284" t="s">
        <v>65</v>
      </c>
      <c r="H28" s="285">
        <f t="shared" si="15"/>
        <v>36.75</v>
      </c>
      <c r="I28" s="148">
        <v>39321.44097222222</v>
      </c>
      <c r="J28" s="148">
        <v>39321.52569444444</v>
      </c>
      <c r="K28" s="286">
        <f t="shared" si="0"/>
        <v>2.0333333333255723</v>
      </c>
      <c r="L28" s="11">
        <f t="shared" si="1"/>
        <v>122</v>
      </c>
      <c r="M28" s="149" t="s">
        <v>71</v>
      </c>
      <c r="N28" s="555" t="str">
        <f t="shared" si="2"/>
        <v>--</v>
      </c>
      <c r="O28" s="145" t="s">
        <v>72</v>
      </c>
      <c r="P28" s="145" t="str">
        <f t="shared" si="3"/>
        <v>NO</v>
      </c>
      <c r="Q28" s="287">
        <f t="shared" si="16"/>
        <v>20</v>
      </c>
      <c r="R28" s="288" t="str">
        <f t="shared" si="4"/>
        <v>--</v>
      </c>
      <c r="S28" s="289" t="str">
        <f t="shared" si="5"/>
        <v>--</v>
      </c>
      <c r="T28" s="290" t="str">
        <f t="shared" si="6"/>
        <v>--</v>
      </c>
      <c r="U28" s="291">
        <f t="shared" si="7"/>
        <v>1492.05</v>
      </c>
      <c r="V28" s="292" t="str">
        <f t="shared" si="8"/>
        <v>--</v>
      </c>
      <c r="W28" s="293" t="str">
        <f t="shared" si="9"/>
        <v>--</v>
      </c>
      <c r="X28" s="294" t="str">
        <f t="shared" si="10"/>
        <v>--</v>
      </c>
      <c r="Y28" s="295" t="str">
        <f t="shared" si="11"/>
        <v>--</v>
      </c>
      <c r="Z28" s="296" t="s">
        <v>72</v>
      </c>
      <c r="AA28" s="297">
        <f t="shared" si="12"/>
        <v>1492.05</v>
      </c>
      <c r="AB28" s="297">
        <f t="shared" si="14"/>
        <v>178.34974263151577</v>
      </c>
      <c r="AC28" s="14"/>
    </row>
    <row r="29" spans="1:29" s="5" customFormat="1" ht="16.5" customHeight="1">
      <c r="A29" s="82"/>
      <c r="B29" s="87"/>
      <c r="C29" s="268"/>
      <c r="D29" s="141"/>
      <c r="E29" s="282"/>
      <c r="F29" s="283"/>
      <c r="G29" s="284"/>
      <c r="H29" s="285">
        <f t="shared" si="15"/>
        <v>0</v>
      </c>
      <c r="I29" s="148"/>
      <c r="J29" s="148"/>
      <c r="K29" s="286">
        <f t="shared" si="0"/>
      </c>
      <c r="L29" s="11">
        <f t="shared" si="1"/>
      </c>
      <c r="M29" s="149"/>
      <c r="N29" s="555">
        <f t="shared" si="2"/>
      </c>
      <c r="O29" s="146">
        <f t="shared" si="13"/>
      </c>
      <c r="P29" s="145">
        <f t="shared" si="3"/>
      </c>
      <c r="Q29" s="287">
        <f t="shared" si="16"/>
        <v>20</v>
      </c>
      <c r="R29" s="288" t="str">
        <f t="shared" si="4"/>
        <v>--</v>
      </c>
      <c r="S29" s="289" t="str">
        <f t="shared" si="5"/>
        <v>--</v>
      </c>
      <c r="T29" s="290" t="str">
        <f t="shared" si="6"/>
        <v>--</v>
      </c>
      <c r="U29" s="291" t="str">
        <f t="shared" si="7"/>
        <v>--</v>
      </c>
      <c r="V29" s="292" t="str">
        <f t="shared" si="8"/>
        <v>--</v>
      </c>
      <c r="W29" s="293" t="str">
        <f t="shared" si="9"/>
        <v>--</v>
      </c>
      <c r="X29" s="294" t="str">
        <f t="shared" si="10"/>
        <v>--</v>
      </c>
      <c r="Y29" s="295" t="str">
        <f t="shared" si="11"/>
        <v>--</v>
      </c>
      <c r="Z29" s="296">
        <f aca="true" t="shared" si="17" ref="Z29:Z39">IF(D29="","","SI")</f>
      </c>
      <c r="AA29" s="297">
        <f t="shared" si="12"/>
      </c>
      <c r="AB29" s="297"/>
      <c r="AC29" s="14"/>
    </row>
    <row r="30" spans="1:29" s="5" customFormat="1" ht="16.5" customHeight="1">
      <c r="A30" s="82"/>
      <c r="B30" s="562" t="s">
        <v>134</v>
      </c>
      <c r="C30" s="147">
        <v>20</v>
      </c>
      <c r="D30" s="141" t="s">
        <v>86</v>
      </c>
      <c r="E30" s="282" t="s">
        <v>87</v>
      </c>
      <c r="F30" s="283">
        <v>800</v>
      </c>
      <c r="G30" s="284" t="s">
        <v>88</v>
      </c>
      <c r="H30" s="285">
        <f t="shared" si="15"/>
        <v>196</v>
      </c>
      <c r="I30" s="148">
        <v>39295</v>
      </c>
      <c r="J30" s="148">
        <v>39302</v>
      </c>
      <c r="K30" s="286">
        <f>IF(D30="","",(J30-I30)*24)</f>
        <v>168</v>
      </c>
      <c r="L30" s="11">
        <f>IF(D30="","",ROUND((J30-I30)*24*60,0))</f>
        <v>10080</v>
      </c>
      <c r="M30" s="149" t="s">
        <v>62</v>
      </c>
      <c r="N30" s="555">
        <v>62.5</v>
      </c>
      <c r="O30" s="145" t="s">
        <v>72</v>
      </c>
      <c r="P30" s="145" t="str">
        <f>IF(D30="","","NO")</f>
        <v>NO</v>
      </c>
      <c r="Q30" s="287">
        <f t="shared" si="16"/>
        <v>20</v>
      </c>
      <c r="R30" s="288" t="str">
        <f>IF(M30="P",H30*Q30*ROUND(L30/60,2),"--")</f>
        <v>--</v>
      </c>
      <c r="S30" s="289" t="str">
        <f>IF(M30="RP",H30*Q30*N30/100*ROUND(L30/60,2),"--")</f>
        <v>--</v>
      </c>
      <c r="T30" s="290" t="str">
        <f>IF(AND(M30="F",O30="NO"),H30*Q30,"--")</f>
        <v>--</v>
      </c>
      <c r="U30" s="291" t="str">
        <f>IF(M30="F",H30*Q30*ROUND(L30/60,2),"--")</f>
        <v>--</v>
      </c>
      <c r="V30" s="292" t="str">
        <f>IF(AND(M30="R",O30="NO"),H30*Q30*N30/100,"--")</f>
        <v>--</v>
      </c>
      <c r="W30" s="293">
        <f>IF(M30="R",H30*Q30*N30/100*ROUND(L30/60,2),"--")</f>
        <v>411600</v>
      </c>
      <c r="X30" s="294" t="str">
        <f>IF(M30="RF",H30*Q30*ROUND(L30/60,2),"--")</f>
        <v>--</v>
      </c>
      <c r="Y30" s="295" t="str">
        <f>IF(M30="RR",H30*Q30*N30/100*ROUND(L30/60,2),"--")</f>
        <v>--</v>
      </c>
      <c r="Z30" s="296" t="s">
        <v>72</v>
      </c>
      <c r="AA30" s="297">
        <f>IF(D30="","",SUM(R30:Y30)*IF(Z30="SI",1,2))</f>
        <v>411600</v>
      </c>
      <c r="AB30" s="297">
        <f t="shared" si="14"/>
        <v>49199.929001797456</v>
      </c>
      <c r="AC30" s="14"/>
    </row>
    <row r="31" spans="1:29" s="5" customFormat="1" ht="16.5" customHeight="1">
      <c r="A31" s="82"/>
      <c r="B31" s="562" t="s">
        <v>134</v>
      </c>
      <c r="C31" s="147" t="s">
        <v>131</v>
      </c>
      <c r="D31" s="141" t="s">
        <v>86</v>
      </c>
      <c r="E31" s="282" t="s">
        <v>87</v>
      </c>
      <c r="F31" s="283">
        <v>800</v>
      </c>
      <c r="G31" s="284" t="s">
        <v>88</v>
      </c>
      <c r="H31" s="285">
        <f t="shared" si="15"/>
        <v>196</v>
      </c>
      <c r="I31" s="148">
        <v>39302.00069444445</v>
      </c>
      <c r="J31" s="148">
        <v>39313.325</v>
      </c>
      <c r="K31" s="286">
        <f>IF(D31="","",(J31-I31)*24)</f>
        <v>271.78333333320916</v>
      </c>
      <c r="L31" s="11">
        <f>IF(D31="","",ROUND((J31-I31)*24*60,0))</f>
        <v>16307</v>
      </c>
      <c r="M31" s="149" t="s">
        <v>133</v>
      </c>
      <c r="N31" s="555">
        <v>62.5</v>
      </c>
      <c r="O31" s="145" t="s">
        <v>72</v>
      </c>
      <c r="P31" s="145" t="str">
        <f>IF(D31="","","NO")</f>
        <v>NO</v>
      </c>
      <c r="Q31" s="287">
        <f t="shared" si="16"/>
        <v>2</v>
      </c>
      <c r="R31" s="288" t="str">
        <f>IF(M31="P",H31*Q31*ROUND(L31/60,2),"--")</f>
        <v>--</v>
      </c>
      <c r="S31" s="289">
        <f>IF(M31="RP",H31*Q31*N31/100*ROUND(L31/60,2),"--")</f>
        <v>66586.09999999999</v>
      </c>
      <c r="T31" s="290" t="str">
        <f>IF(AND(M31="F",O31="NO"),H31*Q31,"--")</f>
        <v>--</v>
      </c>
      <c r="U31" s="291" t="str">
        <f>IF(M31="F",H31*Q31*ROUND(L31/60,2),"--")</f>
        <v>--</v>
      </c>
      <c r="V31" s="292" t="str">
        <f>IF(AND(M31="R",O31="NO"),H31*Q31*N31/100,"--")</f>
        <v>--</v>
      </c>
      <c r="W31" s="293" t="str">
        <f>IF(M31="R",H31*Q31*N31/100*ROUND(L31/60,2),"--")</f>
        <v>--</v>
      </c>
      <c r="X31" s="294" t="str">
        <f>IF(M31="RF",H31*Q31*ROUND(L31/60,2),"--")</f>
        <v>--</v>
      </c>
      <c r="Y31" s="295" t="str">
        <f>IF(M31="RR",H31*Q31*N31/100*ROUND(L31/60,2),"--")</f>
        <v>--</v>
      </c>
      <c r="Z31" s="296" t="s">
        <v>72</v>
      </c>
      <c r="AA31" s="297">
        <f>IF(D31="","",SUM(R31:Y31)*IF(Z31="SI",1,2))</f>
        <v>66586.09999999999</v>
      </c>
      <c r="AB31" s="297">
        <f t="shared" si="14"/>
        <v>7959.2599429217325</v>
      </c>
      <c r="AC31" s="14"/>
    </row>
    <row r="32" spans="1:29" s="5" customFormat="1" ht="16.5" customHeight="1">
      <c r="A32" s="82"/>
      <c r="B32" s="562" t="s">
        <v>134</v>
      </c>
      <c r="C32" s="268">
        <v>25</v>
      </c>
      <c r="D32" s="141" t="s">
        <v>86</v>
      </c>
      <c r="E32" s="282" t="s">
        <v>87</v>
      </c>
      <c r="F32" s="283">
        <v>800</v>
      </c>
      <c r="G32" s="284" t="s">
        <v>88</v>
      </c>
      <c r="H32" s="285">
        <f t="shared" si="15"/>
        <v>196</v>
      </c>
      <c r="I32" s="148">
        <v>39313.325694444444</v>
      </c>
      <c r="J32" s="148">
        <v>39313.69583333333</v>
      </c>
      <c r="K32" s="286">
        <f>IF(D32="","",(J32-I32)*24)</f>
        <v>8.88333333330229</v>
      </c>
      <c r="L32" s="11">
        <f>IF(D32="","",ROUND((J32-I32)*24*60,0))</f>
        <v>533</v>
      </c>
      <c r="M32" s="149" t="s">
        <v>75</v>
      </c>
      <c r="N32" s="555" t="str">
        <f>IF(D32="","","--")</f>
        <v>--</v>
      </c>
      <c r="O32" s="146" t="str">
        <f>IF(D32="","",IF(OR(M32="P",M32="RP"),"--","NO"))</f>
        <v>--</v>
      </c>
      <c r="P32" s="145" t="str">
        <f>IF(D32="","","NO")</f>
        <v>NO</v>
      </c>
      <c r="Q32" s="287">
        <f t="shared" si="16"/>
        <v>2</v>
      </c>
      <c r="R32" s="288">
        <f>IF(M32="P",H32*Q32*ROUND(L32/60,2),"--")</f>
        <v>3480.9600000000005</v>
      </c>
      <c r="S32" s="289" t="str">
        <f>IF(M32="RP",H32*Q32*N32/100*ROUND(L32/60,2),"--")</f>
        <v>--</v>
      </c>
      <c r="T32" s="290" t="str">
        <f>IF(AND(M32="F",O32="NO"),H32*Q32,"--")</f>
        <v>--</v>
      </c>
      <c r="U32" s="291" t="str">
        <f>IF(M32="F",H32*Q32*ROUND(L32/60,2),"--")</f>
        <v>--</v>
      </c>
      <c r="V32" s="292" t="str">
        <f>IF(AND(M32="R",O32="NO"),H32*Q32*N32/100,"--")</f>
        <v>--</v>
      </c>
      <c r="W32" s="293" t="str">
        <f>IF(M32="R",H32*Q32*N32/100*ROUND(L32/60,2),"--")</f>
        <v>--</v>
      </c>
      <c r="X32" s="294" t="str">
        <f>IF(M32="RF",H32*Q32*ROUND(L32/60,2),"--")</f>
        <v>--</v>
      </c>
      <c r="Y32" s="295" t="str">
        <f>IF(M32="RR",H32*Q32*N32/100*ROUND(L32/60,2),"--")</f>
        <v>--</v>
      </c>
      <c r="Z32" s="296" t="s">
        <v>72</v>
      </c>
      <c r="AA32" s="297">
        <f>IF(D32="","",SUM(R32:Y32)*IF(Z32="SI",1,2))</f>
        <v>3480.9600000000005</v>
      </c>
      <c r="AB32" s="297">
        <f t="shared" si="14"/>
        <v>416.09082812948714</v>
      </c>
      <c r="AC32" s="14"/>
    </row>
    <row r="33" spans="1:29" s="5" customFormat="1" ht="16.5" customHeight="1">
      <c r="A33" s="82"/>
      <c r="B33" s="562" t="s">
        <v>134</v>
      </c>
      <c r="C33" s="268" t="s">
        <v>132</v>
      </c>
      <c r="D33" s="141" t="s">
        <v>86</v>
      </c>
      <c r="E33" s="282" t="s">
        <v>87</v>
      </c>
      <c r="F33" s="283">
        <v>800</v>
      </c>
      <c r="G33" s="284" t="s">
        <v>88</v>
      </c>
      <c r="H33" s="285">
        <f t="shared" si="15"/>
        <v>196</v>
      </c>
      <c r="I33" s="148">
        <v>39313.69652777778</v>
      </c>
      <c r="J33" s="148">
        <v>39325.99930555555</v>
      </c>
      <c r="K33" s="286">
        <f>IF(D33="","",(J33-I33)*24)</f>
        <v>295.2666666666046</v>
      </c>
      <c r="L33" s="11">
        <f>IF(D33="","",ROUND((J33-I33)*24*60,0))</f>
        <v>17716</v>
      </c>
      <c r="M33" s="149" t="s">
        <v>133</v>
      </c>
      <c r="N33" s="555">
        <v>62.5</v>
      </c>
      <c r="O33" s="145" t="s">
        <v>72</v>
      </c>
      <c r="P33" s="145" t="str">
        <f>IF(D33="","","NO")</f>
        <v>NO</v>
      </c>
      <c r="Q33" s="287">
        <f t="shared" si="16"/>
        <v>2</v>
      </c>
      <c r="R33" s="288" t="str">
        <f>IF(M33="P",H33*Q33*ROUND(L33/60,2),"--")</f>
        <v>--</v>
      </c>
      <c r="S33" s="289">
        <f>IF(M33="RP",H33*Q33*N33/100*ROUND(L33/60,2),"--")</f>
        <v>72341.15</v>
      </c>
      <c r="T33" s="290" t="str">
        <f>IF(AND(M33="F",O33="NO"),H33*Q33,"--")</f>
        <v>--</v>
      </c>
      <c r="U33" s="291" t="str">
        <f>IF(M33="F",H33*Q33*ROUND(L33/60,2),"--")</f>
        <v>--</v>
      </c>
      <c r="V33" s="292" t="str">
        <f>IF(AND(M33="R",O33="NO"),H33*Q33*N33/100,"--")</f>
        <v>--</v>
      </c>
      <c r="W33" s="293" t="str">
        <f>IF(M33="R",H33*Q33*N33/100*ROUND(L33/60,2),"--")</f>
        <v>--</v>
      </c>
      <c r="X33" s="294" t="str">
        <f>IF(M33="RF",H33*Q33*ROUND(L33/60,2),"--")</f>
        <v>--</v>
      </c>
      <c r="Y33" s="295" t="str">
        <f>IF(M33="RR",H33*Q33*N33/100*ROUND(L33/60,2),"--")</f>
        <v>--</v>
      </c>
      <c r="Z33" s="296" t="s">
        <v>72</v>
      </c>
      <c r="AA33" s="297">
        <f>IF(D33="","",SUM(R33:Y33)*IF(Z33="SI",1,2))</f>
        <v>72341.15</v>
      </c>
      <c r="AB33" s="297">
        <f t="shared" si="14"/>
        <v>8647.180378786152</v>
      </c>
      <c r="AC33" s="14"/>
    </row>
    <row r="34" spans="1:29" s="5" customFormat="1" ht="16.5" customHeight="1">
      <c r="A34" s="82"/>
      <c r="B34" s="87"/>
      <c r="C34" s="147"/>
      <c r="D34" s="141"/>
      <c r="E34" s="298"/>
      <c r="F34" s="283"/>
      <c r="G34" s="284"/>
      <c r="H34" s="285">
        <f t="shared" si="15"/>
        <v>0</v>
      </c>
      <c r="I34" s="148"/>
      <c r="J34" s="148"/>
      <c r="K34" s="286">
        <f t="shared" si="0"/>
      </c>
      <c r="L34" s="11">
        <f t="shared" si="1"/>
      </c>
      <c r="M34" s="149"/>
      <c r="N34" s="555">
        <f t="shared" si="2"/>
      </c>
      <c r="O34" s="146">
        <f t="shared" si="13"/>
      </c>
      <c r="P34" s="145">
        <f t="shared" si="3"/>
      </c>
      <c r="Q34" s="287">
        <f t="shared" si="16"/>
        <v>20</v>
      </c>
      <c r="R34" s="288" t="str">
        <f t="shared" si="4"/>
        <v>--</v>
      </c>
      <c r="S34" s="289" t="str">
        <f t="shared" si="5"/>
        <v>--</v>
      </c>
      <c r="T34" s="290" t="str">
        <f t="shared" si="6"/>
        <v>--</v>
      </c>
      <c r="U34" s="291" t="str">
        <f t="shared" si="7"/>
        <v>--</v>
      </c>
      <c r="V34" s="292" t="str">
        <f t="shared" si="8"/>
        <v>--</v>
      </c>
      <c r="W34" s="293" t="str">
        <f t="shared" si="9"/>
        <v>--</v>
      </c>
      <c r="X34" s="294" t="str">
        <f t="shared" si="10"/>
        <v>--</v>
      </c>
      <c r="Y34" s="295" t="str">
        <f t="shared" si="11"/>
        <v>--</v>
      </c>
      <c r="Z34" s="296">
        <f t="shared" si="17"/>
      </c>
      <c r="AA34" s="297">
        <f t="shared" si="12"/>
      </c>
      <c r="AB34" s="297"/>
      <c r="AC34" s="561"/>
    </row>
    <row r="35" spans="1:29" s="5" customFormat="1" ht="16.5" customHeight="1">
      <c r="A35" s="82"/>
      <c r="B35" s="87"/>
      <c r="C35" s="268"/>
      <c r="D35" s="141"/>
      <c r="E35" s="298"/>
      <c r="F35" s="283"/>
      <c r="G35" s="284"/>
      <c r="H35" s="285">
        <f t="shared" si="15"/>
        <v>0</v>
      </c>
      <c r="I35" s="148"/>
      <c r="J35" s="148"/>
      <c r="K35" s="286">
        <f t="shared" si="0"/>
      </c>
      <c r="L35" s="11">
        <f t="shared" si="1"/>
      </c>
      <c r="M35" s="149"/>
      <c r="N35" s="555">
        <f t="shared" si="2"/>
      </c>
      <c r="O35" s="146">
        <f t="shared" si="13"/>
      </c>
      <c r="P35" s="145">
        <f t="shared" si="3"/>
      </c>
      <c r="Q35" s="287">
        <f t="shared" si="16"/>
        <v>20</v>
      </c>
      <c r="R35" s="288" t="str">
        <f t="shared" si="4"/>
        <v>--</v>
      </c>
      <c r="S35" s="289" t="str">
        <f t="shared" si="5"/>
        <v>--</v>
      </c>
      <c r="T35" s="290" t="str">
        <f t="shared" si="6"/>
        <v>--</v>
      </c>
      <c r="U35" s="291" t="str">
        <f t="shared" si="7"/>
        <v>--</v>
      </c>
      <c r="V35" s="292" t="str">
        <f t="shared" si="8"/>
        <v>--</v>
      </c>
      <c r="W35" s="293" t="str">
        <f t="shared" si="9"/>
        <v>--</v>
      </c>
      <c r="X35" s="294" t="str">
        <f t="shared" si="10"/>
        <v>--</v>
      </c>
      <c r="Y35" s="295" t="str">
        <f t="shared" si="11"/>
        <v>--</v>
      </c>
      <c r="Z35" s="296">
        <f t="shared" si="17"/>
      </c>
      <c r="AA35" s="297">
        <f t="shared" si="12"/>
      </c>
      <c r="AB35" s="297"/>
      <c r="AC35" s="14"/>
    </row>
    <row r="36" spans="1:29" s="5" customFormat="1" ht="16.5" customHeight="1">
      <c r="A36" s="82"/>
      <c r="B36" s="87"/>
      <c r="C36" s="147"/>
      <c r="D36" s="141"/>
      <c r="E36" s="298"/>
      <c r="F36" s="283"/>
      <c r="G36" s="284"/>
      <c r="H36" s="285">
        <f t="shared" si="15"/>
        <v>0</v>
      </c>
      <c r="I36" s="148"/>
      <c r="J36" s="148"/>
      <c r="K36" s="286">
        <f t="shared" si="0"/>
      </c>
      <c r="L36" s="11">
        <f t="shared" si="1"/>
      </c>
      <c r="M36" s="149"/>
      <c r="N36" s="555">
        <f t="shared" si="2"/>
      </c>
      <c r="O36" s="146">
        <f t="shared" si="13"/>
      </c>
      <c r="P36" s="145">
        <f t="shared" si="3"/>
      </c>
      <c r="Q36" s="287">
        <f t="shared" si="16"/>
        <v>20</v>
      </c>
      <c r="R36" s="288" t="str">
        <f t="shared" si="4"/>
        <v>--</v>
      </c>
      <c r="S36" s="289" t="str">
        <f t="shared" si="5"/>
        <v>--</v>
      </c>
      <c r="T36" s="290" t="str">
        <f t="shared" si="6"/>
        <v>--</v>
      </c>
      <c r="U36" s="291" t="str">
        <f t="shared" si="7"/>
        <v>--</v>
      </c>
      <c r="V36" s="292" t="str">
        <f t="shared" si="8"/>
        <v>--</v>
      </c>
      <c r="W36" s="293" t="str">
        <f t="shared" si="9"/>
        <v>--</v>
      </c>
      <c r="X36" s="294" t="str">
        <f t="shared" si="10"/>
        <v>--</v>
      </c>
      <c r="Y36" s="295" t="str">
        <f t="shared" si="11"/>
        <v>--</v>
      </c>
      <c r="Z36" s="296">
        <f t="shared" si="17"/>
      </c>
      <c r="AA36" s="297">
        <f t="shared" si="12"/>
      </c>
      <c r="AB36" s="297"/>
      <c r="AC36" s="14"/>
    </row>
    <row r="37" spans="1:29" s="5" customFormat="1" ht="16.5" customHeight="1">
      <c r="A37" s="82"/>
      <c r="B37" s="87"/>
      <c r="C37" s="268"/>
      <c r="D37" s="141"/>
      <c r="E37" s="298"/>
      <c r="F37" s="283"/>
      <c r="G37" s="284"/>
      <c r="H37" s="285">
        <f t="shared" si="15"/>
        <v>0</v>
      </c>
      <c r="I37" s="148"/>
      <c r="J37" s="148"/>
      <c r="K37" s="286">
        <f t="shared" si="0"/>
      </c>
      <c r="L37" s="11">
        <f t="shared" si="1"/>
      </c>
      <c r="M37" s="149"/>
      <c r="N37" s="555">
        <f t="shared" si="2"/>
      </c>
      <c r="O37" s="146">
        <f t="shared" si="13"/>
      </c>
      <c r="P37" s="145">
        <f t="shared" si="3"/>
      </c>
      <c r="Q37" s="287">
        <f t="shared" si="16"/>
        <v>20</v>
      </c>
      <c r="R37" s="288" t="str">
        <f t="shared" si="4"/>
        <v>--</v>
      </c>
      <c r="S37" s="289" t="str">
        <f t="shared" si="5"/>
        <v>--</v>
      </c>
      <c r="T37" s="290" t="str">
        <f t="shared" si="6"/>
        <v>--</v>
      </c>
      <c r="U37" s="291" t="str">
        <f t="shared" si="7"/>
        <v>--</v>
      </c>
      <c r="V37" s="292" t="str">
        <f t="shared" si="8"/>
        <v>--</v>
      </c>
      <c r="W37" s="293" t="str">
        <f t="shared" si="9"/>
        <v>--</v>
      </c>
      <c r="X37" s="294" t="str">
        <f t="shared" si="10"/>
        <v>--</v>
      </c>
      <c r="Y37" s="295" t="str">
        <f t="shared" si="11"/>
        <v>--</v>
      </c>
      <c r="Z37" s="296">
        <f t="shared" si="17"/>
      </c>
      <c r="AA37" s="297">
        <f t="shared" si="12"/>
      </c>
      <c r="AB37" s="297"/>
      <c r="AC37" s="14"/>
    </row>
    <row r="38" spans="1:29" s="5" customFormat="1" ht="16.5" customHeight="1">
      <c r="A38" s="82"/>
      <c r="B38" s="87"/>
      <c r="C38" s="147"/>
      <c r="D38" s="141"/>
      <c r="E38" s="298"/>
      <c r="F38" s="283"/>
      <c r="G38" s="284"/>
      <c r="H38" s="285">
        <f t="shared" si="15"/>
        <v>0</v>
      </c>
      <c r="I38" s="148"/>
      <c r="J38" s="148"/>
      <c r="K38" s="286">
        <f t="shared" si="0"/>
      </c>
      <c r="L38" s="11">
        <f t="shared" si="1"/>
      </c>
      <c r="M38" s="149"/>
      <c r="N38" s="555">
        <f t="shared" si="2"/>
      </c>
      <c r="O38" s="146">
        <f t="shared" si="13"/>
      </c>
      <c r="P38" s="145">
        <f t="shared" si="3"/>
      </c>
      <c r="Q38" s="287">
        <f t="shared" si="16"/>
        <v>20</v>
      </c>
      <c r="R38" s="288" t="str">
        <f t="shared" si="4"/>
        <v>--</v>
      </c>
      <c r="S38" s="289" t="str">
        <f t="shared" si="5"/>
        <v>--</v>
      </c>
      <c r="T38" s="290" t="str">
        <f t="shared" si="6"/>
        <v>--</v>
      </c>
      <c r="U38" s="291" t="str">
        <f t="shared" si="7"/>
        <v>--</v>
      </c>
      <c r="V38" s="292" t="str">
        <f t="shared" si="8"/>
        <v>--</v>
      </c>
      <c r="W38" s="293" t="str">
        <f t="shared" si="9"/>
        <v>--</v>
      </c>
      <c r="X38" s="294" t="str">
        <f t="shared" si="10"/>
        <v>--</v>
      </c>
      <c r="Y38" s="295" t="str">
        <f t="shared" si="11"/>
        <v>--</v>
      </c>
      <c r="Z38" s="296">
        <f t="shared" si="17"/>
      </c>
      <c r="AA38" s="297">
        <f t="shared" si="12"/>
      </c>
      <c r="AB38" s="297"/>
      <c r="AC38" s="14"/>
    </row>
    <row r="39" spans="1:29" s="5" customFormat="1" ht="16.5" customHeight="1">
      <c r="A39" s="82"/>
      <c r="B39" s="87"/>
      <c r="C39" s="268"/>
      <c r="D39" s="141"/>
      <c r="E39" s="298"/>
      <c r="F39" s="283"/>
      <c r="G39" s="284"/>
      <c r="H39" s="285">
        <f t="shared" si="15"/>
        <v>0</v>
      </c>
      <c r="I39" s="148"/>
      <c r="J39" s="148"/>
      <c r="K39" s="286">
        <f t="shared" si="0"/>
      </c>
      <c r="L39" s="11">
        <f t="shared" si="1"/>
      </c>
      <c r="M39" s="149"/>
      <c r="N39" s="555">
        <f t="shared" si="2"/>
      </c>
      <c r="O39" s="146">
        <f t="shared" si="13"/>
      </c>
      <c r="P39" s="145">
        <f t="shared" si="3"/>
      </c>
      <c r="Q39" s="287">
        <f t="shared" si="16"/>
        <v>20</v>
      </c>
      <c r="R39" s="288" t="str">
        <f t="shared" si="4"/>
        <v>--</v>
      </c>
      <c r="S39" s="289" t="str">
        <f t="shared" si="5"/>
        <v>--</v>
      </c>
      <c r="T39" s="290" t="str">
        <f t="shared" si="6"/>
        <v>--</v>
      </c>
      <c r="U39" s="291" t="str">
        <f t="shared" si="7"/>
        <v>--</v>
      </c>
      <c r="V39" s="292" t="str">
        <f t="shared" si="8"/>
        <v>--</v>
      </c>
      <c r="W39" s="293" t="str">
        <f t="shared" si="9"/>
        <v>--</v>
      </c>
      <c r="X39" s="294" t="str">
        <f t="shared" si="10"/>
        <v>--</v>
      </c>
      <c r="Y39" s="295" t="str">
        <f t="shared" si="11"/>
        <v>--</v>
      </c>
      <c r="Z39" s="296">
        <f t="shared" si="17"/>
      </c>
      <c r="AA39" s="297">
        <f t="shared" si="12"/>
      </c>
      <c r="AB39" s="297"/>
      <c r="AC39" s="14"/>
    </row>
    <row r="40" spans="1:29" s="5" customFormat="1" ht="16.5" customHeight="1" thickBot="1">
      <c r="A40" s="82"/>
      <c r="B40" s="87"/>
      <c r="C40" s="147"/>
      <c r="D40" s="299"/>
      <c r="E40" s="300"/>
      <c r="F40" s="299"/>
      <c r="G40" s="301"/>
      <c r="H40" s="130"/>
      <c r="I40" s="150"/>
      <c r="J40" s="302"/>
      <c r="K40" s="303"/>
      <c r="L40" s="304"/>
      <c r="M40" s="154"/>
      <c r="N40" s="556"/>
      <c r="O40" s="152"/>
      <c r="P40" s="154"/>
      <c r="Q40" s="305"/>
      <c r="R40" s="306"/>
      <c r="S40" s="307"/>
      <c r="T40" s="308"/>
      <c r="U40" s="309"/>
      <c r="V40" s="310"/>
      <c r="W40" s="311"/>
      <c r="X40" s="312"/>
      <c r="Y40" s="313"/>
      <c r="Z40" s="314"/>
      <c r="AA40" s="315"/>
      <c r="AB40" s="315"/>
      <c r="AC40" s="14"/>
    </row>
    <row r="41" spans="1:29" s="5" customFormat="1" ht="16.5" customHeight="1" thickBot="1" thickTop="1">
      <c r="A41" s="82"/>
      <c r="B41" s="87"/>
      <c r="C41" s="120" t="s">
        <v>23</v>
      </c>
      <c r="D41" s="121" t="s">
        <v>121</v>
      </c>
      <c r="E41" s="12"/>
      <c r="F41" s="12"/>
      <c r="G41" s="12"/>
      <c r="H41" s="12"/>
      <c r="I41" s="12"/>
      <c r="J41" s="91"/>
      <c r="K41" s="12"/>
      <c r="L41" s="12"/>
      <c r="M41" s="12"/>
      <c r="N41" s="551"/>
      <c r="O41" s="12"/>
      <c r="P41" s="12"/>
      <c r="Q41" s="12"/>
      <c r="R41" s="316">
        <f aca="true" t="shared" si="18" ref="R41:Y41">SUM(R20:R40)</f>
        <v>5697.720000000001</v>
      </c>
      <c r="S41" s="317">
        <f t="shared" si="18"/>
        <v>138927.25</v>
      </c>
      <c r="T41" s="318">
        <f t="shared" si="18"/>
        <v>735</v>
      </c>
      <c r="U41" s="319">
        <f t="shared" si="18"/>
        <v>4292.400000000001</v>
      </c>
      <c r="V41" s="320">
        <f t="shared" si="18"/>
        <v>0</v>
      </c>
      <c r="W41" s="321">
        <f t="shared" si="18"/>
        <v>411600</v>
      </c>
      <c r="X41" s="322">
        <f t="shared" si="18"/>
        <v>0</v>
      </c>
      <c r="Y41" s="323">
        <f t="shared" si="18"/>
        <v>0</v>
      </c>
      <c r="Z41" s="82"/>
      <c r="AA41" s="324">
        <f>ROUND(SUM(AA20:AA40),2)</f>
        <v>561252.37</v>
      </c>
      <c r="AB41" s="324">
        <f>SUM(AB23:AB33)</f>
        <v>67088.37890206647</v>
      </c>
      <c r="AC41" s="14"/>
    </row>
    <row r="42" spans="1:29" s="126" customFormat="1" ht="9.75" thickTop="1">
      <c r="A42" s="325"/>
      <c r="B42" s="326"/>
      <c r="C42" s="122"/>
      <c r="D42" s="123" t="s">
        <v>123</v>
      </c>
      <c r="E42" s="327"/>
      <c r="F42" s="327" t="s">
        <v>135</v>
      </c>
      <c r="G42" s="327"/>
      <c r="H42" s="327"/>
      <c r="I42" s="327"/>
      <c r="J42" s="328"/>
      <c r="K42" s="327"/>
      <c r="L42" s="327"/>
      <c r="M42" s="327"/>
      <c r="N42" s="557"/>
      <c r="O42" s="327"/>
      <c r="P42" s="327"/>
      <c r="Q42" s="327"/>
      <c r="R42" s="329"/>
      <c r="S42" s="329"/>
      <c r="T42" s="329"/>
      <c r="U42" s="329"/>
      <c r="V42" s="329"/>
      <c r="W42" s="329"/>
      <c r="X42" s="329"/>
      <c r="Y42" s="329"/>
      <c r="Z42" s="325"/>
      <c r="AA42" s="330"/>
      <c r="AB42" s="330"/>
      <c r="AC42" s="127"/>
    </row>
    <row r="43" spans="1:29" s="5" customFormat="1" ht="16.5" customHeight="1" thickBot="1">
      <c r="A43" s="82"/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558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6"/>
    </row>
    <row r="44" spans="1:30" ht="16.5" customHeight="1" thickTop="1">
      <c r="A44" s="2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559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</row>
    <row r="45" spans="1:30" ht="16.5" customHeight="1">
      <c r="A45" s="2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559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</row>
    <row r="46" spans="1:30" ht="16.5" customHeight="1">
      <c r="A46" s="2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559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</row>
    <row r="47" spans="1:30" ht="16.5" customHeight="1">
      <c r="A47" s="2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559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</row>
    <row r="48" spans="4:30" ht="16.5" customHeight="1"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559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</row>
    <row r="49" spans="4:30" ht="16.5" customHeight="1"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559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</row>
    <row r="50" spans="4:30" ht="16.5" customHeight="1"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559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</row>
    <row r="51" spans="4:30" ht="16.5" customHeight="1"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559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</row>
    <row r="52" spans="4:30" ht="16.5" customHeight="1"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559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</row>
    <row r="53" spans="4:30" ht="16.5" customHeight="1"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559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</row>
    <row r="54" spans="4:30" ht="16.5" customHeight="1"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559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</row>
    <row r="55" spans="4:30" ht="16.5" customHeight="1"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559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</row>
    <row r="56" spans="4:30" ht="16.5" customHeight="1"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559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</row>
    <row r="57" spans="4:30" ht="16.5" customHeight="1"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559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</row>
    <row r="58" spans="4:30" ht="16.5" customHeight="1"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559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</row>
    <row r="59" spans="4:30" ht="16.5" customHeight="1"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559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</row>
    <row r="60" spans="4:30" ht="16.5" customHeight="1"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559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</row>
    <row r="61" spans="4:30" ht="16.5" customHeight="1"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559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</row>
    <row r="62" spans="4:30" ht="16.5" customHeight="1"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559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</row>
    <row r="63" spans="4:30" ht="16.5" customHeight="1"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559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</row>
    <row r="64" spans="4:30" ht="16.5" customHeight="1"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559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</row>
    <row r="65" spans="4:30" ht="16.5" customHeight="1"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559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</row>
    <row r="66" spans="4:30" ht="16.5" customHeight="1"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559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</row>
    <row r="67" spans="4:30" ht="16.5" customHeight="1"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559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</row>
    <row r="68" spans="4:30" ht="16.5" customHeight="1"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559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</row>
    <row r="69" spans="4:30" ht="16.5" customHeight="1"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559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</row>
    <row r="70" spans="4:30" ht="16.5" customHeight="1"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559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</row>
    <row r="71" spans="4:30" ht="16.5" customHeight="1"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559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</row>
    <row r="72" spans="4:30" ht="16.5" customHeight="1"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559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</row>
    <row r="73" spans="4:30" ht="16.5" customHeight="1"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559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</row>
    <row r="74" spans="4:30" ht="16.5" customHeight="1"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559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</row>
    <row r="75" spans="4:30" ht="16.5" customHeight="1"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559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</row>
    <row r="76" spans="4:30" ht="16.5" customHeight="1"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559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</row>
    <row r="77" spans="4:30" ht="16.5" customHeight="1"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559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</row>
    <row r="78" spans="4:30" ht="16.5" customHeight="1"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559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</row>
    <row r="79" spans="4:30" ht="16.5" customHeight="1"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559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</row>
    <row r="80" spans="4:30" ht="16.5" customHeight="1"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559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</row>
    <row r="81" spans="4:30" ht="16.5" customHeight="1"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559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</row>
    <row r="82" spans="4:30" ht="16.5" customHeight="1"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559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</row>
    <row r="83" spans="4:30" ht="16.5" customHeight="1"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559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</row>
    <row r="84" spans="4:30" ht="16.5" customHeight="1"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559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</row>
    <row r="85" spans="4:30" ht="16.5" customHeight="1"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559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</row>
    <row r="86" spans="4:30" ht="16.5" customHeight="1"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559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</row>
    <row r="87" spans="4:30" ht="16.5" customHeight="1"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559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</row>
    <row r="88" spans="4:30" ht="16.5" customHeight="1"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559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</row>
    <row r="89" spans="4:30" ht="16.5" customHeight="1"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559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</row>
    <row r="90" spans="4:30" ht="16.5" customHeight="1"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559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</row>
    <row r="91" spans="4:30" ht="16.5" customHeight="1"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559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</row>
    <row r="92" spans="4:30" ht="16.5" customHeight="1"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559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</row>
    <row r="93" spans="4:30" ht="16.5" customHeight="1"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559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</row>
    <row r="94" spans="4:30" ht="16.5" customHeight="1"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559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</row>
    <row r="95" spans="4:30" ht="16.5" customHeight="1"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559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</row>
    <row r="96" spans="4:30" ht="16.5" customHeight="1"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559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</row>
    <row r="97" spans="4:30" ht="16.5" customHeight="1"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559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</row>
    <row r="98" spans="4:30" ht="16.5" customHeight="1"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559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</row>
    <row r="99" spans="4:30" ht="16.5" customHeight="1"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559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</row>
    <row r="100" spans="4:30" ht="16.5" customHeight="1"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559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</row>
    <row r="101" spans="4:30" ht="16.5" customHeight="1"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559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</row>
    <row r="102" spans="4:30" ht="16.5" customHeight="1"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559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</row>
    <row r="103" spans="4:30" ht="16.5" customHeight="1"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559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</row>
    <row r="104" spans="4:30" ht="16.5" customHeight="1"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559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</row>
    <row r="105" spans="4:30" ht="16.5" customHeight="1"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559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</row>
    <row r="106" spans="4:30" ht="16.5" customHeight="1"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559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</row>
    <row r="107" spans="4:30" ht="16.5" customHeight="1"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559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</row>
    <row r="108" spans="4:30" ht="16.5" customHeight="1"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559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</row>
    <row r="109" spans="4:30" ht="16.5" customHeight="1"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559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</row>
    <row r="110" spans="4:30" ht="16.5" customHeight="1"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559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</row>
    <row r="111" spans="4:30" ht="16.5" customHeight="1"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559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</row>
    <row r="112" spans="4:30" ht="16.5" customHeight="1"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559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</row>
    <row r="113" spans="4:30" ht="16.5" customHeight="1"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559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</row>
    <row r="114" spans="4:30" ht="16.5" customHeight="1"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559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</row>
    <row r="115" spans="4:30" ht="16.5" customHeight="1"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559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</row>
    <row r="116" spans="4:30" ht="16.5" customHeight="1"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559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</row>
    <row r="117" spans="4:30" ht="16.5" customHeight="1"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559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</row>
    <row r="118" spans="4:30" ht="16.5" customHeight="1"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559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</row>
    <row r="119" spans="4:30" ht="16.5" customHeight="1"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559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</row>
    <row r="120" spans="4:30" ht="16.5" customHeight="1"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559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</row>
    <row r="121" spans="4:30" ht="16.5" customHeight="1"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559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</row>
    <row r="122" spans="4:30" ht="16.5" customHeight="1"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559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</row>
    <row r="123" spans="4:30" ht="16.5" customHeight="1"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559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</row>
    <row r="124" spans="4:30" ht="16.5" customHeight="1"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559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</row>
    <row r="125" spans="4:30" ht="16.5" customHeight="1"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559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</row>
    <row r="126" spans="4:30" ht="16.5" customHeight="1"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559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</row>
    <row r="127" spans="4:30" ht="16.5" customHeight="1"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559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</row>
    <row r="128" spans="4:30" ht="16.5" customHeight="1"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559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</row>
    <row r="129" spans="4:30" ht="16.5" customHeight="1"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559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</row>
    <row r="130" spans="4:30" ht="16.5" customHeight="1"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559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</row>
    <row r="131" spans="4:30" ht="16.5" customHeight="1"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559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</row>
    <row r="132" spans="4:30" ht="16.5" customHeight="1"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559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</row>
    <row r="133" spans="4:30" ht="16.5" customHeight="1"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559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</row>
    <row r="134" spans="4:30" ht="16.5" customHeight="1"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559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</row>
    <row r="135" spans="4:30" ht="16.5" customHeight="1"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559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</row>
    <row r="136" spans="4:30" ht="16.5" customHeight="1"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559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</row>
    <row r="137" spans="4:30" ht="16.5" customHeight="1"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559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</row>
    <row r="138" spans="4:30" ht="16.5" customHeight="1"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559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</row>
    <row r="139" spans="4:30" ht="16.5" customHeight="1"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559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</row>
    <row r="140" spans="4:30" ht="16.5" customHeight="1"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559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</row>
    <row r="141" spans="4:30" ht="16.5" customHeight="1"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559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</row>
    <row r="142" spans="4:30" ht="16.5" customHeight="1"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559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</row>
    <row r="143" spans="4:30" ht="16.5" customHeight="1"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559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</row>
    <row r="144" spans="4:30" ht="16.5" customHeight="1"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559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</row>
    <row r="145" spans="4:30" ht="16.5" customHeight="1"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559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</row>
    <row r="146" spans="4:30" ht="16.5" customHeight="1"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559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</row>
    <row r="147" spans="4:30" ht="16.5" customHeight="1"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559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</row>
    <row r="148" spans="4:30" ht="16.5" customHeight="1"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559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</row>
    <row r="149" spans="4:30" ht="16.5" customHeight="1"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559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</row>
    <row r="150" spans="4:30" ht="16.5" customHeight="1"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559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</row>
    <row r="151" spans="4:30" ht="16.5" customHeight="1"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559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</row>
    <row r="152" ht="16.5" customHeight="1">
      <c r="AD152" s="168"/>
    </row>
    <row r="153" ht="16.5" customHeight="1">
      <c r="AD153" s="168"/>
    </row>
    <row r="154" ht="16.5" customHeight="1">
      <c r="AD154" s="168"/>
    </row>
    <row r="155" ht="16.5" customHeight="1">
      <c r="AD155" s="168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Roman,Normal"&amp;8&amp;F-&amp;A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X160"/>
  <sheetViews>
    <sheetView tabSelected="1" zoomScale="75" zoomScaleNormal="75" workbookViewId="0" topLeftCell="K1">
      <selection activeCell="B2" sqref="B2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2" width="15.7109375" style="0" customWidth="1"/>
  </cols>
  <sheetData>
    <row r="1" s="15" customFormat="1" ht="26.25">
      <c r="V1" s="136"/>
    </row>
    <row r="2" spans="1:22" s="15" customFormat="1" ht="26.25">
      <c r="A2" s="83"/>
      <c r="B2" s="16" t="s">
        <v>149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="5" customFormat="1" ht="12.75">
      <c r="A3" s="82"/>
    </row>
    <row r="4" spans="1:2" s="22" customFormat="1" ht="11.25">
      <c r="A4" s="20" t="s">
        <v>1</v>
      </c>
      <c r="B4" s="118"/>
    </row>
    <row r="5" spans="1:2" s="22" customFormat="1" ht="11.25">
      <c r="A5" s="20" t="s">
        <v>2</v>
      </c>
      <c r="B5" s="118"/>
    </row>
    <row r="6" s="5" customFormat="1" ht="13.5" thickBot="1"/>
    <row r="7" spans="2:22" s="5" customFormat="1" ht="13.5" thickTop="1"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7"/>
    </row>
    <row r="8" spans="2:22" s="26" customFormat="1" ht="20.25">
      <c r="B8" s="73"/>
      <c r="C8" s="27"/>
      <c r="D8" s="10" t="s">
        <v>43</v>
      </c>
      <c r="L8" s="99"/>
      <c r="M8" s="99"/>
      <c r="N8" s="88"/>
      <c r="O8" s="27"/>
      <c r="P8" s="27"/>
      <c r="Q8" s="27"/>
      <c r="R8" s="27"/>
      <c r="S8" s="27"/>
      <c r="T8" s="27"/>
      <c r="U8" s="27"/>
      <c r="V8" s="74"/>
    </row>
    <row r="9" spans="2:22" s="5" customFormat="1" ht="12.75">
      <c r="B9" s="47"/>
      <c r="C9" s="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"/>
      <c r="P9" s="4"/>
      <c r="Q9" s="4"/>
      <c r="R9" s="4"/>
      <c r="S9" s="4"/>
      <c r="T9" s="4"/>
      <c r="U9" s="4"/>
      <c r="V9" s="6"/>
    </row>
    <row r="10" spans="2:22" s="26" customFormat="1" ht="20.25">
      <c r="B10" s="73"/>
      <c r="C10" s="27"/>
      <c r="D10" s="107" t="s">
        <v>52</v>
      </c>
      <c r="E10" s="332"/>
      <c r="F10" s="99"/>
      <c r="G10" s="102"/>
      <c r="I10" s="102"/>
      <c r="J10" s="102"/>
      <c r="K10" s="102"/>
      <c r="L10" s="102"/>
      <c r="M10" s="102"/>
      <c r="N10" s="102"/>
      <c r="O10" s="27"/>
      <c r="P10" s="27"/>
      <c r="Q10" s="27"/>
      <c r="R10" s="27"/>
      <c r="S10" s="27"/>
      <c r="T10" s="27"/>
      <c r="U10" s="27"/>
      <c r="V10" s="74"/>
    </row>
    <row r="11" spans="2:22" s="5" customFormat="1" ht="13.5">
      <c r="B11" s="47"/>
      <c r="C11" s="4"/>
      <c r="D11" s="333"/>
      <c r="E11" s="333"/>
      <c r="F11" s="82"/>
      <c r="G11" s="89"/>
      <c r="H11" s="49"/>
      <c r="I11" s="89"/>
      <c r="J11" s="89"/>
      <c r="K11" s="89"/>
      <c r="L11" s="89"/>
      <c r="M11" s="89"/>
      <c r="N11" s="89"/>
      <c r="O11" s="4"/>
      <c r="P11" s="4"/>
      <c r="Q11" s="4"/>
      <c r="R11" s="4"/>
      <c r="S11" s="4"/>
      <c r="T11" s="4"/>
      <c r="U11" s="4"/>
      <c r="V11" s="6"/>
    </row>
    <row r="12" spans="2:22" s="26" customFormat="1" ht="20.25">
      <c r="B12" s="73"/>
      <c r="C12" s="27"/>
      <c r="D12" s="107" t="s">
        <v>53</v>
      </c>
      <c r="E12" s="332"/>
      <c r="F12" s="99"/>
      <c r="G12" s="102"/>
      <c r="I12" s="102"/>
      <c r="J12" s="102"/>
      <c r="K12" s="102"/>
      <c r="L12" s="102"/>
      <c r="M12" s="102"/>
      <c r="N12" s="102"/>
      <c r="O12" s="27"/>
      <c r="P12" s="27"/>
      <c r="Q12" s="27"/>
      <c r="R12" s="27"/>
      <c r="S12" s="27"/>
      <c r="T12" s="27"/>
      <c r="U12" s="27"/>
      <c r="V12" s="74"/>
    </row>
    <row r="13" spans="2:22" s="5" customFormat="1" ht="13.5">
      <c r="B13" s="47"/>
      <c r="C13" s="4"/>
      <c r="D13" s="333"/>
      <c r="E13" s="333"/>
      <c r="F13" s="82"/>
      <c r="G13" s="89"/>
      <c r="H13" s="49"/>
      <c r="I13" s="89"/>
      <c r="J13" s="89"/>
      <c r="K13" s="89"/>
      <c r="L13" s="89"/>
      <c r="M13" s="89"/>
      <c r="N13" s="89"/>
      <c r="O13" s="4"/>
      <c r="P13" s="4"/>
      <c r="Q13" s="4"/>
      <c r="R13" s="4"/>
      <c r="S13" s="4"/>
      <c r="T13" s="4"/>
      <c r="U13" s="4"/>
      <c r="V13" s="6"/>
    </row>
    <row r="14" spans="2:22" s="5" customFormat="1" ht="19.5">
      <c r="B14" s="34" t="str">
        <f>'TOT-0807'!B14</f>
        <v>Desde el 01 al 31 de agosto de 2007</v>
      </c>
      <c r="C14" s="37"/>
      <c r="D14" s="37"/>
      <c r="E14" s="37"/>
      <c r="F14" s="37"/>
      <c r="G14" s="334"/>
      <c r="H14" s="334"/>
      <c r="I14" s="334"/>
      <c r="J14" s="334"/>
      <c r="K14" s="334"/>
      <c r="L14" s="334"/>
      <c r="M14" s="334"/>
      <c r="N14" s="334"/>
      <c r="O14" s="37"/>
      <c r="P14" s="37"/>
      <c r="Q14" s="37"/>
      <c r="R14" s="37"/>
      <c r="S14" s="37"/>
      <c r="T14" s="37"/>
      <c r="U14" s="37"/>
      <c r="V14" s="335"/>
    </row>
    <row r="15" spans="2:22" s="5" customFormat="1" ht="14.25" thickBot="1">
      <c r="B15" s="336"/>
      <c r="C15" s="337"/>
      <c r="D15" s="337"/>
      <c r="E15" s="337"/>
      <c r="F15" s="337"/>
      <c r="G15" s="338"/>
      <c r="H15" s="338"/>
      <c r="I15" s="338"/>
      <c r="J15" s="338"/>
      <c r="K15" s="338"/>
      <c r="L15" s="338"/>
      <c r="M15" s="338"/>
      <c r="N15" s="338"/>
      <c r="O15" s="337"/>
      <c r="P15" s="337"/>
      <c r="Q15" s="337"/>
      <c r="R15" s="337"/>
      <c r="S15" s="337"/>
      <c r="T15" s="337"/>
      <c r="U15" s="337"/>
      <c r="V15" s="339"/>
    </row>
    <row r="16" spans="2:22" s="5" customFormat="1" ht="15" thickBot="1" thickTop="1">
      <c r="B16" s="47"/>
      <c r="C16" s="4"/>
      <c r="D16" s="340"/>
      <c r="E16" s="340"/>
      <c r="F16" s="111" t="s">
        <v>54</v>
      </c>
      <c r="G16" s="4"/>
      <c r="H16" s="4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</row>
    <row r="17" spans="2:22" s="5" customFormat="1" ht="16.5" customHeight="1" thickBot="1" thickTop="1">
      <c r="B17" s="47"/>
      <c r="C17" s="4"/>
      <c r="D17" s="341" t="s">
        <v>55</v>
      </c>
      <c r="E17" s="342">
        <v>49.065</v>
      </c>
      <c r="F17" s="343">
        <v>200</v>
      </c>
      <c r="T17" s="109"/>
      <c r="U17" s="109"/>
      <c r="V17" s="6"/>
    </row>
    <row r="18" spans="2:22" s="5" customFormat="1" ht="16.5" customHeight="1" thickBot="1" thickTop="1">
      <c r="B18" s="47"/>
      <c r="C18" s="4"/>
      <c r="D18" s="344" t="s">
        <v>56</v>
      </c>
      <c r="E18" s="345">
        <v>44.156</v>
      </c>
      <c r="F18" s="343">
        <v>100</v>
      </c>
      <c r="M18" s="4"/>
      <c r="N18" s="4"/>
      <c r="O18" s="4"/>
      <c r="P18" s="4"/>
      <c r="Q18" s="4"/>
      <c r="R18" s="4"/>
      <c r="S18" s="4"/>
      <c r="T18" s="4"/>
      <c r="U18" s="4"/>
      <c r="V18" s="6"/>
    </row>
    <row r="19" spans="2:22" s="5" customFormat="1" ht="16.5" customHeight="1" thickBot="1" thickTop="1">
      <c r="B19" s="47"/>
      <c r="C19" s="4"/>
      <c r="D19" s="346" t="s">
        <v>57</v>
      </c>
      <c r="E19" s="345">
        <v>39.254</v>
      </c>
      <c r="F19" s="343">
        <v>40</v>
      </c>
      <c r="I19" s="192"/>
      <c r="J19" s="193"/>
      <c r="K19" s="4"/>
      <c r="M19" s="4"/>
      <c r="O19" s="4"/>
      <c r="P19" s="4"/>
      <c r="Q19" s="4"/>
      <c r="R19" s="4"/>
      <c r="S19" s="4"/>
      <c r="T19" s="4"/>
      <c r="U19" s="4"/>
      <c r="V19" s="6"/>
    </row>
    <row r="20" spans="2:22" s="5" customFormat="1" ht="16.5" customHeight="1" thickBot="1" thickTop="1">
      <c r="B20" s="47"/>
      <c r="C20" s="347"/>
      <c r="D20" s="348"/>
      <c r="E20" s="348"/>
      <c r="F20" s="349"/>
      <c r="G20" s="350"/>
      <c r="H20" s="350"/>
      <c r="I20" s="350"/>
      <c r="J20" s="350"/>
      <c r="K20" s="350"/>
      <c r="L20" s="350"/>
      <c r="M20" s="350"/>
      <c r="N20" s="351"/>
      <c r="O20" s="352"/>
      <c r="P20" s="353"/>
      <c r="Q20" s="353"/>
      <c r="R20" s="353"/>
      <c r="S20" s="354"/>
      <c r="T20" s="355"/>
      <c r="U20" s="563"/>
      <c r="V20" s="6"/>
    </row>
    <row r="21" spans="2:22" s="5" customFormat="1" ht="33.75" customHeight="1" thickBot="1" thickTop="1">
      <c r="B21" s="47"/>
      <c r="C21" s="78" t="s">
        <v>12</v>
      </c>
      <c r="D21" s="80" t="s">
        <v>27</v>
      </c>
      <c r="E21" s="356" t="s">
        <v>28</v>
      </c>
      <c r="F21" s="357" t="s">
        <v>13</v>
      </c>
      <c r="G21" s="128" t="s">
        <v>15</v>
      </c>
      <c r="H21" s="79" t="s">
        <v>16</v>
      </c>
      <c r="I21" s="356" t="s">
        <v>17</v>
      </c>
      <c r="J21" s="358" t="s">
        <v>35</v>
      </c>
      <c r="K21" s="358" t="s">
        <v>31</v>
      </c>
      <c r="L21" s="81" t="s">
        <v>18</v>
      </c>
      <c r="M21" s="170" t="s">
        <v>32</v>
      </c>
      <c r="N21" s="133" t="s">
        <v>36</v>
      </c>
      <c r="O21" s="359" t="s">
        <v>44</v>
      </c>
      <c r="P21" s="171" t="s">
        <v>34</v>
      </c>
      <c r="Q21" s="360"/>
      <c r="R21" s="132" t="s">
        <v>21</v>
      </c>
      <c r="S21" s="131" t="s">
        <v>47</v>
      </c>
      <c r="T21" s="115" t="s">
        <v>22</v>
      </c>
      <c r="U21" s="115" t="s">
        <v>139</v>
      </c>
      <c r="V21" s="6"/>
    </row>
    <row r="22" spans="2:22" s="5" customFormat="1" ht="16.5" customHeight="1" thickTop="1">
      <c r="B22" s="47"/>
      <c r="C22" s="7"/>
      <c r="D22" s="361"/>
      <c r="E22" s="361"/>
      <c r="F22" s="361"/>
      <c r="G22" s="207"/>
      <c r="H22" s="361"/>
      <c r="I22" s="361"/>
      <c r="J22" s="361"/>
      <c r="K22" s="361"/>
      <c r="L22" s="361"/>
      <c r="M22" s="361"/>
      <c r="N22" s="362"/>
      <c r="O22" s="363"/>
      <c r="P22" s="364"/>
      <c r="Q22" s="365"/>
      <c r="R22" s="366"/>
      <c r="S22" s="361"/>
      <c r="T22" s="367"/>
      <c r="U22" s="367"/>
      <c r="V22" s="6"/>
    </row>
    <row r="23" spans="2:22" s="5" customFormat="1" ht="16.5" customHeight="1">
      <c r="B23" s="47"/>
      <c r="C23" s="268"/>
      <c r="D23" s="368"/>
      <c r="E23" s="368"/>
      <c r="F23" s="368"/>
      <c r="G23" s="369"/>
      <c r="H23" s="368"/>
      <c r="I23" s="368"/>
      <c r="J23" s="368"/>
      <c r="K23" s="368"/>
      <c r="L23" s="368"/>
      <c r="M23" s="368"/>
      <c r="N23" s="370"/>
      <c r="O23" s="371"/>
      <c r="P23" s="181"/>
      <c r="Q23" s="372"/>
      <c r="R23" s="373"/>
      <c r="S23" s="368"/>
      <c r="T23" s="374"/>
      <c r="U23" s="374"/>
      <c r="V23" s="6"/>
    </row>
    <row r="24" spans="2:23" s="5" customFormat="1" ht="16.5" customHeight="1">
      <c r="B24" s="47"/>
      <c r="C24" s="147">
        <v>28</v>
      </c>
      <c r="D24" s="375" t="s">
        <v>97</v>
      </c>
      <c r="E24" s="375" t="s">
        <v>98</v>
      </c>
      <c r="F24" s="376">
        <v>132</v>
      </c>
      <c r="G24" s="129">
        <f aca="true" t="shared" si="0" ref="G24:G43">IF(F24=500,$E$17,IF(F24=220,$E$18,$E$19))</f>
        <v>39.254</v>
      </c>
      <c r="H24" s="377">
        <v>39302.353472222225</v>
      </c>
      <c r="I24" s="143">
        <v>39302.47222222222</v>
      </c>
      <c r="J24" s="378">
        <f aca="true" t="shared" si="1" ref="J24:J43">IF(D24="","",(I24-H24)*24)</f>
        <v>2.8499999998603016</v>
      </c>
      <c r="K24" s="379">
        <f aca="true" t="shared" si="2" ref="K24:K43">IF(D24="","",ROUND((I24-H24)*24*60,0))</f>
        <v>171</v>
      </c>
      <c r="L24" s="209" t="s">
        <v>75</v>
      </c>
      <c r="M24" s="145" t="str">
        <f aca="true" t="shared" si="3" ref="M24:M43">IF(D24="","",IF(L24="P","--","NO"))</f>
        <v>--</v>
      </c>
      <c r="N24" s="380">
        <f aca="true" t="shared" si="4" ref="N24:N43">IF(F24=500,$F$17,IF(F24=220,$F$18,$F$19))</f>
        <v>40</v>
      </c>
      <c r="O24" s="381">
        <f aca="true" t="shared" si="5" ref="O24:O43">IF(L24="P",G24*N24*ROUND(K24/60,2)*0.1,"--")</f>
        <v>447.4956</v>
      </c>
      <c r="P24" s="382" t="str">
        <f aca="true" t="shared" si="6" ref="P24:P43">IF(AND(L24="F",M24="NO"),G24*N24,"--")</f>
        <v>--</v>
      </c>
      <c r="Q24" s="383" t="str">
        <f aca="true" t="shared" si="7" ref="Q24:Q43">IF(L24="F",G24*N24*ROUND(K24/60,2),"--")</f>
        <v>--</v>
      </c>
      <c r="R24" s="151" t="str">
        <f aca="true" t="shared" si="8" ref="R24:R43">IF(L24="RF",G24*N24*ROUND(K24/60,2),"--")</f>
        <v>--</v>
      </c>
      <c r="S24" s="145" t="str">
        <f aca="true" t="shared" si="9" ref="S24:S43">IF(D24="","","SI")</f>
        <v>SI</v>
      </c>
      <c r="T24" s="384">
        <v>0</v>
      </c>
      <c r="U24" s="384">
        <f>T24*(1-$W$24)</f>
        <v>0</v>
      </c>
      <c r="V24" s="6"/>
      <c r="W24" s="5">
        <v>0.8804666447964105</v>
      </c>
    </row>
    <row r="25" spans="2:22" s="5" customFormat="1" ht="16.5" customHeight="1">
      <c r="B25" s="47"/>
      <c r="C25" s="268">
        <v>29</v>
      </c>
      <c r="D25" s="375" t="s">
        <v>99</v>
      </c>
      <c r="E25" s="375" t="s">
        <v>100</v>
      </c>
      <c r="F25" s="376">
        <v>500</v>
      </c>
      <c r="G25" s="129">
        <f t="shared" si="0"/>
        <v>49.065</v>
      </c>
      <c r="H25" s="377">
        <v>39303.71041666667</v>
      </c>
      <c r="I25" s="143">
        <v>39303.81527777778</v>
      </c>
      <c r="J25" s="378">
        <f t="shared" si="1"/>
        <v>2.516666666662786</v>
      </c>
      <c r="K25" s="379">
        <f t="shared" si="2"/>
        <v>151</v>
      </c>
      <c r="L25" s="209" t="s">
        <v>75</v>
      </c>
      <c r="M25" s="145" t="str">
        <f t="shared" si="3"/>
        <v>--</v>
      </c>
      <c r="N25" s="380">
        <f t="shared" si="4"/>
        <v>200</v>
      </c>
      <c r="O25" s="381">
        <f t="shared" si="5"/>
        <v>2472.876</v>
      </c>
      <c r="P25" s="382" t="str">
        <f t="shared" si="6"/>
        <v>--</v>
      </c>
      <c r="Q25" s="383" t="str">
        <f t="shared" si="7"/>
        <v>--</v>
      </c>
      <c r="R25" s="151" t="str">
        <f t="shared" si="8"/>
        <v>--</v>
      </c>
      <c r="S25" s="145" t="str">
        <f t="shared" si="9"/>
        <v>SI</v>
      </c>
      <c r="T25" s="384">
        <v>0</v>
      </c>
      <c r="U25" s="384">
        <f aca="true" t="shared" si="10" ref="U25:U33">T25*(1-$W$24)</f>
        <v>0</v>
      </c>
      <c r="V25" s="6"/>
    </row>
    <row r="26" spans="2:22" s="5" customFormat="1" ht="16.5" customHeight="1">
      <c r="B26" s="47"/>
      <c r="C26" s="147">
        <v>30</v>
      </c>
      <c r="D26" s="375" t="s">
        <v>101</v>
      </c>
      <c r="E26" s="375" t="s">
        <v>102</v>
      </c>
      <c r="F26" s="376">
        <v>132</v>
      </c>
      <c r="G26" s="129">
        <f t="shared" si="0"/>
        <v>39.254</v>
      </c>
      <c r="H26" s="377">
        <v>39308.32916666667</v>
      </c>
      <c r="I26" s="143">
        <v>39308.569444444445</v>
      </c>
      <c r="J26" s="378">
        <f t="shared" si="1"/>
        <v>5.7666666666045785</v>
      </c>
      <c r="K26" s="379">
        <f t="shared" si="2"/>
        <v>346</v>
      </c>
      <c r="L26" s="209" t="s">
        <v>75</v>
      </c>
      <c r="M26" s="145" t="str">
        <f t="shared" si="3"/>
        <v>--</v>
      </c>
      <c r="N26" s="380">
        <f t="shared" si="4"/>
        <v>40</v>
      </c>
      <c r="O26" s="381">
        <f t="shared" si="5"/>
        <v>905.98232</v>
      </c>
      <c r="P26" s="382" t="str">
        <f t="shared" si="6"/>
        <v>--</v>
      </c>
      <c r="Q26" s="383" t="str">
        <f t="shared" si="7"/>
        <v>--</v>
      </c>
      <c r="R26" s="151" t="str">
        <f t="shared" si="8"/>
        <v>--</v>
      </c>
      <c r="S26" s="145" t="str">
        <f t="shared" si="9"/>
        <v>SI</v>
      </c>
      <c r="T26" s="384">
        <v>0</v>
      </c>
      <c r="U26" s="384">
        <f t="shared" si="10"/>
        <v>0</v>
      </c>
      <c r="V26" s="6"/>
    </row>
    <row r="27" spans="2:22" s="5" customFormat="1" ht="16.5" customHeight="1">
      <c r="B27" s="47"/>
      <c r="C27" s="268">
        <v>31</v>
      </c>
      <c r="D27" s="375" t="s">
        <v>103</v>
      </c>
      <c r="E27" s="375" t="s">
        <v>104</v>
      </c>
      <c r="F27" s="376">
        <v>132</v>
      </c>
      <c r="G27" s="129">
        <f t="shared" si="0"/>
        <v>39.254</v>
      </c>
      <c r="H27" s="377">
        <v>39312.325694444444</v>
      </c>
      <c r="I27" s="143">
        <v>39315.729166666664</v>
      </c>
      <c r="J27" s="378">
        <f t="shared" si="1"/>
        <v>81.68333333329065</v>
      </c>
      <c r="K27" s="379">
        <f t="shared" si="2"/>
        <v>4901</v>
      </c>
      <c r="L27" s="209" t="s">
        <v>75</v>
      </c>
      <c r="M27" s="145" t="str">
        <f t="shared" si="3"/>
        <v>--</v>
      </c>
      <c r="N27" s="380">
        <f t="shared" si="4"/>
        <v>40</v>
      </c>
      <c r="O27" s="381">
        <f t="shared" si="5"/>
        <v>12825.06688</v>
      </c>
      <c r="P27" s="382" t="str">
        <f t="shared" si="6"/>
        <v>--</v>
      </c>
      <c r="Q27" s="383" t="str">
        <f t="shared" si="7"/>
        <v>--</v>
      </c>
      <c r="R27" s="151" t="str">
        <f t="shared" si="8"/>
        <v>--</v>
      </c>
      <c r="S27" s="145" t="str">
        <f t="shared" si="9"/>
        <v>SI</v>
      </c>
      <c r="T27" s="384">
        <f aca="true" t="shared" si="11" ref="T27:T43">IF(D27="","",SUM(O27:R27)*IF(S27="SI",1,2))</f>
        <v>12825.06688</v>
      </c>
      <c r="U27" s="384">
        <f t="shared" si="10"/>
        <v>1533.023274876832</v>
      </c>
      <c r="V27" s="6"/>
    </row>
    <row r="28" spans="2:22" s="5" customFormat="1" ht="16.5" customHeight="1">
      <c r="B28" s="47"/>
      <c r="C28" s="147">
        <v>32</v>
      </c>
      <c r="D28" s="375" t="s">
        <v>91</v>
      </c>
      <c r="E28" s="375" t="s">
        <v>105</v>
      </c>
      <c r="F28" s="376">
        <v>132</v>
      </c>
      <c r="G28" s="129">
        <f t="shared" si="0"/>
        <v>39.254</v>
      </c>
      <c r="H28" s="377">
        <v>39314.316666666666</v>
      </c>
      <c r="I28" s="143">
        <v>39314.33194444444</v>
      </c>
      <c r="J28" s="378">
        <f t="shared" si="1"/>
        <v>0.3666666666395031</v>
      </c>
      <c r="K28" s="379">
        <f t="shared" si="2"/>
        <v>22</v>
      </c>
      <c r="L28" s="209" t="s">
        <v>75</v>
      </c>
      <c r="M28" s="145" t="str">
        <f t="shared" si="3"/>
        <v>--</v>
      </c>
      <c r="N28" s="380">
        <f t="shared" si="4"/>
        <v>40</v>
      </c>
      <c r="O28" s="381">
        <f t="shared" si="5"/>
        <v>58.09591999999999</v>
      </c>
      <c r="P28" s="382" t="str">
        <f t="shared" si="6"/>
        <v>--</v>
      </c>
      <c r="Q28" s="383" t="str">
        <f t="shared" si="7"/>
        <v>--</v>
      </c>
      <c r="R28" s="151" t="str">
        <f t="shared" si="8"/>
        <v>--</v>
      </c>
      <c r="S28" s="145" t="str">
        <f t="shared" si="9"/>
        <v>SI</v>
      </c>
      <c r="T28" s="384">
        <f t="shared" si="11"/>
        <v>58.09591999999999</v>
      </c>
      <c r="U28" s="384">
        <f t="shared" si="10"/>
        <v>6.944400241239321</v>
      </c>
      <c r="V28" s="6"/>
    </row>
    <row r="29" spans="2:22" s="5" customFormat="1" ht="16.5" customHeight="1">
      <c r="B29" s="47"/>
      <c r="C29" s="268">
        <v>33</v>
      </c>
      <c r="D29" s="375" t="s">
        <v>91</v>
      </c>
      <c r="E29" s="375" t="s">
        <v>106</v>
      </c>
      <c r="F29" s="376">
        <v>132</v>
      </c>
      <c r="G29" s="129">
        <f t="shared" si="0"/>
        <v>39.254</v>
      </c>
      <c r="H29" s="377">
        <v>39314.32361111111</v>
      </c>
      <c r="I29" s="143">
        <v>39314.615277777775</v>
      </c>
      <c r="J29" s="378">
        <f t="shared" si="1"/>
        <v>6.999999999941792</v>
      </c>
      <c r="K29" s="379">
        <f t="shared" si="2"/>
        <v>420</v>
      </c>
      <c r="L29" s="209" t="s">
        <v>75</v>
      </c>
      <c r="M29" s="145" t="str">
        <f t="shared" si="3"/>
        <v>--</v>
      </c>
      <c r="N29" s="380">
        <f t="shared" si="4"/>
        <v>40</v>
      </c>
      <c r="O29" s="381">
        <f t="shared" si="5"/>
        <v>1099.1119999999999</v>
      </c>
      <c r="P29" s="382" t="str">
        <f t="shared" si="6"/>
        <v>--</v>
      </c>
      <c r="Q29" s="383" t="str">
        <f t="shared" si="7"/>
        <v>--</v>
      </c>
      <c r="R29" s="151" t="str">
        <f t="shared" si="8"/>
        <v>--</v>
      </c>
      <c r="S29" s="145" t="str">
        <f t="shared" si="9"/>
        <v>SI</v>
      </c>
      <c r="T29" s="384">
        <f t="shared" si="11"/>
        <v>1099.1119999999999</v>
      </c>
      <c r="U29" s="384">
        <f t="shared" si="10"/>
        <v>131.3805451045277</v>
      </c>
      <c r="V29" s="6"/>
    </row>
    <row r="30" spans="2:22" s="5" customFormat="1" ht="16.5" customHeight="1">
      <c r="B30" s="47"/>
      <c r="C30" s="147">
        <v>34</v>
      </c>
      <c r="D30" s="375" t="s">
        <v>91</v>
      </c>
      <c r="E30" s="375" t="s">
        <v>105</v>
      </c>
      <c r="F30" s="376">
        <v>132</v>
      </c>
      <c r="G30" s="129">
        <f t="shared" si="0"/>
        <v>39.254</v>
      </c>
      <c r="H30" s="377">
        <v>39314.60902777778</v>
      </c>
      <c r="I30" s="143">
        <v>39314.61944444444</v>
      </c>
      <c r="J30" s="378">
        <f t="shared" si="1"/>
        <v>0.24999999994179234</v>
      </c>
      <c r="K30" s="379">
        <f t="shared" si="2"/>
        <v>15</v>
      </c>
      <c r="L30" s="209" t="s">
        <v>75</v>
      </c>
      <c r="M30" s="145" t="str">
        <f t="shared" si="3"/>
        <v>--</v>
      </c>
      <c r="N30" s="380">
        <f t="shared" si="4"/>
        <v>40</v>
      </c>
      <c r="O30" s="381">
        <f t="shared" si="5"/>
        <v>39.254</v>
      </c>
      <c r="P30" s="382" t="str">
        <f t="shared" si="6"/>
        <v>--</v>
      </c>
      <c r="Q30" s="383" t="str">
        <f t="shared" si="7"/>
        <v>--</v>
      </c>
      <c r="R30" s="151" t="str">
        <f t="shared" si="8"/>
        <v>--</v>
      </c>
      <c r="S30" s="145" t="str">
        <f t="shared" si="9"/>
        <v>SI</v>
      </c>
      <c r="T30" s="384">
        <f t="shared" si="11"/>
        <v>39.254</v>
      </c>
      <c r="U30" s="384">
        <f t="shared" si="10"/>
        <v>4.6921623251617035</v>
      </c>
      <c r="V30" s="6"/>
    </row>
    <row r="31" spans="2:22" s="5" customFormat="1" ht="16.5" customHeight="1">
      <c r="B31" s="47"/>
      <c r="C31" s="268">
        <v>35</v>
      </c>
      <c r="D31" s="375" t="s">
        <v>107</v>
      </c>
      <c r="E31" s="375" t="s">
        <v>108</v>
      </c>
      <c r="F31" s="376">
        <v>132</v>
      </c>
      <c r="G31" s="129">
        <f t="shared" si="0"/>
        <v>39.254</v>
      </c>
      <c r="H31" s="377">
        <v>39318.37152777778</v>
      </c>
      <c r="I31" s="143">
        <v>39318.64166666667</v>
      </c>
      <c r="J31" s="378">
        <f t="shared" si="1"/>
        <v>6.483333333337214</v>
      </c>
      <c r="K31" s="379">
        <f t="shared" si="2"/>
        <v>389</v>
      </c>
      <c r="L31" s="209" t="s">
        <v>75</v>
      </c>
      <c r="M31" s="145" t="str">
        <f t="shared" si="3"/>
        <v>--</v>
      </c>
      <c r="N31" s="380">
        <f t="shared" si="4"/>
        <v>40</v>
      </c>
      <c r="O31" s="381">
        <f t="shared" si="5"/>
        <v>1017.4636800000001</v>
      </c>
      <c r="P31" s="382" t="str">
        <f t="shared" si="6"/>
        <v>--</v>
      </c>
      <c r="Q31" s="383" t="str">
        <f t="shared" si="7"/>
        <v>--</v>
      </c>
      <c r="R31" s="151" t="str">
        <f t="shared" si="8"/>
        <v>--</v>
      </c>
      <c r="S31" s="145" t="str">
        <f t="shared" si="9"/>
        <v>SI</v>
      </c>
      <c r="T31" s="384">
        <v>0</v>
      </c>
      <c r="U31" s="384">
        <f t="shared" si="10"/>
        <v>0</v>
      </c>
      <c r="V31" s="6"/>
    </row>
    <row r="32" spans="2:22" s="5" customFormat="1" ht="16.5" customHeight="1">
      <c r="B32" s="47"/>
      <c r="C32" s="147">
        <v>36</v>
      </c>
      <c r="D32" s="375" t="s">
        <v>109</v>
      </c>
      <c r="E32" s="375" t="s">
        <v>110</v>
      </c>
      <c r="F32" s="376">
        <v>132</v>
      </c>
      <c r="G32" s="129">
        <f t="shared" si="0"/>
        <v>39.254</v>
      </c>
      <c r="H32" s="377">
        <v>39321.342361111114</v>
      </c>
      <c r="I32" s="143">
        <v>39321.714583333334</v>
      </c>
      <c r="J32" s="378">
        <v>8.933333333290648</v>
      </c>
      <c r="K32" s="379">
        <f t="shared" si="2"/>
        <v>536</v>
      </c>
      <c r="L32" s="209" t="s">
        <v>75</v>
      </c>
      <c r="M32" s="145" t="str">
        <f t="shared" si="3"/>
        <v>--</v>
      </c>
      <c r="N32" s="380">
        <f t="shared" si="4"/>
        <v>40</v>
      </c>
      <c r="O32" s="381">
        <f t="shared" si="5"/>
        <v>1402.1528799999999</v>
      </c>
      <c r="P32" s="382" t="str">
        <f t="shared" si="6"/>
        <v>--</v>
      </c>
      <c r="Q32" s="383" t="str">
        <f t="shared" si="7"/>
        <v>--</v>
      </c>
      <c r="R32" s="151" t="str">
        <f t="shared" si="8"/>
        <v>--</v>
      </c>
      <c r="S32" s="145" t="str">
        <f t="shared" si="9"/>
        <v>SI</v>
      </c>
      <c r="T32" s="384">
        <v>0</v>
      </c>
      <c r="U32" s="384">
        <f t="shared" si="10"/>
        <v>0</v>
      </c>
      <c r="V32" s="6"/>
    </row>
    <row r="33" spans="2:22" s="5" customFormat="1" ht="16.5" customHeight="1">
      <c r="B33" s="47"/>
      <c r="C33" s="268">
        <v>37</v>
      </c>
      <c r="D33" s="375" t="s">
        <v>101</v>
      </c>
      <c r="E33" s="375" t="s">
        <v>102</v>
      </c>
      <c r="F33" s="376">
        <v>132</v>
      </c>
      <c r="G33" s="129">
        <f t="shared" si="0"/>
        <v>39.254</v>
      </c>
      <c r="H33" s="377">
        <v>39323.33611111111</v>
      </c>
      <c r="I33" s="143">
        <v>39323.529861111114</v>
      </c>
      <c r="J33" s="378">
        <f t="shared" si="1"/>
        <v>4.650000000139698</v>
      </c>
      <c r="K33" s="379">
        <f t="shared" si="2"/>
        <v>279</v>
      </c>
      <c r="L33" s="209" t="s">
        <v>75</v>
      </c>
      <c r="M33" s="145" t="str">
        <f t="shared" si="3"/>
        <v>--</v>
      </c>
      <c r="N33" s="380">
        <f t="shared" si="4"/>
        <v>40</v>
      </c>
      <c r="O33" s="381">
        <f t="shared" si="5"/>
        <v>730.1244</v>
      </c>
      <c r="P33" s="382" t="str">
        <f t="shared" si="6"/>
        <v>--</v>
      </c>
      <c r="Q33" s="383" t="str">
        <f t="shared" si="7"/>
        <v>--</v>
      </c>
      <c r="R33" s="151" t="str">
        <f t="shared" si="8"/>
        <v>--</v>
      </c>
      <c r="S33" s="145" t="str">
        <f t="shared" si="9"/>
        <v>SI</v>
      </c>
      <c r="T33" s="384">
        <v>0</v>
      </c>
      <c r="U33" s="384">
        <f t="shared" si="10"/>
        <v>0</v>
      </c>
      <c r="V33" s="6"/>
    </row>
    <row r="34" spans="2:22" s="5" customFormat="1" ht="16.5" customHeight="1">
      <c r="B34" s="47"/>
      <c r="C34" s="147"/>
      <c r="D34" s="375"/>
      <c r="E34" s="375"/>
      <c r="F34" s="376"/>
      <c r="G34" s="129">
        <f t="shared" si="0"/>
        <v>39.254</v>
      </c>
      <c r="H34" s="377"/>
      <c r="I34" s="143"/>
      <c r="J34" s="378">
        <f t="shared" si="1"/>
      </c>
      <c r="K34" s="379">
        <f t="shared" si="2"/>
      </c>
      <c r="L34" s="209"/>
      <c r="M34" s="145">
        <f t="shared" si="3"/>
      </c>
      <c r="N34" s="380">
        <f t="shared" si="4"/>
        <v>40</v>
      </c>
      <c r="O34" s="381" t="str">
        <f t="shared" si="5"/>
        <v>--</v>
      </c>
      <c r="P34" s="382" t="str">
        <f t="shared" si="6"/>
        <v>--</v>
      </c>
      <c r="Q34" s="383" t="str">
        <f t="shared" si="7"/>
        <v>--</v>
      </c>
      <c r="R34" s="151" t="str">
        <f t="shared" si="8"/>
        <v>--</v>
      </c>
      <c r="S34" s="145">
        <f t="shared" si="9"/>
      </c>
      <c r="T34" s="384">
        <f t="shared" si="11"/>
      </c>
      <c r="U34" s="384"/>
      <c r="V34" s="6"/>
    </row>
    <row r="35" spans="2:22" s="5" customFormat="1" ht="16.5" customHeight="1">
      <c r="B35" s="47"/>
      <c r="C35" s="268"/>
      <c r="D35" s="375"/>
      <c r="E35" s="375"/>
      <c r="F35" s="376"/>
      <c r="G35" s="129">
        <f t="shared" si="0"/>
        <v>39.254</v>
      </c>
      <c r="H35" s="377"/>
      <c r="I35" s="143"/>
      <c r="J35" s="378">
        <f t="shared" si="1"/>
      </c>
      <c r="K35" s="379">
        <f t="shared" si="2"/>
      </c>
      <c r="L35" s="209"/>
      <c r="M35" s="145">
        <f t="shared" si="3"/>
      </c>
      <c r="N35" s="380">
        <f t="shared" si="4"/>
        <v>40</v>
      </c>
      <c r="O35" s="381" t="str">
        <f t="shared" si="5"/>
        <v>--</v>
      </c>
      <c r="P35" s="382" t="str">
        <f t="shared" si="6"/>
        <v>--</v>
      </c>
      <c r="Q35" s="383" t="str">
        <f t="shared" si="7"/>
        <v>--</v>
      </c>
      <c r="R35" s="151" t="str">
        <f t="shared" si="8"/>
        <v>--</v>
      </c>
      <c r="S35" s="145">
        <f t="shared" si="9"/>
      </c>
      <c r="T35" s="384">
        <f t="shared" si="11"/>
      </c>
      <c r="U35" s="384"/>
      <c r="V35" s="6"/>
    </row>
    <row r="36" spans="2:22" s="5" customFormat="1" ht="16.5" customHeight="1">
      <c r="B36" s="47"/>
      <c r="C36" s="147"/>
      <c r="D36" s="375"/>
      <c r="E36" s="375"/>
      <c r="F36" s="376"/>
      <c r="G36" s="129">
        <f t="shared" si="0"/>
        <v>39.254</v>
      </c>
      <c r="H36" s="377"/>
      <c r="I36" s="143"/>
      <c r="J36" s="378">
        <f t="shared" si="1"/>
      </c>
      <c r="K36" s="379">
        <f t="shared" si="2"/>
      </c>
      <c r="L36" s="209"/>
      <c r="M36" s="145">
        <f t="shared" si="3"/>
      </c>
      <c r="N36" s="380">
        <f t="shared" si="4"/>
        <v>40</v>
      </c>
      <c r="O36" s="381" t="str">
        <f t="shared" si="5"/>
        <v>--</v>
      </c>
      <c r="P36" s="382" t="str">
        <f t="shared" si="6"/>
        <v>--</v>
      </c>
      <c r="Q36" s="383" t="str">
        <f t="shared" si="7"/>
        <v>--</v>
      </c>
      <c r="R36" s="151" t="str">
        <f t="shared" si="8"/>
        <v>--</v>
      </c>
      <c r="S36" s="145">
        <f t="shared" si="9"/>
      </c>
      <c r="T36" s="384">
        <f t="shared" si="11"/>
      </c>
      <c r="U36" s="384"/>
      <c r="V36" s="6"/>
    </row>
    <row r="37" spans="2:22" s="5" customFormat="1" ht="16.5" customHeight="1">
      <c r="B37" s="47"/>
      <c r="C37" s="268"/>
      <c r="D37" s="375"/>
      <c r="E37" s="375"/>
      <c r="F37" s="376"/>
      <c r="G37" s="129">
        <f t="shared" si="0"/>
        <v>39.254</v>
      </c>
      <c r="H37" s="377"/>
      <c r="I37" s="143"/>
      <c r="J37" s="378">
        <f t="shared" si="1"/>
      </c>
      <c r="K37" s="379">
        <f t="shared" si="2"/>
      </c>
      <c r="L37" s="209"/>
      <c r="M37" s="145">
        <f t="shared" si="3"/>
      </c>
      <c r="N37" s="380">
        <f t="shared" si="4"/>
        <v>40</v>
      </c>
      <c r="O37" s="381" t="str">
        <f t="shared" si="5"/>
        <v>--</v>
      </c>
      <c r="P37" s="382" t="str">
        <f t="shared" si="6"/>
        <v>--</v>
      </c>
      <c r="Q37" s="383" t="str">
        <f t="shared" si="7"/>
        <v>--</v>
      </c>
      <c r="R37" s="151" t="str">
        <f t="shared" si="8"/>
        <v>--</v>
      </c>
      <c r="S37" s="145">
        <f t="shared" si="9"/>
      </c>
      <c r="T37" s="384">
        <f t="shared" si="11"/>
      </c>
      <c r="U37" s="384" t="s">
        <v>140</v>
      </c>
      <c r="V37" s="6"/>
    </row>
    <row r="38" spans="2:22" s="5" customFormat="1" ht="16.5" customHeight="1">
      <c r="B38" s="47"/>
      <c r="C38" s="147"/>
      <c r="D38" s="375"/>
      <c r="E38" s="375"/>
      <c r="F38" s="376"/>
      <c r="G38" s="129">
        <f t="shared" si="0"/>
        <v>39.254</v>
      </c>
      <c r="H38" s="377"/>
      <c r="I38" s="143"/>
      <c r="J38" s="378">
        <f t="shared" si="1"/>
      </c>
      <c r="K38" s="379">
        <f t="shared" si="2"/>
      </c>
      <c r="L38" s="209"/>
      <c r="M38" s="145">
        <f t="shared" si="3"/>
      </c>
      <c r="N38" s="380">
        <f t="shared" si="4"/>
        <v>40</v>
      </c>
      <c r="O38" s="381" t="str">
        <f t="shared" si="5"/>
        <v>--</v>
      </c>
      <c r="P38" s="382" t="str">
        <f t="shared" si="6"/>
        <v>--</v>
      </c>
      <c r="Q38" s="383" t="str">
        <f t="shared" si="7"/>
        <v>--</v>
      </c>
      <c r="R38" s="151" t="str">
        <f t="shared" si="8"/>
        <v>--</v>
      </c>
      <c r="S38" s="145">
        <f t="shared" si="9"/>
      </c>
      <c r="T38" s="384">
        <f t="shared" si="11"/>
      </c>
      <c r="U38" s="384" t="s">
        <v>140</v>
      </c>
      <c r="V38" s="6"/>
    </row>
    <row r="39" spans="2:22" s="5" customFormat="1" ht="16.5" customHeight="1">
      <c r="B39" s="47"/>
      <c r="C39" s="268"/>
      <c r="D39" s="375"/>
      <c r="E39" s="375"/>
      <c r="F39" s="376"/>
      <c r="G39" s="129">
        <f t="shared" si="0"/>
        <v>39.254</v>
      </c>
      <c r="H39" s="377"/>
      <c r="I39" s="143"/>
      <c r="J39" s="378">
        <f t="shared" si="1"/>
      </c>
      <c r="K39" s="379">
        <f t="shared" si="2"/>
      </c>
      <c r="L39" s="209"/>
      <c r="M39" s="145">
        <f t="shared" si="3"/>
      </c>
      <c r="N39" s="380">
        <f t="shared" si="4"/>
        <v>40</v>
      </c>
      <c r="O39" s="381" t="str">
        <f t="shared" si="5"/>
        <v>--</v>
      </c>
      <c r="P39" s="382" t="str">
        <f t="shared" si="6"/>
        <v>--</v>
      </c>
      <c r="Q39" s="383" t="str">
        <f t="shared" si="7"/>
        <v>--</v>
      </c>
      <c r="R39" s="151" t="str">
        <f t="shared" si="8"/>
        <v>--</v>
      </c>
      <c r="S39" s="145">
        <f t="shared" si="9"/>
      </c>
      <c r="T39" s="384">
        <f t="shared" si="11"/>
      </c>
      <c r="U39" s="384" t="s">
        <v>140</v>
      </c>
      <c r="V39" s="6"/>
    </row>
    <row r="40" spans="2:22" s="5" customFormat="1" ht="16.5" customHeight="1">
      <c r="B40" s="47"/>
      <c r="C40" s="147"/>
      <c r="D40" s="375"/>
      <c r="E40" s="375"/>
      <c r="F40" s="376"/>
      <c r="G40" s="129">
        <f t="shared" si="0"/>
        <v>39.254</v>
      </c>
      <c r="H40" s="377"/>
      <c r="I40" s="143"/>
      <c r="J40" s="378">
        <f t="shared" si="1"/>
      </c>
      <c r="K40" s="379">
        <f t="shared" si="2"/>
      </c>
      <c r="L40" s="209"/>
      <c r="M40" s="145">
        <f t="shared" si="3"/>
      </c>
      <c r="N40" s="380">
        <f t="shared" si="4"/>
        <v>40</v>
      </c>
      <c r="O40" s="381" t="str">
        <f t="shared" si="5"/>
        <v>--</v>
      </c>
      <c r="P40" s="382" t="str">
        <f t="shared" si="6"/>
        <v>--</v>
      </c>
      <c r="Q40" s="383" t="str">
        <f t="shared" si="7"/>
        <v>--</v>
      </c>
      <c r="R40" s="151" t="str">
        <f t="shared" si="8"/>
        <v>--</v>
      </c>
      <c r="S40" s="145">
        <f t="shared" si="9"/>
      </c>
      <c r="T40" s="384">
        <f t="shared" si="11"/>
      </c>
      <c r="U40" s="384" t="s">
        <v>140</v>
      </c>
      <c r="V40" s="6"/>
    </row>
    <row r="41" spans="2:22" s="5" customFormat="1" ht="16.5" customHeight="1">
      <c r="B41" s="47"/>
      <c r="C41" s="268"/>
      <c r="D41" s="375"/>
      <c r="E41" s="375"/>
      <c r="F41" s="376"/>
      <c r="G41" s="129">
        <f t="shared" si="0"/>
        <v>39.254</v>
      </c>
      <c r="H41" s="377"/>
      <c r="I41" s="143"/>
      <c r="J41" s="378">
        <f t="shared" si="1"/>
      </c>
      <c r="K41" s="379">
        <f t="shared" si="2"/>
      </c>
      <c r="L41" s="209"/>
      <c r="M41" s="145">
        <f t="shared" si="3"/>
      </c>
      <c r="N41" s="380">
        <f t="shared" si="4"/>
        <v>40</v>
      </c>
      <c r="O41" s="381" t="str">
        <f t="shared" si="5"/>
        <v>--</v>
      </c>
      <c r="P41" s="382" t="str">
        <f t="shared" si="6"/>
        <v>--</v>
      </c>
      <c r="Q41" s="383" t="str">
        <f t="shared" si="7"/>
        <v>--</v>
      </c>
      <c r="R41" s="151" t="str">
        <f t="shared" si="8"/>
        <v>--</v>
      </c>
      <c r="S41" s="145">
        <f t="shared" si="9"/>
      </c>
      <c r="T41" s="384">
        <f t="shared" si="11"/>
      </c>
      <c r="U41" s="384" t="s">
        <v>140</v>
      </c>
      <c r="V41" s="6"/>
    </row>
    <row r="42" spans="2:22" s="5" customFormat="1" ht="16.5" customHeight="1">
      <c r="B42" s="47"/>
      <c r="C42" s="147"/>
      <c r="D42" s="375"/>
      <c r="E42" s="375"/>
      <c r="F42" s="376"/>
      <c r="G42" s="129">
        <f t="shared" si="0"/>
        <v>39.254</v>
      </c>
      <c r="H42" s="377"/>
      <c r="I42" s="143"/>
      <c r="J42" s="378">
        <f t="shared" si="1"/>
      </c>
      <c r="K42" s="379">
        <f t="shared" si="2"/>
      </c>
      <c r="L42" s="209"/>
      <c r="M42" s="145">
        <f t="shared" si="3"/>
      </c>
      <c r="N42" s="380">
        <f t="shared" si="4"/>
        <v>40</v>
      </c>
      <c r="O42" s="381" t="str">
        <f t="shared" si="5"/>
        <v>--</v>
      </c>
      <c r="P42" s="382" t="str">
        <f t="shared" si="6"/>
        <v>--</v>
      </c>
      <c r="Q42" s="383" t="str">
        <f t="shared" si="7"/>
        <v>--</v>
      </c>
      <c r="R42" s="151" t="str">
        <f t="shared" si="8"/>
        <v>--</v>
      </c>
      <c r="S42" s="145">
        <f t="shared" si="9"/>
      </c>
      <c r="T42" s="384">
        <f t="shared" si="11"/>
      </c>
      <c r="U42" s="384" t="s">
        <v>140</v>
      </c>
      <c r="V42" s="6"/>
    </row>
    <row r="43" spans="2:22" s="5" customFormat="1" ht="16.5" customHeight="1">
      <c r="B43" s="47"/>
      <c r="C43" s="268"/>
      <c r="D43" s="375"/>
      <c r="E43" s="375"/>
      <c r="F43" s="376"/>
      <c r="G43" s="129">
        <f t="shared" si="0"/>
        <v>39.254</v>
      </c>
      <c r="H43" s="377"/>
      <c r="I43" s="143"/>
      <c r="J43" s="378">
        <f t="shared" si="1"/>
      </c>
      <c r="K43" s="379">
        <f t="shared" si="2"/>
      </c>
      <c r="L43" s="209"/>
      <c r="M43" s="145">
        <f t="shared" si="3"/>
      </c>
      <c r="N43" s="380">
        <f t="shared" si="4"/>
        <v>40</v>
      </c>
      <c r="O43" s="381" t="str">
        <f t="shared" si="5"/>
        <v>--</v>
      </c>
      <c r="P43" s="382" t="str">
        <f t="shared" si="6"/>
        <v>--</v>
      </c>
      <c r="Q43" s="383" t="str">
        <f t="shared" si="7"/>
        <v>--</v>
      </c>
      <c r="R43" s="151" t="str">
        <f t="shared" si="8"/>
        <v>--</v>
      </c>
      <c r="S43" s="145">
        <f t="shared" si="9"/>
      </c>
      <c r="T43" s="384">
        <f t="shared" si="11"/>
      </c>
      <c r="U43" s="384" t="s">
        <v>140</v>
      </c>
      <c r="V43" s="6"/>
    </row>
    <row r="44" spans="2:22" s="5" customFormat="1" ht="16.5" customHeight="1" thickBot="1">
      <c r="B44" s="47"/>
      <c r="C44" s="147"/>
      <c r="D44" s="139"/>
      <c r="E44" s="139"/>
      <c r="F44" s="216"/>
      <c r="G44" s="130"/>
      <c r="H44" s="385"/>
      <c r="I44" s="385"/>
      <c r="J44" s="386"/>
      <c r="K44" s="386"/>
      <c r="L44" s="385"/>
      <c r="M44" s="144"/>
      <c r="N44" s="387"/>
      <c r="O44" s="388"/>
      <c r="P44" s="389"/>
      <c r="Q44" s="390"/>
      <c r="R44" s="153"/>
      <c r="S44" s="144"/>
      <c r="T44" s="391"/>
      <c r="U44" s="391"/>
      <c r="V44" s="6"/>
    </row>
    <row r="45" spans="2:22" s="5" customFormat="1" ht="16.5" customHeight="1" thickBot="1" thickTop="1">
      <c r="B45" s="47"/>
      <c r="C45" s="120" t="s">
        <v>23</v>
      </c>
      <c r="D45" s="121" t="s">
        <v>124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392">
        <f>SUM(O22:O44)</f>
        <v>20997.623680000004</v>
      </c>
      <c r="P45" s="393">
        <f>SUM(P22:P44)</f>
        <v>0</v>
      </c>
      <c r="Q45" s="394">
        <f>SUM(Q22:Q44)</f>
        <v>0</v>
      </c>
      <c r="R45" s="395">
        <f>SUM(R22:R44)</f>
        <v>0</v>
      </c>
      <c r="S45" s="396"/>
      <c r="T45" s="93">
        <f>ROUND(SUM(T22:T44),2)</f>
        <v>14021.53</v>
      </c>
      <c r="U45" s="93">
        <f>SUM(U24:U33)</f>
        <v>1676.0403825477606</v>
      </c>
      <c r="V45" s="6"/>
    </row>
    <row r="46" spans="2:22" s="126" customFormat="1" ht="13.5" thickTop="1">
      <c r="B46" s="125"/>
      <c r="C46" s="122"/>
      <c r="D46" s="123"/>
      <c r="E46"/>
      <c r="F46" s="124"/>
      <c r="G46" s="124"/>
      <c r="H46" s="124"/>
      <c r="I46" s="124"/>
      <c r="J46" s="124"/>
      <c r="K46" s="124"/>
      <c r="L46" s="124"/>
      <c r="M46" s="124"/>
      <c r="N46" s="124"/>
      <c r="O46" s="329"/>
      <c r="P46" s="329"/>
      <c r="Q46" s="329"/>
      <c r="R46" s="329"/>
      <c r="S46" s="329"/>
      <c r="T46" s="186"/>
      <c r="U46" s="186"/>
      <c r="V46" s="397"/>
    </row>
    <row r="47" spans="2:22" s="5" customFormat="1" ht="16.5" customHeight="1" thickBot="1"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1"/>
    </row>
    <row r="48" spans="22:24" ht="16.5" customHeight="1" thickTop="1">
      <c r="V48" s="168"/>
      <c r="W48" s="168"/>
      <c r="X48" s="168"/>
    </row>
    <row r="49" spans="22:24" ht="16.5" customHeight="1">
      <c r="V49" s="168"/>
      <c r="W49" s="168"/>
      <c r="X49" s="168"/>
    </row>
    <row r="50" spans="22:24" ht="16.5" customHeight="1">
      <c r="V50" s="168"/>
      <c r="W50" s="168"/>
      <c r="X50" s="168"/>
    </row>
    <row r="51" spans="22:24" ht="16.5" customHeight="1">
      <c r="V51" s="168"/>
      <c r="W51" s="168"/>
      <c r="X51" s="168"/>
    </row>
    <row r="52" spans="22:24" ht="16.5" customHeight="1">
      <c r="V52" s="168"/>
      <c r="W52" s="168"/>
      <c r="X52" s="168"/>
    </row>
    <row r="53" spans="4:24" ht="16.5" customHeight="1"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</row>
    <row r="54" spans="4:24" ht="16.5" customHeight="1"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</row>
    <row r="55" spans="4:24" ht="16.5" customHeight="1"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</row>
    <row r="56" spans="4:24" ht="16.5" customHeight="1"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</row>
    <row r="57" spans="4:24" ht="16.5" customHeight="1"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</row>
    <row r="58" spans="4:24" ht="16.5" customHeight="1"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</row>
    <row r="59" spans="4:24" ht="16.5" customHeight="1"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</row>
    <row r="60" spans="4:24" ht="16.5" customHeight="1"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</row>
    <row r="61" spans="4:24" ht="16.5" customHeight="1"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</row>
    <row r="62" spans="4:24" ht="16.5" customHeight="1"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</row>
    <row r="63" spans="4:24" ht="16.5" customHeight="1"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</row>
    <row r="64" spans="4:24" ht="16.5" customHeight="1"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</row>
    <row r="65" spans="4:24" ht="16.5" customHeight="1"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</row>
    <row r="66" spans="4:24" ht="16.5" customHeight="1"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</row>
    <row r="67" spans="4:24" ht="16.5" customHeight="1"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</row>
    <row r="68" spans="4:24" ht="16.5" customHeight="1"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</row>
    <row r="69" spans="4:24" ht="16.5" customHeight="1"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</row>
    <row r="70" spans="4:24" ht="16.5" customHeight="1"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</row>
    <row r="71" spans="4:24" ht="16.5" customHeight="1"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</row>
    <row r="72" spans="4:24" ht="16.5" customHeight="1"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</row>
    <row r="73" spans="4:24" ht="16.5" customHeight="1"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</row>
    <row r="74" spans="4:24" ht="16.5" customHeight="1"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</row>
    <row r="75" spans="4:24" ht="16.5" customHeight="1"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</row>
    <row r="76" spans="4:24" ht="16.5" customHeight="1"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</row>
    <row r="77" spans="4:24" ht="16.5" customHeight="1"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</row>
    <row r="78" spans="4:24" ht="16.5" customHeight="1"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</row>
    <row r="79" spans="4:24" ht="16.5" customHeight="1"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</row>
    <row r="80" spans="4:24" ht="16.5" customHeight="1"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</row>
    <row r="81" spans="4:24" ht="16.5" customHeight="1"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</row>
    <row r="82" spans="4:24" ht="16.5" customHeight="1"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spans="4:24" ht="16.5" customHeight="1"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</row>
    <row r="84" spans="4:24" ht="16.5" customHeight="1"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</row>
    <row r="85" spans="4:24" ht="16.5" customHeight="1"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</row>
    <row r="86" spans="4:24" ht="16.5" customHeight="1"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</row>
    <row r="87" spans="4:24" ht="16.5" customHeight="1"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</row>
    <row r="88" spans="4:24" ht="16.5" customHeight="1"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</row>
    <row r="89" spans="4:24" ht="16.5" customHeight="1"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</row>
    <row r="90" spans="4:24" ht="16.5" customHeight="1"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</row>
    <row r="91" spans="4:24" ht="16.5" customHeight="1"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</row>
    <row r="92" spans="4:24" ht="16.5" customHeight="1"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</row>
    <row r="93" spans="4:24" ht="16.5" customHeight="1"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</row>
    <row r="94" spans="4:24" ht="16.5" customHeight="1"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</row>
    <row r="95" spans="4:24" ht="16.5" customHeight="1"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</row>
    <row r="96" spans="4:24" ht="16.5" customHeight="1"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</row>
    <row r="97" spans="4:24" ht="16.5" customHeight="1"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</row>
    <row r="98" spans="4:24" ht="16.5" customHeight="1"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</row>
    <row r="99" spans="4:24" ht="16.5" customHeight="1"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</row>
    <row r="100" spans="4:24" ht="16.5" customHeight="1"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</row>
    <row r="101" spans="4:24" ht="16.5" customHeight="1"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</row>
    <row r="102" spans="4:24" ht="16.5" customHeight="1"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</row>
    <row r="103" spans="4:24" ht="16.5" customHeight="1"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</row>
    <row r="104" spans="4:24" ht="16.5" customHeight="1"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</row>
    <row r="105" spans="4:24" ht="16.5" customHeight="1"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</row>
    <row r="106" spans="4:24" ht="16.5" customHeight="1"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</row>
    <row r="107" spans="4:24" ht="16.5" customHeight="1"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</row>
    <row r="108" spans="4:24" ht="16.5" customHeight="1"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</row>
    <row r="109" spans="4:24" ht="16.5" customHeight="1"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</row>
    <row r="110" spans="4:24" ht="16.5" customHeight="1"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</row>
    <row r="111" spans="4:24" ht="16.5" customHeight="1"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</row>
    <row r="112" spans="4:24" ht="16.5" customHeight="1"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</row>
    <row r="113" spans="4:24" ht="16.5" customHeight="1"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</row>
    <row r="114" spans="4:24" ht="16.5" customHeight="1"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</row>
    <row r="115" spans="4:24" ht="16.5" customHeight="1"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</row>
    <row r="116" spans="4:24" ht="16.5" customHeight="1"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</row>
    <row r="117" spans="4:24" ht="16.5" customHeight="1"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</row>
    <row r="118" spans="4:24" ht="16.5" customHeight="1"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</row>
    <row r="119" spans="4:24" ht="16.5" customHeight="1"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</row>
    <row r="120" spans="4:24" ht="16.5" customHeight="1"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</row>
    <row r="121" spans="4:24" ht="16.5" customHeight="1"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</row>
    <row r="122" spans="4:24" ht="16.5" customHeight="1"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</row>
    <row r="123" spans="4:24" ht="16.5" customHeight="1"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</row>
    <row r="124" spans="4:24" ht="16.5" customHeight="1"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</row>
    <row r="125" spans="4:24" ht="16.5" customHeight="1"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</row>
    <row r="126" spans="4:24" ht="16.5" customHeight="1"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</row>
    <row r="127" spans="4:24" ht="16.5" customHeight="1"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</row>
    <row r="128" spans="4:24" ht="16.5" customHeight="1"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</row>
    <row r="129" spans="4:24" ht="16.5" customHeight="1"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</row>
    <row r="130" spans="4:24" ht="16.5" customHeight="1"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</row>
    <row r="131" spans="4:24" ht="16.5" customHeight="1"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</row>
    <row r="132" spans="4:24" ht="16.5" customHeight="1"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</row>
    <row r="133" spans="4:24" ht="16.5" customHeight="1"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</row>
    <row r="134" spans="4:24" ht="16.5" customHeight="1"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</row>
    <row r="135" spans="4:24" ht="16.5" customHeight="1"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</row>
    <row r="136" spans="4:24" ht="16.5" customHeight="1"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</row>
    <row r="137" spans="4:24" ht="16.5" customHeight="1"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</row>
    <row r="138" spans="4:24" ht="16.5" customHeight="1"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</row>
    <row r="139" spans="4:24" ht="16.5" customHeight="1"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</row>
    <row r="140" spans="4:24" ht="16.5" customHeight="1"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</row>
    <row r="141" spans="4:24" ht="16.5" customHeight="1"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</row>
    <row r="142" spans="4:24" ht="16.5" customHeight="1"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</row>
    <row r="143" spans="4:24" ht="16.5" customHeight="1"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</row>
    <row r="144" spans="4:24" ht="16.5" customHeight="1"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</row>
    <row r="145" spans="4:24" ht="16.5" customHeight="1"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</row>
    <row r="146" spans="4:24" ht="16.5" customHeight="1"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</row>
    <row r="147" spans="4:24" ht="16.5" customHeight="1"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</row>
    <row r="148" spans="4:24" ht="16.5" customHeight="1"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</row>
    <row r="149" spans="4:24" ht="16.5" customHeight="1"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</row>
    <row r="150" spans="4:24" ht="16.5" customHeight="1"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</row>
    <row r="151" spans="4:24" ht="16.5" customHeight="1"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</row>
    <row r="152" spans="4:24" ht="16.5" customHeight="1"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</row>
    <row r="153" spans="4:24" ht="16.5" customHeight="1"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</row>
    <row r="154" spans="4:24" ht="16.5" customHeight="1"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</row>
    <row r="155" spans="4:24" ht="16.5" customHeight="1"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</row>
    <row r="156" spans="4:24" ht="16.5" customHeight="1"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</row>
    <row r="157" spans="4:24" ht="16.5" customHeight="1"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</row>
    <row r="158" spans="4:24" ht="16.5" customHeight="1"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</row>
    <row r="159" spans="4:24" ht="16.5" customHeight="1"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</row>
    <row r="160" spans="4:24" ht="16.5" customHeight="1"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headerFooter alignWithMargins="0">
    <oddFooter>&amp;L&amp;"Times New Roman,Normal"&amp;8&amp;F-&amp;A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Z154"/>
  <sheetViews>
    <sheetView tabSelected="1" zoomScale="75" zoomScaleNormal="75" workbookViewId="0" topLeftCell="D1">
      <selection activeCell="B2" sqref="B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20" width="15.140625" style="0" hidden="1" customWidth="1"/>
    <col min="21" max="21" width="9.7109375" style="0" customWidth="1"/>
    <col min="22" max="24" width="15.7109375" style="0" customWidth="1"/>
  </cols>
  <sheetData>
    <row r="1" s="15" customFormat="1" ht="26.25">
      <c r="X1" s="136"/>
    </row>
    <row r="2" spans="1:24" s="15" customFormat="1" ht="26.25">
      <c r="A2" s="83"/>
      <c r="B2" s="398" t="s">
        <v>149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</row>
    <row r="3" s="5" customFormat="1" ht="12.75">
      <c r="A3" s="82"/>
    </row>
    <row r="4" spans="1:2" s="22" customFormat="1" ht="11.25">
      <c r="A4" s="20" t="s">
        <v>1</v>
      </c>
      <c r="B4" s="118"/>
    </row>
    <row r="5" spans="1:2" s="22" customFormat="1" ht="11.25">
      <c r="A5" s="20" t="s">
        <v>2</v>
      </c>
      <c r="B5" s="118"/>
    </row>
    <row r="6" s="5" customFormat="1" ht="13.5" thickBot="1"/>
    <row r="7" spans="2:24" s="5" customFormat="1" ht="13.5" thickTop="1"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/>
    </row>
    <row r="8" spans="2:24" s="26" customFormat="1" ht="20.25">
      <c r="B8" s="73"/>
      <c r="D8" s="167" t="s">
        <v>58</v>
      </c>
      <c r="E8" s="399"/>
      <c r="F8" s="164"/>
      <c r="G8" s="163"/>
      <c r="H8" s="163"/>
      <c r="I8" s="163"/>
      <c r="J8" s="163"/>
      <c r="K8" s="163"/>
      <c r="L8" s="163"/>
      <c r="M8" s="163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400"/>
    </row>
    <row r="9" spans="2:24" s="5" customFormat="1" ht="12.75">
      <c r="B9" s="4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6"/>
    </row>
    <row r="10" spans="2:24" s="26" customFormat="1" ht="20.25">
      <c r="B10" s="73"/>
      <c r="D10" s="9" t="s">
        <v>59</v>
      </c>
      <c r="F10" s="401"/>
      <c r="G10" s="75"/>
      <c r="H10" s="75"/>
      <c r="I10" s="75"/>
      <c r="J10" s="75"/>
      <c r="K10" s="75"/>
      <c r="L10" s="75"/>
      <c r="M10" s="75"/>
      <c r="N10" s="75"/>
      <c r="O10" s="75"/>
      <c r="P10" s="27"/>
      <c r="Q10" s="27"/>
      <c r="R10" s="27"/>
      <c r="S10" s="27"/>
      <c r="T10" s="27"/>
      <c r="U10" s="27"/>
      <c r="V10" s="27"/>
      <c r="W10" s="27"/>
      <c r="X10" s="74"/>
    </row>
    <row r="11" spans="2:24" s="5" customFormat="1" ht="16.5" customHeight="1">
      <c r="B11" s="47"/>
      <c r="C11" s="4"/>
      <c r="D11" s="72"/>
      <c r="F11" s="28"/>
      <c r="G11" s="68"/>
      <c r="H11" s="68"/>
      <c r="I11" s="68"/>
      <c r="J11" s="68"/>
      <c r="K11" s="68"/>
      <c r="L11" s="68"/>
      <c r="M11" s="68"/>
      <c r="N11" s="68"/>
      <c r="O11" s="68"/>
      <c r="P11" s="4"/>
      <c r="Q11" s="4"/>
      <c r="R11" s="4"/>
      <c r="S11" s="4"/>
      <c r="T11" s="4"/>
      <c r="U11" s="4"/>
      <c r="V11" s="4"/>
      <c r="W11" s="4"/>
      <c r="X11" s="6"/>
    </row>
    <row r="12" spans="2:24" s="26" customFormat="1" ht="20.25">
      <c r="B12" s="73"/>
      <c r="D12" s="9" t="s">
        <v>60</v>
      </c>
      <c r="F12" s="401"/>
      <c r="G12" s="75"/>
      <c r="H12" s="75"/>
      <c r="I12" s="75"/>
      <c r="J12" s="75"/>
      <c r="K12" s="75"/>
      <c r="L12" s="75"/>
      <c r="M12" s="75"/>
      <c r="N12" s="75"/>
      <c r="O12" s="75"/>
      <c r="P12" s="27"/>
      <c r="Q12" s="27"/>
      <c r="R12" s="27"/>
      <c r="S12" s="27"/>
      <c r="T12" s="27"/>
      <c r="U12" s="27"/>
      <c r="V12" s="27"/>
      <c r="W12" s="27"/>
      <c r="X12" s="74"/>
    </row>
    <row r="13" spans="2:24" s="5" customFormat="1" ht="16.5" customHeight="1">
      <c r="B13" s="47"/>
      <c r="C13" s="4"/>
      <c r="D13" s="72"/>
      <c r="F13" s="28"/>
      <c r="G13" s="68"/>
      <c r="H13" s="68"/>
      <c r="I13" s="68"/>
      <c r="J13" s="68"/>
      <c r="K13" s="68"/>
      <c r="L13" s="68"/>
      <c r="M13" s="68"/>
      <c r="N13" s="68"/>
      <c r="O13" s="68"/>
      <c r="P13" s="4"/>
      <c r="Q13" s="4"/>
      <c r="R13" s="4"/>
      <c r="S13" s="4"/>
      <c r="T13" s="4"/>
      <c r="U13" s="4"/>
      <c r="V13" s="4"/>
      <c r="W13" s="4"/>
      <c r="X13" s="6"/>
    </row>
    <row r="14" spans="2:24" s="33" customFormat="1" ht="16.5" customHeight="1">
      <c r="B14" s="34" t="str">
        <f>'TOT-0807'!B14</f>
        <v>Desde el 01 al 31 de agosto de 2007</v>
      </c>
      <c r="C14" s="402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2"/>
      <c r="Q14" s="402"/>
      <c r="R14" s="402"/>
      <c r="S14" s="402"/>
      <c r="T14" s="402"/>
      <c r="U14" s="402"/>
      <c r="V14" s="402"/>
      <c r="W14" s="402"/>
      <c r="X14" s="404"/>
    </row>
    <row r="15" spans="2:24" s="5" customFormat="1" ht="16.5" customHeight="1" thickBot="1">
      <c r="B15" s="47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6"/>
    </row>
    <row r="16" spans="2:24" s="5" customFormat="1" ht="16.5" customHeight="1" thickBot="1" thickTop="1">
      <c r="B16" s="47"/>
      <c r="C16" s="4"/>
      <c r="D16" s="110" t="s">
        <v>49</v>
      </c>
      <c r="E16" s="405"/>
      <c r="F16" s="542">
        <v>0.245</v>
      </c>
      <c r="G16" s="340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6"/>
    </row>
    <row r="17" spans="2:24" s="5" customFormat="1" ht="16.5" customHeight="1" thickBot="1" thickTop="1">
      <c r="B17" s="47"/>
      <c r="C17" s="4"/>
      <c r="D17" s="406" t="s">
        <v>26</v>
      </c>
      <c r="E17" s="407"/>
      <c r="F17" s="543">
        <v>20</v>
      </c>
      <c r="G17" s="340"/>
      <c r="H17"/>
      <c r="I17" s="192"/>
      <c r="J17" s="193"/>
      <c r="K17" s="4"/>
      <c r="L17" s="4"/>
      <c r="M17" s="4"/>
      <c r="O17" s="4"/>
      <c r="P17" s="4"/>
      <c r="Q17" s="4"/>
      <c r="R17" s="109"/>
      <c r="S17" s="109"/>
      <c r="T17" s="109"/>
      <c r="U17" s="109"/>
      <c r="V17" s="109"/>
      <c r="W17" s="109"/>
      <c r="X17" s="6"/>
    </row>
    <row r="18" spans="2:24" s="5" customFormat="1" ht="16.5" customHeight="1" thickBot="1" thickTop="1">
      <c r="B18" s="47"/>
      <c r="C18" s="62"/>
      <c r="D18" s="408"/>
      <c r="E18" s="409"/>
      <c r="F18" s="409"/>
      <c r="G18" s="183"/>
      <c r="H18" s="183"/>
      <c r="I18" s="183"/>
      <c r="J18" s="183"/>
      <c r="K18" s="183"/>
      <c r="L18" s="183"/>
      <c r="M18" s="183"/>
      <c r="N18" s="183"/>
      <c r="O18" s="410"/>
      <c r="P18" s="411"/>
      <c r="Q18" s="412"/>
      <c r="R18" s="412"/>
      <c r="S18" s="412"/>
      <c r="T18" s="412"/>
      <c r="U18" s="413"/>
      <c r="V18" s="414"/>
      <c r="W18" s="414"/>
      <c r="X18" s="6"/>
    </row>
    <row r="19" spans="2:24" s="5" customFormat="1" ht="33.75" customHeight="1" thickBot="1" thickTop="1">
      <c r="B19" s="47"/>
      <c r="C19" s="78" t="s">
        <v>12</v>
      </c>
      <c r="D19" s="80" t="s">
        <v>27</v>
      </c>
      <c r="E19" s="79" t="s">
        <v>28</v>
      </c>
      <c r="F19" s="415" t="s">
        <v>29</v>
      </c>
      <c r="G19" s="128" t="s">
        <v>15</v>
      </c>
      <c r="H19" s="79" t="s">
        <v>16</v>
      </c>
      <c r="I19" s="79" t="s">
        <v>17</v>
      </c>
      <c r="J19" s="80" t="s">
        <v>35</v>
      </c>
      <c r="K19" s="80" t="s">
        <v>31</v>
      </c>
      <c r="L19" s="81" t="s">
        <v>18</v>
      </c>
      <c r="M19" s="81" t="s">
        <v>37</v>
      </c>
      <c r="N19" s="79" t="s">
        <v>32</v>
      </c>
      <c r="O19" s="128" t="s">
        <v>36</v>
      </c>
      <c r="P19" s="416" t="s">
        <v>44</v>
      </c>
      <c r="Q19" s="417" t="s">
        <v>61</v>
      </c>
      <c r="R19" s="418"/>
      <c r="S19" s="419" t="s">
        <v>21</v>
      </c>
      <c r="T19" s="249" t="s">
        <v>20</v>
      </c>
      <c r="U19" s="131" t="s">
        <v>47</v>
      </c>
      <c r="V19" s="420" t="s">
        <v>22</v>
      </c>
      <c r="W19" s="420" t="s">
        <v>139</v>
      </c>
      <c r="X19" s="6"/>
    </row>
    <row r="20" spans="2:24" s="5" customFormat="1" ht="16.5" customHeight="1" thickTop="1">
      <c r="B20" s="47"/>
      <c r="C20" s="421"/>
      <c r="D20" s="422"/>
      <c r="E20" s="422"/>
      <c r="F20" s="422"/>
      <c r="G20" s="331"/>
      <c r="H20" s="423"/>
      <c r="I20" s="423"/>
      <c r="J20" s="421"/>
      <c r="K20" s="421"/>
      <c r="L20" s="422"/>
      <c r="M20" s="173"/>
      <c r="N20" s="421"/>
      <c r="O20" s="424"/>
      <c r="P20" s="425"/>
      <c r="Q20" s="426"/>
      <c r="R20" s="427"/>
      <c r="S20" s="428"/>
      <c r="T20" s="428"/>
      <c r="U20" s="429"/>
      <c r="V20" s="430"/>
      <c r="W20" s="430"/>
      <c r="X20" s="6"/>
    </row>
    <row r="21" spans="2:24" s="5" customFormat="1" ht="16.5" customHeight="1">
      <c r="B21" s="47"/>
      <c r="C21" s="268"/>
      <c r="D21" s="431"/>
      <c r="E21" s="432"/>
      <c r="F21" s="433"/>
      <c r="G21" s="434"/>
      <c r="H21" s="435"/>
      <c r="I21" s="436"/>
      <c r="J21" s="437"/>
      <c r="K21" s="438"/>
      <c r="L21" s="439"/>
      <c r="M21" s="174"/>
      <c r="N21" s="440"/>
      <c r="O21" s="441"/>
      <c r="P21" s="442"/>
      <c r="Q21" s="443"/>
      <c r="R21" s="444"/>
      <c r="S21" s="445"/>
      <c r="T21" s="445"/>
      <c r="U21" s="440"/>
      <c r="V21" s="446"/>
      <c r="W21" s="446"/>
      <c r="X21" s="6"/>
    </row>
    <row r="22" spans="2:25" s="5" customFormat="1" ht="16.5" customHeight="1">
      <c r="B22" s="47"/>
      <c r="C22" s="147">
        <v>38</v>
      </c>
      <c r="D22" s="447" t="s">
        <v>86</v>
      </c>
      <c r="E22" s="375" t="s">
        <v>111</v>
      </c>
      <c r="F22" s="448">
        <v>245</v>
      </c>
      <c r="G22" s="285">
        <f aca="true" t="shared" si="0" ref="G22:G37">F22*$F$16</f>
        <v>60.025</v>
      </c>
      <c r="H22" s="377">
        <v>39295</v>
      </c>
      <c r="I22" s="177">
        <v>39320.46805555555</v>
      </c>
      <c r="J22" s="378">
        <f aca="true" t="shared" si="1" ref="J22:J37">IF(D22="","",(I22-H22)*24)</f>
        <v>611.233333333279</v>
      </c>
      <c r="K22" s="379">
        <f aca="true" t="shared" si="2" ref="K22:K37">IF(D22="","",ROUND((I22-H22)*24*60,0))</f>
        <v>36674</v>
      </c>
      <c r="L22" s="209" t="s">
        <v>75</v>
      </c>
      <c r="M22" s="210" t="str">
        <f aca="true" t="shared" si="3" ref="M22:M37">IF(D22="","","--")</f>
        <v>--</v>
      </c>
      <c r="N22" s="145" t="str">
        <f aca="true" t="shared" si="4" ref="N22:N37">IF(D22="","",IF(OR(L22="P",L22="RP"),"--","NO"))</f>
        <v>--</v>
      </c>
      <c r="O22" s="449">
        <f aca="true" t="shared" si="5" ref="O22:O37">IF(OR(L22="P",L22="RP"),$F$17/10,$F$17)</f>
        <v>2</v>
      </c>
      <c r="P22" s="450">
        <f aca="true" t="shared" si="6" ref="P22:P37">IF(L22="P",G22*O22*ROUND(K22/60,2),"--")</f>
        <v>73378.1615</v>
      </c>
      <c r="Q22" s="451" t="str">
        <f aca="true" t="shared" si="7" ref="Q22:Q37">IF(AND(L22="F",N22="NO"),G22*O22,"--")</f>
        <v>--</v>
      </c>
      <c r="R22" s="452" t="str">
        <f aca="true" t="shared" si="8" ref="R22:R37">IF(L22="F",G22*O22*ROUND(K22/60,2),"--")</f>
        <v>--</v>
      </c>
      <c r="S22" s="453" t="str">
        <f aca="true" t="shared" si="9" ref="S22:S37">IF(L22="RF",G22*O22*ROUND(K22/60,2),"--")</f>
        <v>--</v>
      </c>
      <c r="T22" s="289" t="s">
        <v>72</v>
      </c>
      <c r="U22" s="145" t="str">
        <f aca="true" t="shared" si="10" ref="U22:U37">IF(D22="","","SI")</f>
        <v>SI</v>
      </c>
      <c r="V22" s="384">
        <f aca="true" t="shared" si="11" ref="V22:V37">IF(D22="","",SUM(P22:T22)*IF(U22="SI",1,2))</f>
        <v>73378.1615</v>
      </c>
      <c r="W22" s="384">
        <f>V22*(1-$Y$22)</f>
        <v>8771.137842765858</v>
      </c>
      <c r="X22" s="6"/>
      <c r="Y22" s="5">
        <v>0.8804666447964105</v>
      </c>
    </row>
    <row r="23" spans="2:24" s="5" customFormat="1" ht="16.5" customHeight="1">
      <c r="B23" s="47"/>
      <c r="C23" s="268">
        <v>39</v>
      </c>
      <c r="D23" s="447" t="s">
        <v>86</v>
      </c>
      <c r="E23" s="375" t="s">
        <v>112</v>
      </c>
      <c r="F23" s="448">
        <v>245</v>
      </c>
      <c r="G23" s="285">
        <f t="shared" si="0"/>
        <v>60.025</v>
      </c>
      <c r="H23" s="377">
        <v>39295</v>
      </c>
      <c r="I23" s="177">
        <v>39318.506944444445</v>
      </c>
      <c r="J23" s="378">
        <f t="shared" si="1"/>
        <v>564.1666666666861</v>
      </c>
      <c r="K23" s="379">
        <f t="shared" si="2"/>
        <v>33850</v>
      </c>
      <c r="L23" s="209" t="s">
        <v>137</v>
      </c>
      <c r="M23" s="210" t="str">
        <f t="shared" si="3"/>
        <v>--</v>
      </c>
      <c r="N23" s="145" t="str">
        <f t="shared" si="4"/>
        <v>NO</v>
      </c>
      <c r="O23" s="449">
        <f t="shared" si="5"/>
        <v>20</v>
      </c>
      <c r="P23" s="450" t="str">
        <f t="shared" si="6"/>
        <v>--</v>
      </c>
      <c r="Q23" s="451" t="str">
        <f t="shared" si="7"/>
        <v>--</v>
      </c>
      <c r="R23" s="452" t="str">
        <f t="shared" si="8"/>
        <v>--</v>
      </c>
      <c r="S23" s="453">
        <f t="shared" si="9"/>
        <v>677286.085</v>
      </c>
      <c r="T23" s="289" t="s">
        <v>72</v>
      </c>
      <c r="U23" s="145" t="str">
        <f t="shared" si="10"/>
        <v>SI</v>
      </c>
      <c r="V23" s="384">
        <f t="shared" si="11"/>
        <v>677286.085</v>
      </c>
      <c r="W23" s="384">
        <f aca="true" t="shared" si="12" ref="W23:W31">V23*(1-$Y$22)</f>
        <v>80958.27817275353</v>
      </c>
      <c r="X23" s="6"/>
    </row>
    <row r="24" spans="2:24" s="5" customFormat="1" ht="16.5" customHeight="1">
      <c r="B24" s="47"/>
      <c r="C24" s="268">
        <v>41</v>
      </c>
      <c r="D24" s="447" t="s">
        <v>115</v>
      </c>
      <c r="E24" s="375" t="s">
        <v>120</v>
      </c>
      <c r="F24" s="448">
        <v>85</v>
      </c>
      <c r="G24" s="285">
        <f t="shared" si="0"/>
        <v>20.825</v>
      </c>
      <c r="H24" s="377">
        <v>39296.1625</v>
      </c>
      <c r="I24" s="177">
        <v>39296.75</v>
      </c>
      <c r="J24" s="378">
        <f t="shared" si="1"/>
        <v>14.100000000034925</v>
      </c>
      <c r="K24" s="379">
        <f t="shared" si="2"/>
        <v>846</v>
      </c>
      <c r="L24" s="209" t="s">
        <v>71</v>
      </c>
      <c r="M24" s="210" t="str">
        <f t="shared" si="3"/>
        <v>--</v>
      </c>
      <c r="N24" s="145" t="s">
        <v>72</v>
      </c>
      <c r="O24" s="449">
        <f t="shared" si="5"/>
        <v>20</v>
      </c>
      <c r="P24" s="450" t="str">
        <f t="shared" si="6"/>
        <v>--</v>
      </c>
      <c r="Q24" s="451" t="str">
        <f t="shared" si="7"/>
        <v>--</v>
      </c>
      <c r="R24" s="452">
        <f t="shared" si="8"/>
        <v>5872.65</v>
      </c>
      <c r="S24" s="453" t="str">
        <f t="shared" si="9"/>
        <v>--</v>
      </c>
      <c r="T24" s="289" t="s">
        <v>72</v>
      </c>
      <c r="U24" s="145" t="str">
        <f t="shared" si="10"/>
        <v>SI</v>
      </c>
      <c r="V24" s="384">
        <f t="shared" si="11"/>
        <v>5872.65</v>
      </c>
      <c r="W24" s="384">
        <f t="shared" si="12"/>
        <v>701.97755843636</v>
      </c>
      <c r="X24" s="454"/>
    </row>
    <row r="25" spans="2:24" s="5" customFormat="1" ht="16.5" customHeight="1">
      <c r="B25" s="47"/>
      <c r="C25" s="147">
        <v>42</v>
      </c>
      <c r="D25" s="447" t="s">
        <v>86</v>
      </c>
      <c r="E25" s="375" t="s">
        <v>113</v>
      </c>
      <c r="F25" s="448">
        <v>245</v>
      </c>
      <c r="G25" s="285">
        <f t="shared" si="0"/>
        <v>60.025</v>
      </c>
      <c r="H25" s="377">
        <v>39304.00833333333</v>
      </c>
      <c r="I25" s="177">
        <v>39304.236805555556</v>
      </c>
      <c r="J25" s="378">
        <f t="shared" si="1"/>
        <v>5.4833333333954215</v>
      </c>
      <c r="K25" s="379">
        <f t="shared" si="2"/>
        <v>329</v>
      </c>
      <c r="L25" s="209" t="s">
        <v>75</v>
      </c>
      <c r="M25" s="210" t="str">
        <f t="shared" si="3"/>
        <v>--</v>
      </c>
      <c r="N25" s="145" t="str">
        <f t="shared" si="4"/>
        <v>--</v>
      </c>
      <c r="O25" s="449">
        <f t="shared" si="5"/>
        <v>2</v>
      </c>
      <c r="P25" s="450">
        <f t="shared" si="6"/>
        <v>657.874</v>
      </c>
      <c r="Q25" s="451" t="str">
        <f t="shared" si="7"/>
        <v>--</v>
      </c>
      <c r="R25" s="452" t="str">
        <f t="shared" si="8"/>
        <v>--</v>
      </c>
      <c r="S25" s="453" t="str">
        <f t="shared" si="9"/>
        <v>--</v>
      </c>
      <c r="T25" s="289" t="s">
        <v>72</v>
      </c>
      <c r="U25" s="145" t="str">
        <f t="shared" si="10"/>
        <v>SI</v>
      </c>
      <c r="V25" s="384">
        <f t="shared" si="11"/>
        <v>657.874</v>
      </c>
      <c r="W25" s="384">
        <f t="shared" si="12"/>
        <v>78.63788652120627</v>
      </c>
      <c r="X25" s="454"/>
    </row>
    <row r="26" spans="2:24" s="5" customFormat="1" ht="16.5" customHeight="1">
      <c r="B26" s="47"/>
      <c r="C26" s="268">
        <v>43</v>
      </c>
      <c r="D26" s="447" t="s">
        <v>97</v>
      </c>
      <c r="E26" s="375" t="s">
        <v>114</v>
      </c>
      <c r="F26" s="448">
        <v>150</v>
      </c>
      <c r="G26" s="285">
        <f t="shared" si="0"/>
        <v>36.75</v>
      </c>
      <c r="H26" s="377">
        <v>39310.39513888889</v>
      </c>
      <c r="I26" s="177">
        <v>39310.56805555556</v>
      </c>
      <c r="J26" s="378">
        <f t="shared" si="1"/>
        <v>4.150000000081491</v>
      </c>
      <c r="K26" s="379">
        <f t="shared" si="2"/>
        <v>249</v>
      </c>
      <c r="L26" s="209" t="s">
        <v>71</v>
      </c>
      <c r="M26" s="210" t="str">
        <f t="shared" si="3"/>
        <v>--</v>
      </c>
      <c r="N26" s="145" t="s">
        <v>72</v>
      </c>
      <c r="O26" s="449">
        <f t="shared" si="5"/>
        <v>20</v>
      </c>
      <c r="P26" s="450" t="str">
        <f t="shared" si="6"/>
        <v>--</v>
      </c>
      <c r="Q26" s="451" t="str">
        <f t="shared" si="7"/>
        <v>--</v>
      </c>
      <c r="R26" s="452">
        <f t="shared" si="8"/>
        <v>3050.2500000000005</v>
      </c>
      <c r="S26" s="453" t="str">
        <f t="shared" si="9"/>
        <v>--</v>
      </c>
      <c r="T26" s="289" t="s">
        <v>72</v>
      </c>
      <c r="U26" s="145" t="str">
        <f t="shared" si="10"/>
        <v>SI</v>
      </c>
      <c r="V26" s="384">
        <f t="shared" si="11"/>
        <v>3050.2500000000005</v>
      </c>
      <c r="W26" s="384">
        <f t="shared" si="12"/>
        <v>364.60661670974906</v>
      </c>
      <c r="X26" s="454"/>
    </row>
    <row r="27" spans="2:24" s="5" customFormat="1" ht="16.5" customHeight="1">
      <c r="B27" s="47"/>
      <c r="C27" s="147">
        <v>44</v>
      </c>
      <c r="D27" s="447" t="s">
        <v>86</v>
      </c>
      <c r="E27" s="375" t="s">
        <v>112</v>
      </c>
      <c r="F27" s="448">
        <v>245</v>
      </c>
      <c r="G27" s="285">
        <f t="shared" si="0"/>
        <v>60.025</v>
      </c>
      <c r="H27" s="377">
        <v>39319.754166666666</v>
      </c>
      <c r="I27" s="177">
        <v>39319.76666666667</v>
      </c>
      <c r="J27" s="378">
        <f t="shared" si="1"/>
        <v>0.3000000001047738</v>
      </c>
      <c r="K27" s="379">
        <f t="shared" si="2"/>
        <v>18</v>
      </c>
      <c r="L27" s="209" t="s">
        <v>71</v>
      </c>
      <c r="M27" s="210" t="str">
        <f t="shared" si="3"/>
        <v>--</v>
      </c>
      <c r="N27" s="145" t="str">
        <f t="shared" si="4"/>
        <v>NO</v>
      </c>
      <c r="O27" s="449">
        <f t="shared" si="5"/>
        <v>20</v>
      </c>
      <c r="P27" s="450" t="str">
        <f t="shared" si="6"/>
        <v>--</v>
      </c>
      <c r="Q27" s="451">
        <f t="shared" si="7"/>
        <v>1200.5</v>
      </c>
      <c r="R27" s="452">
        <f t="shared" si="8"/>
        <v>360.15</v>
      </c>
      <c r="S27" s="453" t="str">
        <f t="shared" si="9"/>
        <v>--</v>
      </c>
      <c r="T27" s="289" t="s">
        <v>72</v>
      </c>
      <c r="U27" s="145" t="str">
        <f t="shared" si="10"/>
        <v>SI</v>
      </c>
      <c r="V27" s="384">
        <f t="shared" si="11"/>
        <v>1560.65</v>
      </c>
      <c r="W27" s="384">
        <f t="shared" si="12"/>
        <v>186.54973079848202</v>
      </c>
      <c r="X27" s="6"/>
    </row>
    <row r="28" spans="2:24" s="5" customFormat="1" ht="16.5" customHeight="1">
      <c r="B28" s="47"/>
      <c r="C28" s="268">
        <v>45</v>
      </c>
      <c r="D28" s="447" t="s">
        <v>86</v>
      </c>
      <c r="E28" s="375" t="s">
        <v>111</v>
      </c>
      <c r="F28" s="448">
        <v>245</v>
      </c>
      <c r="G28" s="285">
        <f t="shared" si="0"/>
        <v>60.025</v>
      </c>
      <c r="H28" s="377">
        <v>39320.46875</v>
      </c>
      <c r="I28" s="177">
        <v>39325.393055555556</v>
      </c>
      <c r="J28" s="378">
        <f t="shared" si="1"/>
        <v>118.18333333334886</v>
      </c>
      <c r="K28" s="379">
        <f t="shared" si="2"/>
        <v>7091</v>
      </c>
      <c r="L28" s="209" t="s">
        <v>75</v>
      </c>
      <c r="M28" s="210" t="str">
        <f t="shared" si="3"/>
        <v>--</v>
      </c>
      <c r="N28" s="145" t="str">
        <f t="shared" si="4"/>
        <v>--</v>
      </c>
      <c r="O28" s="449">
        <f t="shared" si="5"/>
        <v>2</v>
      </c>
      <c r="P28" s="450">
        <f t="shared" si="6"/>
        <v>14187.509</v>
      </c>
      <c r="Q28" s="451" t="str">
        <f t="shared" si="7"/>
        <v>--</v>
      </c>
      <c r="R28" s="452" t="str">
        <f t="shared" si="8"/>
        <v>--</v>
      </c>
      <c r="S28" s="453" t="str">
        <f t="shared" si="9"/>
        <v>--</v>
      </c>
      <c r="T28" s="289" t="s">
        <v>72</v>
      </c>
      <c r="U28" s="145" t="str">
        <f t="shared" si="10"/>
        <v>SI</v>
      </c>
      <c r="V28" s="384">
        <f t="shared" si="11"/>
        <v>14187.509</v>
      </c>
      <c r="W28" s="384">
        <f t="shared" si="12"/>
        <v>1695.8805527511236</v>
      </c>
      <c r="X28" s="6"/>
    </row>
    <row r="29" spans="2:24" s="5" customFormat="1" ht="16.5" customHeight="1">
      <c r="B29" s="47"/>
      <c r="C29" s="147">
        <v>46</v>
      </c>
      <c r="D29" s="447" t="s">
        <v>117</v>
      </c>
      <c r="E29" s="375" t="s">
        <v>116</v>
      </c>
      <c r="F29" s="448">
        <v>140</v>
      </c>
      <c r="G29" s="285">
        <f t="shared" si="0"/>
        <v>34.3</v>
      </c>
      <c r="H29" s="377">
        <v>39323.10833333333</v>
      </c>
      <c r="I29" s="177">
        <v>39323.24930555555</v>
      </c>
      <c r="J29" s="378">
        <f t="shared" si="1"/>
        <v>3.383333333360497</v>
      </c>
      <c r="K29" s="379">
        <f t="shared" si="2"/>
        <v>203</v>
      </c>
      <c r="L29" s="209" t="s">
        <v>75</v>
      </c>
      <c r="M29" s="210" t="str">
        <f t="shared" si="3"/>
        <v>--</v>
      </c>
      <c r="N29" s="145" t="str">
        <f t="shared" si="4"/>
        <v>--</v>
      </c>
      <c r="O29" s="449">
        <f t="shared" si="5"/>
        <v>2</v>
      </c>
      <c r="P29" s="450">
        <f t="shared" si="6"/>
        <v>231.86799999999997</v>
      </c>
      <c r="Q29" s="451" t="str">
        <f t="shared" si="7"/>
        <v>--</v>
      </c>
      <c r="R29" s="452" t="str">
        <f t="shared" si="8"/>
        <v>--</v>
      </c>
      <c r="S29" s="453" t="str">
        <f t="shared" si="9"/>
        <v>--</v>
      </c>
      <c r="T29" s="289" t="s">
        <v>72</v>
      </c>
      <c r="U29" s="145" t="str">
        <f t="shared" si="10"/>
        <v>SI</v>
      </c>
      <c r="V29" s="384">
        <f t="shared" si="11"/>
        <v>231.86799999999997</v>
      </c>
      <c r="W29" s="384">
        <f t="shared" si="12"/>
        <v>27.715960004345895</v>
      </c>
      <c r="X29" s="6"/>
    </row>
    <row r="30" spans="2:24" s="5" customFormat="1" ht="16.5" customHeight="1">
      <c r="B30" s="47"/>
      <c r="C30" s="268">
        <v>47</v>
      </c>
      <c r="D30" s="447" t="s">
        <v>86</v>
      </c>
      <c r="E30" s="375" t="s">
        <v>111</v>
      </c>
      <c r="F30" s="448">
        <v>245</v>
      </c>
      <c r="G30" s="285">
        <f t="shared" si="0"/>
        <v>60.025</v>
      </c>
      <c r="H30" s="377">
        <v>39325.39375</v>
      </c>
      <c r="I30" s="177">
        <v>39325.532638888886</v>
      </c>
      <c r="J30" s="378">
        <f t="shared" si="1"/>
        <v>3.3333333331975155</v>
      </c>
      <c r="K30" s="379">
        <f t="shared" si="2"/>
        <v>200</v>
      </c>
      <c r="L30" s="209" t="s">
        <v>75</v>
      </c>
      <c r="M30" s="210" t="str">
        <f t="shared" si="3"/>
        <v>--</v>
      </c>
      <c r="N30" s="145" t="str">
        <f t="shared" si="4"/>
        <v>--</v>
      </c>
      <c r="O30" s="449">
        <f t="shared" si="5"/>
        <v>2</v>
      </c>
      <c r="P30" s="450">
        <f t="shared" si="6"/>
        <v>399.7665</v>
      </c>
      <c r="Q30" s="451" t="str">
        <f t="shared" si="7"/>
        <v>--</v>
      </c>
      <c r="R30" s="452" t="str">
        <f t="shared" si="8"/>
        <v>--</v>
      </c>
      <c r="S30" s="453" t="str">
        <f t="shared" si="9"/>
        <v>--</v>
      </c>
      <c r="T30" s="289" t="s">
        <v>72</v>
      </c>
      <c r="U30" s="145" t="str">
        <f t="shared" si="10"/>
        <v>SI</v>
      </c>
      <c r="V30" s="384">
        <f t="shared" si="11"/>
        <v>399.7665</v>
      </c>
      <c r="W30" s="384">
        <f t="shared" si="12"/>
        <v>47.78543104299578</v>
      </c>
      <c r="X30" s="6"/>
    </row>
    <row r="31" spans="2:24" s="5" customFormat="1" ht="16.5" customHeight="1">
      <c r="B31" s="47"/>
      <c r="C31" s="147">
        <v>48</v>
      </c>
      <c r="D31" s="447" t="s">
        <v>86</v>
      </c>
      <c r="E31" s="375" t="s">
        <v>111</v>
      </c>
      <c r="F31" s="448">
        <v>245</v>
      </c>
      <c r="G31" s="285">
        <f t="shared" si="0"/>
        <v>60.025</v>
      </c>
      <c r="H31" s="377">
        <v>39325.53333333333</v>
      </c>
      <c r="I31" s="177">
        <v>39325.99930555555</v>
      </c>
      <c r="J31" s="378">
        <f t="shared" si="1"/>
        <v>11.183333333290648</v>
      </c>
      <c r="K31" s="379">
        <f t="shared" si="2"/>
        <v>671</v>
      </c>
      <c r="L31" s="209" t="s">
        <v>75</v>
      </c>
      <c r="M31" s="210" t="str">
        <f t="shared" si="3"/>
        <v>--</v>
      </c>
      <c r="N31" s="145" t="str">
        <f t="shared" si="4"/>
        <v>--</v>
      </c>
      <c r="O31" s="449">
        <f t="shared" si="5"/>
        <v>2</v>
      </c>
      <c r="P31" s="450">
        <f t="shared" si="6"/>
        <v>1342.1589999999999</v>
      </c>
      <c r="Q31" s="451" t="str">
        <f t="shared" si="7"/>
        <v>--</v>
      </c>
      <c r="R31" s="452" t="str">
        <f t="shared" si="8"/>
        <v>--</v>
      </c>
      <c r="S31" s="453" t="str">
        <f t="shared" si="9"/>
        <v>--</v>
      </c>
      <c r="T31" s="289" t="s">
        <v>72</v>
      </c>
      <c r="U31" s="145" t="str">
        <f t="shared" si="10"/>
        <v>SI</v>
      </c>
      <c r="V31" s="384">
        <f t="shared" si="11"/>
        <v>1342.1589999999999</v>
      </c>
      <c r="W31" s="384">
        <f t="shared" si="12"/>
        <v>160.43276848669453</v>
      </c>
      <c r="X31" s="6"/>
    </row>
    <row r="32" spans="2:24" s="5" customFormat="1" ht="16.5" customHeight="1">
      <c r="B32" s="47"/>
      <c r="C32" s="147"/>
      <c r="D32" s="447"/>
      <c r="E32" s="375"/>
      <c r="F32" s="448"/>
      <c r="G32" s="285">
        <f t="shared" si="0"/>
        <v>0</v>
      </c>
      <c r="H32" s="377"/>
      <c r="I32" s="177"/>
      <c r="J32" s="378" t="s">
        <v>140</v>
      </c>
      <c r="K32" s="379">
        <f t="shared" si="2"/>
      </c>
      <c r="L32" s="209"/>
      <c r="M32" s="210">
        <f t="shared" si="3"/>
      </c>
      <c r="N32" s="145">
        <f t="shared" si="4"/>
      </c>
      <c r="O32" s="449">
        <f t="shared" si="5"/>
        <v>20</v>
      </c>
      <c r="P32" s="450" t="str">
        <f t="shared" si="6"/>
        <v>--</v>
      </c>
      <c r="Q32" s="451" t="str">
        <f t="shared" si="7"/>
        <v>--</v>
      </c>
      <c r="R32" s="452" t="str">
        <f t="shared" si="8"/>
        <v>--</v>
      </c>
      <c r="S32" s="453" t="str">
        <f t="shared" si="9"/>
        <v>--</v>
      </c>
      <c r="T32" s="289" t="str">
        <f aca="true" t="shared" si="13" ref="T32:T37">IF(L32="RP",G32*O32*M32/100*ROUND(K32/60,2),"--")</f>
        <v>--</v>
      </c>
      <c r="U32" s="145">
        <f t="shared" si="10"/>
      </c>
      <c r="V32" s="384">
        <f t="shared" si="11"/>
      </c>
      <c r="W32" s="384"/>
      <c r="X32" s="6"/>
    </row>
    <row r="33" spans="2:24" s="5" customFormat="1" ht="16.5" customHeight="1">
      <c r="B33" s="47"/>
      <c r="C33" s="268"/>
      <c r="D33" s="447"/>
      <c r="E33" s="375"/>
      <c r="F33" s="448"/>
      <c r="G33" s="285">
        <f t="shared" si="0"/>
        <v>0</v>
      </c>
      <c r="H33" s="377"/>
      <c r="I33" s="177"/>
      <c r="J33" s="378">
        <f t="shared" si="1"/>
      </c>
      <c r="K33" s="379">
        <f t="shared" si="2"/>
      </c>
      <c r="L33" s="209"/>
      <c r="M33" s="210">
        <f t="shared" si="3"/>
      </c>
      <c r="N33" s="145">
        <f t="shared" si="4"/>
      </c>
      <c r="O33" s="449">
        <f t="shared" si="5"/>
        <v>20</v>
      </c>
      <c r="P33" s="450" t="str">
        <f t="shared" si="6"/>
        <v>--</v>
      </c>
      <c r="Q33" s="451" t="str">
        <f t="shared" si="7"/>
        <v>--</v>
      </c>
      <c r="R33" s="452" t="str">
        <f t="shared" si="8"/>
        <v>--</v>
      </c>
      <c r="S33" s="453" t="str">
        <f t="shared" si="9"/>
        <v>--</v>
      </c>
      <c r="T33" s="289" t="str">
        <f t="shared" si="13"/>
        <v>--</v>
      </c>
      <c r="U33" s="145">
        <f t="shared" si="10"/>
      </c>
      <c r="V33" s="384">
        <f t="shared" si="11"/>
      </c>
      <c r="W33" s="384"/>
      <c r="X33" s="6"/>
    </row>
    <row r="34" spans="2:24" s="5" customFormat="1" ht="16.5" customHeight="1">
      <c r="B34" s="47"/>
      <c r="C34" s="147"/>
      <c r="D34" s="447"/>
      <c r="E34" s="375"/>
      <c r="F34" s="448"/>
      <c r="G34" s="285">
        <f t="shared" si="0"/>
        <v>0</v>
      </c>
      <c r="H34" s="377"/>
      <c r="I34" s="177"/>
      <c r="J34" s="378">
        <f t="shared" si="1"/>
      </c>
      <c r="K34" s="379">
        <f t="shared" si="2"/>
      </c>
      <c r="L34" s="209"/>
      <c r="M34" s="210">
        <f t="shared" si="3"/>
      </c>
      <c r="N34" s="145">
        <f t="shared" si="4"/>
      </c>
      <c r="O34" s="449">
        <f t="shared" si="5"/>
        <v>20</v>
      </c>
      <c r="P34" s="450" t="str">
        <f t="shared" si="6"/>
        <v>--</v>
      </c>
      <c r="Q34" s="451" t="str">
        <f t="shared" si="7"/>
        <v>--</v>
      </c>
      <c r="R34" s="452" t="str">
        <f t="shared" si="8"/>
        <v>--</v>
      </c>
      <c r="S34" s="453" t="str">
        <f t="shared" si="9"/>
        <v>--</v>
      </c>
      <c r="T34" s="289" t="str">
        <f t="shared" si="13"/>
        <v>--</v>
      </c>
      <c r="U34" s="145">
        <f t="shared" si="10"/>
      </c>
      <c r="V34" s="384">
        <f t="shared" si="11"/>
      </c>
      <c r="W34" s="384"/>
      <c r="X34" s="6"/>
    </row>
    <row r="35" spans="2:24" s="5" customFormat="1" ht="16.5" customHeight="1">
      <c r="B35" s="47"/>
      <c r="C35" s="268"/>
      <c r="D35" s="447"/>
      <c r="E35" s="375"/>
      <c r="F35" s="448"/>
      <c r="G35" s="285">
        <f t="shared" si="0"/>
        <v>0</v>
      </c>
      <c r="H35" s="377"/>
      <c r="I35" s="177"/>
      <c r="J35" s="378">
        <f t="shared" si="1"/>
      </c>
      <c r="K35" s="379">
        <f t="shared" si="2"/>
      </c>
      <c r="L35" s="209"/>
      <c r="M35" s="210">
        <f t="shared" si="3"/>
      </c>
      <c r="N35" s="145">
        <f t="shared" si="4"/>
      </c>
      <c r="O35" s="449">
        <f t="shared" si="5"/>
        <v>20</v>
      </c>
      <c r="P35" s="450" t="str">
        <f t="shared" si="6"/>
        <v>--</v>
      </c>
      <c r="Q35" s="451" t="str">
        <f t="shared" si="7"/>
        <v>--</v>
      </c>
      <c r="R35" s="452" t="str">
        <f t="shared" si="8"/>
        <v>--</v>
      </c>
      <c r="S35" s="453" t="str">
        <f t="shared" si="9"/>
        <v>--</v>
      </c>
      <c r="T35" s="289" t="str">
        <f t="shared" si="13"/>
        <v>--</v>
      </c>
      <c r="U35" s="145">
        <f t="shared" si="10"/>
      </c>
      <c r="V35" s="384">
        <f t="shared" si="11"/>
      </c>
      <c r="W35" s="384"/>
      <c r="X35" s="6"/>
    </row>
    <row r="36" spans="2:24" s="5" customFormat="1" ht="16.5" customHeight="1">
      <c r="B36" s="47"/>
      <c r="C36" s="147"/>
      <c r="D36" s="447"/>
      <c r="E36" s="375"/>
      <c r="F36" s="448"/>
      <c r="G36" s="285">
        <f t="shared" si="0"/>
        <v>0</v>
      </c>
      <c r="H36" s="377"/>
      <c r="I36" s="177"/>
      <c r="J36" s="378">
        <f t="shared" si="1"/>
      </c>
      <c r="K36" s="379">
        <f t="shared" si="2"/>
      </c>
      <c r="L36" s="209"/>
      <c r="M36" s="210">
        <f t="shared" si="3"/>
      </c>
      <c r="N36" s="145">
        <f t="shared" si="4"/>
      </c>
      <c r="O36" s="449">
        <f t="shared" si="5"/>
        <v>20</v>
      </c>
      <c r="P36" s="450" t="str">
        <f t="shared" si="6"/>
        <v>--</v>
      </c>
      <c r="Q36" s="451" t="str">
        <f t="shared" si="7"/>
        <v>--</v>
      </c>
      <c r="R36" s="452" t="str">
        <f t="shared" si="8"/>
        <v>--</v>
      </c>
      <c r="S36" s="453" t="str">
        <f t="shared" si="9"/>
        <v>--</v>
      </c>
      <c r="T36" s="289" t="str">
        <f t="shared" si="13"/>
        <v>--</v>
      </c>
      <c r="U36" s="145">
        <f t="shared" si="10"/>
      </c>
      <c r="V36" s="384">
        <f t="shared" si="11"/>
      </c>
      <c r="W36" s="384"/>
      <c r="X36" s="6"/>
    </row>
    <row r="37" spans="2:24" s="5" customFormat="1" ht="16.5" customHeight="1">
      <c r="B37" s="47"/>
      <c r="C37" s="268"/>
      <c r="D37" s="447"/>
      <c r="E37" s="375"/>
      <c r="F37" s="448"/>
      <c r="G37" s="285">
        <f t="shared" si="0"/>
        <v>0</v>
      </c>
      <c r="H37" s="377"/>
      <c r="I37" s="177"/>
      <c r="J37" s="378">
        <f t="shared" si="1"/>
      </c>
      <c r="K37" s="379">
        <f t="shared" si="2"/>
      </c>
      <c r="L37" s="209"/>
      <c r="M37" s="210">
        <f t="shared" si="3"/>
      </c>
      <c r="N37" s="145">
        <f t="shared" si="4"/>
      </c>
      <c r="O37" s="449">
        <f t="shared" si="5"/>
        <v>20</v>
      </c>
      <c r="P37" s="450" t="str">
        <f t="shared" si="6"/>
        <v>--</v>
      </c>
      <c r="Q37" s="451" t="str">
        <f t="shared" si="7"/>
        <v>--</v>
      </c>
      <c r="R37" s="452" t="str">
        <f t="shared" si="8"/>
        <v>--</v>
      </c>
      <c r="S37" s="453" t="str">
        <f t="shared" si="9"/>
        <v>--</v>
      </c>
      <c r="T37" s="289" t="str">
        <f t="shared" si="13"/>
        <v>--</v>
      </c>
      <c r="U37" s="145">
        <f t="shared" si="10"/>
      </c>
      <c r="V37" s="384">
        <f t="shared" si="11"/>
      </c>
      <c r="W37" s="384"/>
      <c r="X37" s="6"/>
    </row>
    <row r="38" spans="2:24" s="5" customFormat="1" ht="16.5" customHeight="1" thickBot="1">
      <c r="B38" s="47"/>
      <c r="C38" s="147"/>
      <c r="D38" s="455"/>
      <c r="E38" s="139"/>
      <c r="F38" s="456"/>
      <c r="G38" s="130"/>
      <c r="H38" s="385"/>
      <c r="I38" s="385"/>
      <c r="J38" s="386"/>
      <c r="K38" s="386"/>
      <c r="L38" s="385"/>
      <c r="M38" s="182"/>
      <c r="N38" s="144"/>
      <c r="O38" s="457"/>
      <c r="P38" s="458"/>
      <c r="Q38" s="459"/>
      <c r="R38" s="460"/>
      <c r="S38" s="461"/>
      <c r="T38" s="461"/>
      <c r="U38" s="144"/>
      <c r="V38" s="462"/>
      <c r="W38" s="462"/>
      <c r="X38" s="6"/>
    </row>
    <row r="39" spans="2:24" s="5" customFormat="1" ht="16.5" customHeight="1" thickBot="1" thickTop="1">
      <c r="B39" s="47"/>
      <c r="C39" s="120" t="s">
        <v>23</v>
      </c>
      <c r="D39" s="121" t="s">
        <v>125</v>
      </c>
      <c r="G39" s="4"/>
      <c r="H39" s="4"/>
      <c r="I39" s="4"/>
      <c r="J39" s="4"/>
      <c r="K39" s="4"/>
      <c r="L39" s="4"/>
      <c r="M39" s="4"/>
      <c r="N39" s="4"/>
      <c r="O39" s="4"/>
      <c r="P39" s="463">
        <f>SUM(P20:P38)</f>
        <v>90197.338</v>
      </c>
      <c r="Q39" s="464">
        <f>SUM(Q20:Q38)</f>
        <v>1200.5</v>
      </c>
      <c r="R39" s="465">
        <f>SUM(R20:R38)</f>
        <v>9283.05</v>
      </c>
      <c r="S39" s="466">
        <f>SUM(S20:S38)</f>
        <v>677286.085</v>
      </c>
      <c r="T39" s="466">
        <f>SUM(T20:T38)</f>
        <v>0</v>
      </c>
      <c r="V39" s="93">
        <f>ROUND(SUM(V20:V38),2)</f>
        <v>777966.97</v>
      </c>
      <c r="W39" s="93">
        <f>SUM(W22:W31)</f>
        <v>92993.00252027035</v>
      </c>
      <c r="X39" s="467"/>
    </row>
    <row r="40" spans="2:24" s="126" customFormat="1" ht="9.75" thickTop="1">
      <c r="B40" s="125"/>
      <c r="C40" s="122"/>
      <c r="D40" s="123" t="s">
        <v>126</v>
      </c>
      <c r="G40" s="124"/>
      <c r="H40" s="124"/>
      <c r="I40" s="124"/>
      <c r="J40" s="124"/>
      <c r="K40" s="124"/>
      <c r="L40" s="124"/>
      <c r="M40" s="124"/>
      <c r="N40" s="124"/>
      <c r="O40" s="124"/>
      <c r="P40" s="329"/>
      <c r="Q40" s="329"/>
      <c r="R40" s="329"/>
      <c r="S40" s="329"/>
      <c r="T40" s="329"/>
      <c r="V40" s="186"/>
      <c r="W40" s="186"/>
      <c r="X40" s="397"/>
    </row>
    <row r="41" spans="2:24" s="5" customFormat="1" ht="16.5" customHeight="1" thickBot="1"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1"/>
    </row>
    <row r="42" spans="4:26" ht="16.5" customHeight="1" thickTop="1">
      <c r="D42" s="169"/>
      <c r="E42" s="169"/>
      <c r="F42" s="169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4:26" ht="16.5" customHeight="1">
      <c r="D43" s="169"/>
      <c r="E43" s="169"/>
      <c r="F43" s="169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4:26" ht="16.5" customHeight="1">
      <c r="D44" s="169"/>
      <c r="E44" s="169"/>
      <c r="F44" s="169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4:26" ht="16.5" customHeight="1">
      <c r="D45" s="169"/>
      <c r="E45" s="169"/>
      <c r="F45" s="169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4:26" ht="16.5" customHeight="1">
      <c r="D46" s="169"/>
      <c r="E46" s="169"/>
      <c r="F46" s="169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4:26" ht="16.5" customHeight="1">
      <c r="D47" s="169"/>
      <c r="E47" s="169"/>
      <c r="F47" s="169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4:26" ht="16.5" customHeight="1"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4:26" ht="16.5" customHeight="1"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4:26" ht="16.5" customHeight="1"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4:26" ht="16.5" customHeight="1"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4:26" ht="16.5" customHeight="1"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4:26" ht="16.5" customHeight="1"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4:26" ht="16.5" customHeight="1"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4:26" ht="16.5" customHeight="1"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4:26" ht="16.5" customHeight="1"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4:26" ht="16.5" customHeight="1"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4:26" ht="16.5" customHeight="1"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4:26" ht="16.5" customHeight="1"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4:26" ht="16.5" customHeight="1"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4:26" ht="16.5" customHeight="1"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spans="4:26" ht="16.5" customHeight="1"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spans="4:26" ht="16.5" customHeight="1"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spans="4:26" ht="16.5" customHeight="1"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spans="4:26" ht="16.5" customHeight="1"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spans="4:26" ht="16.5" customHeight="1"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spans="4:26" ht="16.5" customHeight="1"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spans="4:26" ht="16.5" customHeight="1"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spans="4:26" ht="16.5" customHeight="1"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4:26" ht="16.5" customHeight="1"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4:26" ht="16.5" customHeight="1"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spans="4:26" ht="16.5" customHeight="1"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4:26" ht="16.5" customHeight="1"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spans="4:26" ht="16.5" customHeight="1"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4:26" ht="16.5" customHeight="1"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4:26" ht="16.5" customHeight="1"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spans="4:26" ht="16.5" customHeight="1"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spans="4:26" ht="16.5" customHeight="1"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4:26" ht="16.5" customHeight="1"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4:26" ht="16.5" customHeight="1"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spans="4:26" ht="16.5" customHeight="1"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4:26" ht="16.5" customHeight="1"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4:26" ht="16.5" customHeight="1"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spans="4:26" ht="16.5" customHeight="1"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4:26" ht="16.5" customHeight="1"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4:26" ht="16.5" customHeight="1"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4:26" ht="16.5" customHeight="1"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4:26" ht="16.5" customHeight="1"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4:26" ht="16.5" customHeight="1"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4:26" ht="16.5" customHeight="1"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4:26" ht="16.5" customHeight="1"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4:26" ht="16.5" customHeight="1"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4:26" ht="16.5" customHeight="1"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4:26" ht="16.5" customHeight="1"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4:26" ht="16.5" customHeight="1"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4:26" ht="16.5" customHeight="1"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4:26" ht="16.5" customHeight="1"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4:26" ht="16.5" customHeight="1"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4:26" ht="16.5" customHeight="1"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4:26" ht="16.5" customHeight="1"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4:26" ht="16.5" customHeight="1"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4:26" ht="16.5" customHeight="1"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4:26" ht="16.5" customHeight="1"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4:26" ht="16.5" customHeight="1"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4:26" ht="16.5" customHeight="1"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4:26" ht="16.5" customHeight="1"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4:26" ht="16.5" customHeight="1"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4:26" ht="16.5" customHeight="1"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4:26" ht="16.5" customHeight="1"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4:26" ht="16.5" customHeight="1"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4:26" ht="16.5" customHeight="1"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4:26" ht="16.5" customHeight="1"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4:26" ht="16.5" customHeight="1"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4:26" ht="16.5" customHeight="1"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4:26" ht="16.5" customHeight="1"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4:26" ht="16.5" customHeight="1"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4:26" ht="16.5" customHeight="1"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4:26" ht="16.5" customHeight="1"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4:26" ht="16.5" customHeight="1"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4:26" ht="16.5" customHeight="1"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4:26" ht="16.5" customHeight="1"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4:26" ht="16.5" customHeight="1"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4:26" ht="16.5" customHeight="1"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4:26" ht="16.5" customHeight="1"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4:26" ht="16.5" customHeight="1"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4:26" ht="16.5" customHeight="1"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4:26" ht="16.5" customHeight="1"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4:26" ht="16.5" customHeight="1"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4:26" ht="16.5" customHeight="1"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4:26" ht="16.5" customHeight="1"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4:26" ht="16.5" customHeight="1"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4:26" ht="16.5" customHeight="1"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4:26" ht="16.5" customHeight="1"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4:26" ht="16.5" customHeight="1"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4:26" ht="16.5" customHeight="1"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4:26" ht="16.5" customHeight="1"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4:26" ht="16.5" customHeight="1"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4:26" ht="16.5" customHeight="1"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4:26" ht="16.5" customHeight="1"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4:26" ht="16.5" customHeight="1"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4:26" ht="16.5" customHeight="1"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4:26" ht="16.5" customHeight="1"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4:26" ht="16.5" customHeight="1"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4:26" ht="16.5" customHeight="1"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4:26" ht="16.5" customHeight="1"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4:26" ht="16.5" customHeight="1"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4:26" ht="16.5" customHeight="1"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4:26" ht="16.5" customHeight="1"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4:26" ht="16.5" customHeight="1">
      <c r="D149" s="168"/>
      <c r="E149" s="168"/>
      <c r="F149" s="168"/>
      <c r="Y149" s="168"/>
      <c r="Z149" s="168"/>
    </row>
    <row r="150" spans="4:6" ht="16.5" customHeight="1">
      <c r="D150" s="168"/>
      <c r="E150" s="168"/>
      <c r="F150" s="168"/>
    </row>
    <row r="151" spans="4:6" ht="16.5" customHeight="1">
      <c r="D151" s="168"/>
      <c r="E151" s="168"/>
      <c r="F151" s="168"/>
    </row>
    <row r="152" spans="4:6" ht="16.5" customHeight="1">
      <c r="D152" s="168"/>
      <c r="E152" s="168"/>
      <c r="F152" s="168"/>
    </row>
    <row r="153" spans="4:6" ht="16.5" customHeight="1">
      <c r="D153" s="168"/>
      <c r="E153" s="168"/>
      <c r="F153" s="168"/>
    </row>
    <row r="154" spans="4:6" ht="16.5" customHeight="1">
      <c r="D154" s="168"/>
      <c r="E154" s="168"/>
      <c r="F154" s="168"/>
    </row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2011-01-11T17:25:54Z</cp:lastPrinted>
  <dcterms:created xsi:type="dcterms:W3CDTF">1998-04-21T14:04:37Z</dcterms:created>
  <dcterms:modified xsi:type="dcterms:W3CDTF">2012-02-02T14:20:44Z</dcterms:modified>
  <cp:category/>
  <cp:version/>
  <cp:contentType/>
  <cp:contentStatus/>
</cp:coreProperties>
</file>