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45" yWindow="65461" windowWidth="5895" windowHeight="7065" tabRatio="940" activeTab="0"/>
  </bookViews>
  <sheets>
    <sheet name="TOT-0314" sheetId="1" r:id="rId1"/>
    <sheet name="LI-03 (1)" sheetId="2" r:id="rId2"/>
    <sheet name="LI-03 (2)" sheetId="3" r:id="rId3"/>
    <sheet name="LI-03 (3)" sheetId="4" r:id="rId4"/>
    <sheet name="T-03 (1)" sheetId="5" r:id="rId5"/>
    <sheet name="SA-03 (1)" sheetId="6" r:id="rId6"/>
    <sheet name="TASA FALLA" sheetId="7" r:id="rId7"/>
    <sheet name="DATO" sheetId="8" r:id="rId8"/>
  </sheets>
  <externalReferences>
    <externalReference r:id="rId11"/>
    <externalReference r:id="rId12"/>
    <externalReference r:id="rId13"/>
  </externalReferences>
  <definedNames>
    <definedName name="_xlnm.Print_Area" localSheetId="1">'LI-03 (1)'!$A$1:$AE$42</definedName>
    <definedName name="_xlnm.Print_Area" localSheetId="2">'LI-03 (2)'!$A$1:$AE$40</definedName>
    <definedName name="_xlnm.Print_Area" localSheetId="3">'LI-03 (3)'!$A$1:$AE$44</definedName>
    <definedName name="_xlnm.Print_Area" localSheetId="5">'SA-03 (1)'!$A$1:$W$46</definedName>
    <definedName name="_xlnm.Print_Area" localSheetId="4">'T-03 (1)'!$A$1:$AD$46</definedName>
    <definedName name="_xlnm.Print_Area" localSheetId="6">'TASA FALLA'!$A$1:$W$129</definedName>
    <definedName name="DD" localSheetId="6">'TASA FALLA'!DD</definedName>
    <definedName name="DD">[0]!tasa</definedName>
    <definedName name="DDD" localSheetId="6">'TASA FALLA'!DDD</definedName>
    <definedName name="DDD">[0]!DDD</definedName>
    <definedName name="DDD1">[0]!DDD1</definedName>
    <definedName name="DISTROCUYO" localSheetId="6">'TASA FALLA'!DISTROCUYO</definedName>
    <definedName name="DISTROCUYO">[0]!DISTROCUYO</definedName>
    <definedName name="INICIO" localSheetId="6">'TASA FALLA'!INICIO</definedName>
    <definedName name="INICIO">[0]!INICIO</definedName>
    <definedName name="INICIOTI" localSheetId="6">'TASA FALLA'!INICIOTI</definedName>
    <definedName name="INICIOTI">[0]!INICIOTI</definedName>
    <definedName name="LINEAASTI2" localSheetId="6">'TASA FALLA'!LINEAASTI2</definedName>
    <definedName name="LINEAASTI2">[0]!LINEAASTI2</definedName>
    <definedName name="LINEAS" localSheetId="6">'TASA FALLA'!LINEAS</definedName>
    <definedName name="LINEAS">[0]!LINEAS</definedName>
    <definedName name="LINEASTI" localSheetId="6">'TASA FALLA'!LINEASTI</definedName>
    <definedName name="LINEASTI">[0]!LINEASTI</definedName>
    <definedName name="NAME_L" localSheetId="6">'TASA FALLA'!NAME_L</definedName>
    <definedName name="NAME_L">[0]!NAME_L</definedName>
    <definedName name="NAME_L_TI" localSheetId="6">'TASA FALLA'!NAME_L_TI</definedName>
    <definedName name="NAME_L_TI">[0]!NAME_L_TI</definedName>
    <definedName name="QINOR">#REF!</definedName>
    <definedName name="QISUR" localSheetId="6">#REF!</definedName>
    <definedName name="tasa" localSheetId="6">'TASA FALLA'!tasa</definedName>
    <definedName name="tasa">[0]!tasa</definedName>
    <definedName name="TRANSNOA" localSheetId="6">'TASA FALLA'!TRANSNOA</definedName>
    <definedName name="TRANSNOA">[0]!TRANSNOA</definedName>
    <definedName name="TRANSPA" localSheetId="6">'TASA FALLA'!TRANSPA</definedName>
    <definedName name="TRANSPA">[0]!TRANSPA</definedName>
  </definedNames>
  <calcPr fullCalcOnLoad="1"/>
</workbook>
</file>

<file path=xl/sharedStrings.xml><?xml version="1.0" encoding="utf-8"?>
<sst xmlns="http://schemas.openxmlformats.org/spreadsheetml/2006/main" count="471" uniqueCount="194">
  <si>
    <t>PRESTADOR DE LA FUNCIÓN TÉCNICA DE TRANSPORTE DE ENERGÍA ELÉCTRICA</t>
  </si>
  <si>
    <t>TIPO</t>
  </si>
  <si>
    <t xml:space="preserve">ENTE NACIONAL REGULADOR </t>
  </si>
  <si>
    <t>DE LA ELECTRICIDAD</t>
  </si>
  <si>
    <t>TOTAL DE PENALIZACIONES A FORMULAR</t>
  </si>
  <si>
    <t>1.-</t>
  </si>
  <si>
    <t>LÍNEAS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</si>
  <si>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</si>
  <si>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</si>
  <si>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</si>
  <si>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</si>
  <si>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</si>
  <si>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</si>
  <si>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</si>
  <si>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1.- LÍNEAS</t>
  </si>
  <si>
    <t xml:space="preserve">$/100 km-h : LÍNEAS 220 kV </t>
  </si>
  <si>
    <r>
      <t xml:space="preserve">$/100 km-h : LÍNEAS  </t>
    </r>
    <r>
      <rPr>
        <sz val="10"/>
        <rFont val="Symbol"/>
        <family val="1"/>
      </rPr>
      <t>£</t>
    </r>
    <r>
      <rPr>
        <sz val="10"/>
        <rFont val="MS Sans Serif"/>
        <family val="2"/>
      </rPr>
      <t xml:space="preserve"> 132 kV </t>
    </r>
  </si>
  <si>
    <t xml:space="preserve">$/100 km-h : CABLES 220 kV </t>
  </si>
  <si>
    <t>FACTOR DE PENALIZACIÓN  K =</t>
  </si>
  <si>
    <r>
      <t xml:space="preserve">$/100 km-h : CABLES  </t>
    </r>
    <r>
      <rPr>
        <sz val="10"/>
        <rFont val="Symbol"/>
        <family val="1"/>
      </rPr>
      <t>£</t>
    </r>
    <r>
      <rPr>
        <sz val="10"/>
        <rFont val="MS Sans Serif"/>
        <family val="2"/>
      </rPr>
      <t xml:space="preserve"> 132 kV </t>
    </r>
  </si>
  <si>
    <t>N°</t>
  </si>
  <si>
    <t>U
[kV]</t>
  </si>
  <si>
    <t>Long.
[km]</t>
  </si>
  <si>
    <t>$/h</t>
  </si>
  <si>
    <t>Salida</t>
  </si>
  <si>
    <t>Entrada</t>
  </si>
  <si>
    <t>Minutos
Indisp.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</si>
  <si>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</si>
  <si>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PENALIZ.
PROGRAM.</t>
  </si>
  <si>
    <t>REDUCC.
PROGRAM.</t>
  </si>
  <si>
    <t>RESTANTE
FORZADA</t>
  </si>
  <si>
    <t>REDUCC.
RESTANTE</t>
  </si>
  <si>
    <t>Informó
en Térm.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</si>
  <si>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</si>
  <si>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</si>
  <si>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</si>
  <si>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</si>
  <si>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</si>
  <si>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</si>
  <si>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</si>
  <si>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</si>
  <si>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</si>
  <si>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</si>
  <si>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</si>
  <si>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</si>
  <si>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</si>
  <si>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</si>
  <si>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EDESUR</t>
  </si>
  <si>
    <t>EDELAP</t>
  </si>
  <si>
    <t>%
Línea</t>
  </si>
  <si>
    <t>Hs. 
Indisp</t>
  </si>
  <si>
    <t>C.R.
%</t>
  </si>
  <si>
    <t>PENALIZAC.
PROGRAM.</t>
  </si>
  <si>
    <t>PENALIZACIÓN FORZADA
Por Salida    1ras. 3 hs.   Hs. Restantes</t>
  </si>
  <si>
    <t>REDUCC. FORZADA
Por Salida    1ras. 3 hs.   Hs. Restantes</t>
  </si>
  <si>
    <t>2.- CONEXIÓN</t>
  </si>
  <si>
    <t>2.1.- Transformación</t>
  </si>
  <si>
    <t xml:space="preserve">Por Transformador por MVA    $ </t>
  </si>
  <si>
    <t xml:space="preserve">Coeficiente de penalización por salida forzada   </t>
  </si>
  <si>
    <t>ESTACIÓN 
TRANSFORMADORA</t>
  </si>
  <si>
    <t>EQUIPO</t>
  </si>
  <si>
    <t>POT.
[MVA]</t>
  </si>
  <si>
    <t>Hs
Indisp.</t>
  </si>
  <si>
    <t>Minutos.
Indisp.</t>
  </si>
  <si>
    <t>AUT.</t>
  </si>
  <si>
    <t>C.R
%</t>
  </si>
  <si>
    <t>E.N.S.</t>
  </si>
  <si>
    <t>K (P;ENS)</t>
  </si>
  <si>
    <t>PENALIZACIÓN FORZADA
Por Salida     Hs. Restantes</t>
  </si>
  <si>
    <t>REDUCC. FORZADA
Por Salida     Hs. Restantes</t>
  </si>
  <si>
    <t>2.2.- Salidas</t>
  </si>
  <si>
    <t>Salida en 220 kV</t>
  </si>
  <si>
    <t xml:space="preserve">Salida en 132 kV o 66 kV </t>
  </si>
  <si>
    <t xml:space="preserve">Salida en 33 kV </t>
  </si>
  <si>
    <t>Salida en 13,2 kV</t>
  </si>
  <si>
    <t>K</t>
  </si>
  <si>
    <t>Valores remuneratorios según Res. ENRE N° 618/01</t>
  </si>
  <si>
    <t>PAFTT</t>
  </si>
  <si>
    <t>EDENOR</t>
  </si>
  <si>
    <t>INDISP</t>
  </si>
  <si>
    <t>ID EQUIPO</t>
  </si>
  <si>
    <t>Mes</t>
  </si>
  <si>
    <t>Dia</t>
  </si>
  <si>
    <t>Año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</si>
  <si>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</si>
  <si>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</si>
  <si>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</si>
  <si>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</si>
  <si>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</si>
  <si>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</si>
  <si>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</si>
  <si>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</si>
  <si>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</si>
  <si>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</si>
  <si>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</si>
  <si>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</si>
  <si>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Total</t>
  </si>
  <si>
    <t>B14</t>
  </si>
  <si>
    <t>Hoja</t>
  </si>
  <si>
    <t>FilaInicio</t>
  </si>
  <si>
    <t>FilasPlantilla</t>
  </si>
  <si>
    <t>Columnas</t>
  </si>
  <si>
    <t>NombreHoja</t>
  </si>
  <si>
    <t>OrigenDeDatos</t>
  </si>
  <si>
    <t>Col00</t>
  </si>
  <si>
    <t>Col01</t>
  </si>
  <si>
    <t>Col02</t>
  </si>
  <si>
    <t>Col03</t>
  </si>
  <si>
    <t>Col04</t>
  </si>
  <si>
    <t>Col05</t>
  </si>
  <si>
    <t>Col06</t>
  </si>
  <si>
    <t>Col07</t>
  </si>
  <si>
    <t>Col08</t>
  </si>
  <si>
    <t>Col09</t>
  </si>
  <si>
    <t>Col10</t>
  </si>
  <si>
    <t>Col11</t>
  </si>
  <si>
    <t>Col12</t>
  </si>
  <si>
    <t>Col13</t>
  </si>
  <si>
    <t>Col14</t>
  </si>
  <si>
    <t>Col15</t>
  </si>
  <si>
    <t>FILHTOTAL</t>
  </si>
  <si>
    <t>COLHTOTAL</t>
  </si>
  <si>
    <t>FILHCALC</t>
  </si>
  <si>
    <t>COLHCALC</t>
  </si>
  <si>
    <t>FILTRANSP</t>
  </si>
  <si>
    <t>COLTRANSP</t>
  </si>
  <si>
    <t>COL TSAL</t>
  </si>
  <si>
    <t>MODELO VST</t>
  </si>
  <si>
    <t>MODELO T</t>
  </si>
  <si>
    <t>MODELO L</t>
  </si>
  <si>
    <t>MODELO S</t>
  </si>
  <si>
    <t>CCP</t>
  </si>
  <si>
    <t>NUM</t>
  </si>
  <si>
    <t>Desde el 01 al 31 de marzo de 2014</t>
  </si>
  <si>
    <t>ESCALADA         ALTE. BROWN     CA 2</t>
  </si>
  <si>
    <t>C</t>
  </si>
  <si>
    <t>0,00</t>
  </si>
  <si>
    <t>P</t>
  </si>
  <si>
    <t>SI</t>
  </si>
  <si>
    <t>AZOPARDO PUERTO NUEVO C 1</t>
  </si>
  <si>
    <t>BOSQUES  QUILMES 1</t>
  </si>
  <si>
    <t>LC</t>
  </si>
  <si>
    <t>DOCK SUD  QUILMES   LC 2</t>
  </si>
  <si>
    <t>COSTANERA GURMENDI 2</t>
  </si>
  <si>
    <t>F</t>
  </si>
  <si>
    <t xml:space="preserve">DOCK SUD         CITY BELL       </t>
  </si>
  <si>
    <t xml:space="preserve">NUEVA POMPEYA    PATRICIOS       </t>
  </si>
  <si>
    <t>P. MORENO        MATANZA      1</t>
  </si>
  <si>
    <t>A. BROWN - TRANSRADIO 1</t>
  </si>
  <si>
    <t>AZOPARDO   CHARCAS</t>
  </si>
  <si>
    <t>BOSQUES          SOBRAL      2</t>
  </si>
  <si>
    <t>L</t>
  </si>
  <si>
    <t>DOCK SUD  SOBRAL    LC 2</t>
  </si>
  <si>
    <t>A. BROWN - GLEW 2</t>
  </si>
  <si>
    <t xml:space="preserve">ESCALADA         GERLI             </t>
  </si>
  <si>
    <t>AZOPARDO NUEVO PUERTO   2</t>
  </si>
  <si>
    <t>AZOPARDO NUEVO PUERTO   1</t>
  </si>
  <si>
    <t>AZOPARDO NUEVO PUERTO   3</t>
  </si>
  <si>
    <t>EZEIZA    MORENO</t>
  </si>
  <si>
    <t>ESCALADA         ALTE. BROWN        1</t>
  </si>
  <si>
    <t>COSTANERA - HUDSON 2</t>
  </si>
  <si>
    <t>A. BROWN - TRANSRADIO 2</t>
  </si>
  <si>
    <t>P. MORENO        MATANZA      2</t>
  </si>
  <si>
    <t>BOSQUES          MTE. CHINGOLO     2</t>
  </si>
  <si>
    <t xml:space="preserve">BOSQUES          ABASTO         </t>
  </si>
  <si>
    <t xml:space="preserve">EZEIZA           A.BROWN           </t>
  </si>
  <si>
    <t xml:space="preserve">SANTA RITA       AGRONOMIA    </t>
  </si>
  <si>
    <t xml:space="preserve">ABASTO          </t>
  </si>
  <si>
    <t xml:space="preserve">  TR2</t>
  </si>
  <si>
    <t>0,000</t>
  </si>
  <si>
    <t xml:space="preserve">EZEIZA </t>
  </si>
  <si>
    <t>I.CASANOVA 39</t>
  </si>
  <si>
    <t>ZAPPALORTO LINEA 1</t>
  </si>
  <si>
    <t>272639/40/41/42/43/44</t>
  </si>
  <si>
    <t>272923/24/25/26</t>
  </si>
  <si>
    <t>273153/54/55</t>
  </si>
  <si>
    <t>273160/61/62</t>
  </si>
  <si>
    <t>273163/64/65</t>
  </si>
  <si>
    <t>AZOPARDO  BLANCO   1</t>
  </si>
  <si>
    <t>AZOPARDO  BLANCO   2</t>
  </si>
  <si>
    <t>500/220/132</t>
  </si>
  <si>
    <t>P - PROGRAMADA  ; F - FORZADA</t>
  </si>
  <si>
    <t>P - PROGRAMADA</t>
  </si>
  <si>
    <t>EDESUR S.A.</t>
  </si>
  <si>
    <t>INDISPONIBILIDADES FORZADAS DE LÍNEAS - TASA DE FALLA</t>
  </si>
  <si>
    <t>%</t>
  </si>
  <si>
    <t xml:space="preserve">Longitud Total </t>
  </si>
  <si>
    <t xml:space="preserve">Indisponibilidades Forzadas </t>
  </si>
  <si>
    <t xml:space="preserve">TASA DE FALLA </t>
  </si>
  <si>
    <t xml:space="preserve"> Valores Provisorios</t>
  </si>
  <si>
    <t>TASA DE FALLA</t>
  </si>
  <si>
    <t>SALIDAS x AÑO / 100 km</t>
  </si>
  <si>
    <t>Correspondiente al mes de Marzo de 2014 (provisoria)</t>
  </si>
  <si>
    <t>ANEXO III a la Resolución AAANR N°  179 / 2016</t>
  </si>
</sst>
</file>

<file path=xl/styles.xml><?xml version="1.0" encoding="utf-8"?>
<styleSheet xmlns="http://schemas.openxmlformats.org/spreadsheetml/2006/main">
  <numFmts count="4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0.0"/>
    <numFmt numFmtId="170" formatCode="&quot;$&quot;\ #,##0.000;&quot;$&quot;\ \-#,##0.000"/>
    <numFmt numFmtId="171" formatCode="#,##0.0"/>
    <numFmt numFmtId="172" formatCode="0.000"/>
    <numFmt numFmtId="173" formatCode="0.00\ &quot;km&quot;"/>
    <numFmt numFmtId="174" formatCode="dd/mm/yy"/>
    <numFmt numFmtId="175" formatCode="mmm\-yyyy"/>
    <numFmt numFmtId="176" formatCode="dd\-mm\-yy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&quot;$&quot;#,##0.00\ ;&quot;$&quot;\-#,##0.00\ "/>
    <numFmt numFmtId="186" formatCode="0.0\ \k\V"/>
    <numFmt numFmtId="187" formatCode="0.00\ &quot;MVA&quot;"/>
    <numFmt numFmtId="188" formatCode="mmmm\ d\,\ yyyy"/>
    <numFmt numFmtId="189" formatCode="#,##0\ &quot;€&quot;;\-#,##0\ &quot;€&quot;"/>
    <numFmt numFmtId="190" formatCode="#,##0\ &quot;€&quot;;[Red]\-#,##0\ &quot;€&quot;"/>
    <numFmt numFmtId="191" formatCode="#,##0.00\ &quot;€&quot;;\-#,##0.00\ &quot;€&quot;"/>
    <numFmt numFmtId="192" formatCode="#,##0.00\ &quot;€&quot;;[Red]\-#,##0.00\ &quot;€&quot;"/>
    <numFmt numFmtId="193" formatCode="_-* #,##0\ &quot;€&quot;_-;\-* #,##0\ &quot;€&quot;_-;_-* &quot;-&quot;\ &quot;€&quot;_-;_-@_-"/>
    <numFmt numFmtId="194" formatCode="_-* #,##0\ _€_-;\-* #,##0\ _€_-;_-* &quot;-&quot;\ _€_-;_-@_-"/>
    <numFmt numFmtId="195" formatCode="_-* #,##0.00\ &quot;€&quot;_-;\-* #,##0.00\ &quot;€&quot;_-;_-* &quot;-&quot;??\ &quot;€&quot;_-;_-@_-"/>
    <numFmt numFmtId="196" formatCode="_-* #,##0.00\ _€_-;\-* #,##0.00\ _€_-;_-* &quot;-&quot;??\ _€_-;_-@_-"/>
    <numFmt numFmtId="197" formatCode="0.0%"/>
    <numFmt numFmtId="198" formatCode="0.0000"/>
    <numFmt numFmtId="199" formatCode="0.000_)"/>
    <numFmt numFmtId="200" formatCode="#,##0.00000"/>
  </numFmts>
  <fonts count="1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u val="double"/>
      <sz val="16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MS Sans Serif"/>
      <family val="2"/>
    </font>
    <font>
      <sz val="20"/>
      <name val="MS Sans Serif"/>
      <family val="2"/>
    </font>
    <font>
      <b/>
      <sz val="20"/>
      <name val="Times New Roman"/>
      <family val="1"/>
    </font>
    <font>
      <sz val="16"/>
      <name val="MS Sans Serif"/>
      <family val="2"/>
    </font>
    <font>
      <sz val="12"/>
      <name val="Times New Roman"/>
      <family val="1"/>
    </font>
    <font>
      <sz val="10"/>
      <name val="Symbol"/>
      <family val="1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sz val="10"/>
      <name val="Wingdings"/>
      <family val="0"/>
    </font>
    <font>
      <b/>
      <u val="single"/>
      <sz val="14"/>
      <name val="Times New Roman"/>
      <family val="1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b/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1"/>
      <color indexed="9"/>
      <name val="MS Sans Serif"/>
      <family val="2"/>
    </font>
    <font>
      <b/>
      <i/>
      <sz val="10"/>
      <name val="Times New Roman"/>
      <family val="1"/>
    </font>
    <font>
      <sz val="10"/>
      <name val="Arial"/>
      <family val="2"/>
    </font>
    <font>
      <sz val="10"/>
      <color indexed="18"/>
      <name val="Times New Roman"/>
      <family val="1"/>
    </font>
    <font>
      <b/>
      <sz val="12"/>
      <name val="MS Sans Serif"/>
      <family val="2"/>
    </font>
    <font>
      <b/>
      <u val="double"/>
      <sz val="14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sz val="11"/>
      <color indexed="12"/>
      <name val="MS Sans Serif"/>
      <family val="2"/>
    </font>
    <font>
      <sz val="11"/>
      <color indexed="16"/>
      <name val="MS Sans Serif"/>
      <family val="2"/>
    </font>
    <font>
      <sz val="10"/>
      <color indexed="16"/>
      <name val="MS Sans Serif"/>
      <family val="2"/>
    </font>
    <font>
      <b/>
      <sz val="10"/>
      <color indexed="16"/>
      <name val="Times New Roman"/>
      <family val="1"/>
    </font>
    <font>
      <sz val="8.5"/>
      <name val="Times New Roman"/>
      <family val="1"/>
    </font>
    <font>
      <b/>
      <sz val="12"/>
      <name val="Times New Roman"/>
      <family val="1"/>
    </font>
    <font>
      <sz val="7"/>
      <name val="MS Sans Serif"/>
      <family val="2"/>
    </font>
    <font>
      <b/>
      <sz val="7"/>
      <name val="Times New Roman"/>
      <family val="1"/>
    </font>
    <font>
      <b/>
      <sz val="16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58"/>
      <name val="MS Sans Serif"/>
      <family val="2"/>
    </font>
    <font>
      <b/>
      <sz val="10"/>
      <color indexed="58"/>
      <name val="Times New Roman"/>
      <family val="1"/>
    </font>
    <font>
      <b/>
      <sz val="10"/>
      <color indexed="48"/>
      <name val="Times New Roman"/>
      <family val="1"/>
    </font>
    <font>
      <sz val="7"/>
      <name val="Arial"/>
      <family val="2"/>
    </font>
    <font>
      <b/>
      <u val="single"/>
      <sz val="10"/>
      <name val="Arial"/>
      <family val="2"/>
    </font>
    <font>
      <sz val="11"/>
      <color indexed="56"/>
      <name val="MS Sans Serif"/>
      <family val="2"/>
    </font>
    <font>
      <sz val="11"/>
      <color indexed="26"/>
      <name val="MS Sans Serif"/>
      <family val="2"/>
    </font>
    <font>
      <b/>
      <sz val="10"/>
      <color indexed="56"/>
      <name val="Times New Roman"/>
      <family val="1"/>
    </font>
    <font>
      <b/>
      <sz val="10"/>
      <color indexed="26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sz val="10"/>
      <color indexed="50"/>
      <name val="MS Sans Serif"/>
      <family val="2"/>
    </font>
    <font>
      <sz val="10"/>
      <color indexed="9"/>
      <name val="MS Sans Serif"/>
      <family val="2"/>
    </font>
    <font>
      <sz val="9"/>
      <name val="Times New Roman"/>
      <family val="1"/>
    </font>
    <font>
      <b/>
      <sz val="12"/>
      <name val="Arial"/>
      <family val="2"/>
    </font>
    <font>
      <sz val="11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2"/>
      <name val="Times New Roman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gray0625">
        <fgColor indexed="45"/>
      </patternFill>
    </fill>
    <fill>
      <patternFill patternType="lightGray"/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100" fillId="20" borderId="0" applyNumberFormat="0" applyBorder="0" applyAlignment="0" applyProtection="0"/>
    <xf numFmtId="0" fontId="101" fillId="21" borderId="1" applyNumberFormat="0" applyAlignment="0" applyProtection="0"/>
    <xf numFmtId="0" fontId="102" fillId="22" borderId="2" applyNumberFormat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0" applyNumberFormat="0" applyFill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99" fillId="26" borderId="0" applyNumberFormat="0" applyBorder="0" applyAlignment="0" applyProtection="0"/>
    <xf numFmtId="0" fontId="99" fillId="27" borderId="0" applyNumberFormat="0" applyBorder="0" applyAlignment="0" applyProtection="0"/>
    <xf numFmtId="0" fontId="99" fillId="28" borderId="0" applyNumberFormat="0" applyBorder="0" applyAlignment="0" applyProtection="0"/>
    <xf numFmtId="0" fontId="106" fillId="29" borderId="1" applyNumberFormat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07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0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09" fillId="21" borderId="6" applyNumberFormat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7" applyNumberFormat="0" applyFill="0" applyAlignment="0" applyProtection="0"/>
    <xf numFmtId="0" fontId="105" fillId="0" borderId="8" applyNumberFormat="0" applyFill="0" applyAlignment="0" applyProtection="0"/>
    <xf numFmtId="0" fontId="114" fillId="0" borderId="9" applyNumberFormat="0" applyFill="0" applyAlignment="0" applyProtection="0"/>
  </cellStyleXfs>
  <cellXfs count="527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7" fontId="7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15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8" fillId="0" borderId="10" xfId="0" applyFont="1" applyBorder="1" applyAlignment="1">
      <alignment/>
    </xf>
    <xf numFmtId="0" fontId="19" fillId="0" borderId="0" xfId="0" applyFont="1" applyFill="1" applyBorder="1" applyAlignment="1" applyProtection="1">
      <alignment horizontal="centerContinuous"/>
      <protection/>
    </xf>
    <xf numFmtId="0" fontId="22" fillId="0" borderId="0" xfId="0" applyFont="1" applyAlignment="1">
      <alignment horizontal="centerContinuous"/>
    </xf>
    <xf numFmtId="0" fontId="20" fillId="0" borderId="0" xfId="0" applyNumberFormat="1" applyFont="1" applyAlignment="1">
      <alignment horizontal="left"/>
    </xf>
    <xf numFmtId="0" fontId="20" fillId="0" borderId="0" xfId="0" applyFont="1" applyBorder="1" applyAlignment="1">
      <alignment/>
    </xf>
    <xf numFmtId="0" fontId="23" fillId="0" borderId="0" xfId="0" applyFont="1" applyFill="1" applyBorder="1" applyAlignment="1" applyProtection="1">
      <alignment horizontal="left"/>
      <protection/>
    </xf>
    <xf numFmtId="0" fontId="15" fillId="0" borderId="0" xfId="0" applyFont="1" applyBorder="1" applyAlignment="1">
      <alignment/>
    </xf>
    <xf numFmtId="0" fontId="24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12" fillId="0" borderId="0" xfId="0" applyFont="1" applyAlignment="1">
      <alignment horizontal="centerContinuous"/>
    </xf>
    <xf numFmtId="0" fontId="17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3" xfId="0" applyFont="1" applyBorder="1" applyAlignment="1">
      <alignment/>
    </xf>
    <xf numFmtId="0" fontId="9" fillId="0" borderId="11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8" fillId="0" borderId="10" xfId="0" applyFont="1" applyBorder="1" applyAlignment="1">
      <alignment horizontal="centerContinuous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7" fontId="7" fillId="0" borderId="15" xfId="0" applyNumberFormat="1" applyFont="1" applyBorder="1" applyAlignment="1">
      <alignment horizontal="center"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33" fillId="0" borderId="0" xfId="0" applyFont="1" applyBorder="1" applyAlignment="1">
      <alignment horizontal="centerContinuous"/>
    </xf>
    <xf numFmtId="0" fontId="7" fillId="0" borderId="0" xfId="0" applyNumberFormat="1" applyFont="1" applyBorder="1" applyAlignment="1">
      <alignment horizontal="centerContinuous"/>
    </xf>
    <xf numFmtId="0" fontId="41" fillId="0" borderId="19" xfId="0" applyFont="1" applyBorder="1" applyAlignment="1">
      <alignment/>
    </xf>
    <xf numFmtId="0" fontId="43" fillId="0" borderId="0" xfId="0" applyFont="1" applyAlignment="1">
      <alignment horizontal="right" vertical="top"/>
    </xf>
    <xf numFmtId="0" fontId="6" fillId="0" borderId="0" xfId="56" applyFont="1" applyBorder="1" applyAlignment="1" applyProtection="1">
      <alignment horizontal="center"/>
      <protection/>
    </xf>
    <xf numFmtId="2" fontId="6" fillId="0" borderId="0" xfId="56" applyNumberFormat="1" applyFont="1" applyBorder="1" applyAlignment="1" applyProtection="1">
      <alignment horizontal="center"/>
      <protection/>
    </xf>
    <xf numFmtId="0" fontId="41" fillId="0" borderId="12" xfId="56" applyFont="1" applyBorder="1">
      <alignment/>
      <protection/>
    </xf>
    <xf numFmtId="0" fontId="19" fillId="0" borderId="0" xfId="56" applyFont="1" applyBorder="1" applyAlignment="1" applyProtection="1">
      <alignment horizontal="centerContinuous"/>
      <protection/>
    </xf>
    <xf numFmtId="0" fontId="13" fillId="0" borderId="0" xfId="56" applyFont="1" applyBorder="1" applyProtection="1">
      <alignment/>
      <protection/>
    </xf>
    <xf numFmtId="0" fontId="0" fillId="0" borderId="0" xfId="56" applyBorder="1" applyProtection="1">
      <alignment/>
      <protection/>
    </xf>
    <xf numFmtId="0" fontId="8" fillId="0" borderId="0" xfId="56" applyFont="1" applyBorder="1" applyAlignment="1" applyProtection="1">
      <alignment horizontal="centerContinuous"/>
      <protection/>
    </xf>
    <xf numFmtId="0" fontId="46" fillId="0" borderId="0" xfId="56" applyFont="1" applyBorder="1" applyProtection="1">
      <alignment/>
      <protection/>
    </xf>
    <xf numFmtId="0" fontId="0" fillId="0" borderId="0" xfId="56" applyBorder="1" applyAlignment="1" applyProtection="1">
      <alignment horizontal="center"/>
      <protection/>
    </xf>
    <xf numFmtId="0" fontId="0" fillId="0" borderId="0" xfId="56" applyFont="1" applyAlignment="1" applyProtection="1">
      <alignment/>
      <protection/>
    </xf>
    <xf numFmtId="0" fontId="21" fillId="0" borderId="20" xfId="56" applyFont="1" applyBorder="1" applyAlignment="1" applyProtection="1">
      <alignment horizontal="center" vertical="center"/>
      <protection/>
    </xf>
    <xf numFmtId="0" fontId="21" fillId="0" borderId="20" xfId="56" applyFont="1" applyBorder="1" applyAlignment="1" applyProtection="1">
      <alignment horizontal="center" vertical="center" wrapText="1"/>
      <protection/>
    </xf>
    <xf numFmtId="0" fontId="34" fillId="33" borderId="20" xfId="56" applyFont="1" applyFill="1" applyBorder="1" applyAlignment="1" applyProtection="1">
      <alignment horizontal="center" vertical="center"/>
      <protection/>
    </xf>
    <xf numFmtId="0" fontId="38" fillId="34" borderId="14" xfId="56" applyFont="1" applyFill="1" applyBorder="1" applyAlignment="1" applyProtection="1">
      <alignment horizontal="centerContinuous" vertical="center" wrapText="1"/>
      <protection/>
    </xf>
    <xf numFmtId="0" fontId="51" fillId="35" borderId="14" xfId="56" applyFont="1" applyFill="1" applyBorder="1" applyAlignment="1" applyProtection="1">
      <alignment horizontal="centerContinuous" vertical="center" wrapText="1"/>
      <protection/>
    </xf>
    <xf numFmtId="2" fontId="6" fillId="0" borderId="21" xfId="56" applyNumberFormat="1" applyFont="1" applyBorder="1" applyAlignment="1" applyProtection="1">
      <alignment horizontal="center"/>
      <protection/>
    </xf>
    <xf numFmtId="1" fontId="6" fillId="0" borderId="21" xfId="56" applyNumberFormat="1" applyFont="1" applyBorder="1" applyAlignment="1" applyProtection="1">
      <alignment horizontal="center"/>
      <protection/>
    </xf>
    <xf numFmtId="168" fontId="6" fillId="0" borderId="21" xfId="56" applyNumberFormat="1" applyFont="1" applyBorder="1" applyAlignment="1" applyProtection="1">
      <alignment horizontal="center"/>
      <protection locked="0"/>
    </xf>
    <xf numFmtId="168" fontId="6" fillId="0" borderId="21" xfId="56" applyNumberFormat="1" applyFont="1" applyBorder="1" applyAlignment="1" applyProtection="1" quotePrefix="1">
      <alignment horizontal="center"/>
      <protection locked="0"/>
    </xf>
    <xf numFmtId="2" fontId="36" fillId="36" borderId="21" xfId="56" applyNumberFormat="1" applyFont="1" applyFill="1" applyBorder="1" applyAlignment="1" applyProtection="1">
      <alignment horizontal="center"/>
      <protection locked="0"/>
    </xf>
    <xf numFmtId="2" fontId="40" fillId="37" borderId="21" xfId="56" applyNumberFormat="1" applyFont="1" applyFill="1" applyBorder="1" applyAlignment="1" applyProtection="1">
      <alignment horizontal="center"/>
      <protection locked="0"/>
    </xf>
    <xf numFmtId="168" fontId="37" fillId="34" borderId="22" xfId="56" applyNumberFormat="1" applyFont="1" applyFill="1" applyBorder="1" applyAlignment="1" applyProtection="1" quotePrefix="1">
      <alignment horizontal="center"/>
      <protection locked="0"/>
    </xf>
    <xf numFmtId="168" fontId="37" fillId="34" borderId="23" xfId="56" applyNumberFormat="1" applyFont="1" applyFill="1" applyBorder="1" applyAlignment="1" applyProtection="1" quotePrefix="1">
      <alignment horizontal="center"/>
      <protection locked="0"/>
    </xf>
    <xf numFmtId="4" fontId="37" fillId="34" borderId="24" xfId="56" applyNumberFormat="1" applyFont="1" applyFill="1" applyBorder="1" applyAlignment="1" applyProtection="1">
      <alignment horizontal="center"/>
      <protection locked="0"/>
    </xf>
    <xf numFmtId="168" fontId="53" fillId="35" borderId="22" xfId="56" applyNumberFormat="1" applyFont="1" applyFill="1" applyBorder="1" applyAlignment="1" applyProtection="1" quotePrefix="1">
      <alignment horizontal="center"/>
      <protection locked="0"/>
    </xf>
    <xf numFmtId="168" fontId="53" fillId="35" borderId="23" xfId="56" applyNumberFormat="1" applyFont="1" applyFill="1" applyBorder="1" applyAlignment="1" applyProtection="1" quotePrefix="1">
      <alignment horizontal="center"/>
      <protection locked="0"/>
    </xf>
    <xf numFmtId="4" fontId="53" fillId="35" borderId="24" xfId="56" applyNumberFormat="1" applyFont="1" applyFill="1" applyBorder="1" applyAlignment="1" applyProtection="1">
      <alignment horizontal="center"/>
      <protection locked="0"/>
    </xf>
    <xf numFmtId="4" fontId="40" fillId="38" borderId="21" xfId="56" applyNumberFormat="1" applyFont="1" applyFill="1" applyBorder="1" applyAlignment="1" applyProtection="1">
      <alignment horizontal="center"/>
      <protection locked="0"/>
    </xf>
    <xf numFmtId="4" fontId="40" fillId="39" borderId="21" xfId="56" applyNumberFormat="1" applyFont="1" applyFill="1" applyBorder="1" applyAlignment="1" applyProtection="1">
      <alignment horizontal="center"/>
      <protection locked="0"/>
    </xf>
    <xf numFmtId="168" fontId="35" fillId="33" borderId="25" xfId="56" applyNumberFormat="1" applyFont="1" applyFill="1" applyBorder="1" applyAlignment="1" applyProtection="1">
      <alignment horizontal="center"/>
      <protection/>
    </xf>
    <xf numFmtId="168" fontId="6" fillId="0" borderId="25" xfId="56" applyNumberFormat="1" applyFont="1" applyBorder="1" applyAlignment="1" applyProtection="1">
      <alignment horizontal="center"/>
      <protection/>
    </xf>
    <xf numFmtId="0" fontId="29" fillId="0" borderId="0" xfId="56" applyFont="1" applyBorder="1" applyAlignment="1" applyProtection="1">
      <alignment horizontal="left"/>
      <protection/>
    </xf>
    <xf numFmtId="168" fontId="54" fillId="0" borderId="0" xfId="56" applyNumberFormat="1" applyFont="1" applyBorder="1" applyAlignment="1" applyProtection="1">
      <alignment horizontal="center"/>
      <protection/>
    </xf>
    <xf numFmtId="168" fontId="6" fillId="0" borderId="0" xfId="56" applyNumberFormat="1" applyFont="1" applyBorder="1" applyAlignment="1" applyProtection="1">
      <alignment horizontal="center"/>
      <protection/>
    </xf>
    <xf numFmtId="168" fontId="6" fillId="0" borderId="0" xfId="56" applyNumberFormat="1" applyFont="1" applyBorder="1" applyAlignment="1" applyProtection="1" quotePrefix="1">
      <alignment horizontal="center"/>
      <protection/>
    </xf>
    <xf numFmtId="168" fontId="37" fillId="34" borderId="20" xfId="56" applyNumberFormat="1" applyFont="1" applyFill="1" applyBorder="1" applyAlignment="1" applyProtection="1" quotePrefix="1">
      <alignment horizontal="center"/>
      <protection/>
    </xf>
    <xf numFmtId="168" fontId="53" fillId="35" borderId="20" xfId="56" applyNumberFormat="1" applyFont="1" applyFill="1" applyBorder="1" applyAlignment="1" applyProtection="1" quotePrefix="1">
      <alignment horizontal="center"/>
      <protection/>
    </xf>
    <xf numFmtId="0" fontId="29" fillId="0" borderId="0" xfId="56" applyFont="1" applyBorder="1" applyAlignment="1" applyProtection="1">
      <alignment horizontal="left" vertical="top"/>
      <protection/>
    </xf>
    <xf numFmtId="0" fontId="27" fillId="0" borderId="0" xfId="56" applyFont="1" applyBorder="1" applyAlignment="1" applyProtection="1">
      <alignment horizontal="center"/>
      <protection/>
    </xf>
    <xf numFmtId="2" fontId="27" fillId="0" borderId="0" xfId="56" applyNumberFormat="1" applyFont="1" applyBorder="1" applyAlignment="1" applyProtection="1">
      <alignment horizontal="center"/>
      <protection/>
    </xf>
    <xf numFmtId="168" fontId="27" fillId="0" borderId="0" xfId="56" applyNumberFormat="1" applyFont="1" applyBorder="1" applyAlignment="1" applyProtection="1">
      <alignment horizontal="center"/>
      <protection/>
    </xf>
    <xf numFmtId="168" fontId="27" fillId="0" borderId="0" xfId="56" applyNumberFormat="1" applyFont="1" applyBorder="1" applyAlignment="1" applyProtection="1" quotePrefix="1">
      <alignment horizontal="center"/>
      <protection/>
    </xf>
    <xf numFmtId="168" fontId="31" fillId="0" borderId="0" xfId="56" applyNumberFormat="1" applyFont="1" applyBorder="1" applyAlignment="1" applyProtection="1" quotePrefix="1">
      <alignment horizontal="center"/>
      <protection/>
    </xf>
    <xf numFmtId="0" fontId="19" fillId="0" borderId="0" xfId="56" applyFont="1" applyFill="1" applyBorder="1" applyAlignment="1" applyProtection="1">
      <alignment horizontal="centerContinuous"/>
      <protection/>
    </xf>
    <xf numFmtId="0" fontId="13" fillId="0" borderId="0" xfId="56" applyFont="1" applyFill="1" applyBorder="1" applyProtection="1">
      <alignment/>
      <protection/>
    </xf>
    <xf numFmtId="0" fontId="13" fillId="0" borderId="0" xfId="56" applyFont="1" applyFill="1" applyBorder="1" applyAlignment="1" applyProtection="1">
      <alignment horizontal="left"/>
      <protection/>
    </xf>
    <xf numFmtId="164" fontId="13" fillId="0" borderId="0" xfId="56" applyNumberFormat="1" applyFont="1" applyFill="1" applyBorder="1" applyProtection="1">
      <alignment/>
      <protection/>
    </xf>
    <xf numFmtId="0" fontId="8" fillId="0" borderId="0" xfId="56" applyFont="1" applyFill="1" applyBorder="1" applyAlignment="1" applyProtection="1">
      <alignment horizontal="centerContinuous"/>
      <protection/>
    </xf>
    <xf numFmtId="164" fontId="8" fillId="0" borderId="0" xfId="56" applyNumberFormat="1" applyFont="1" applyFill="1" applyBorder="1" applyAlignment="1" applyProtection="1">
      <alignment horizontal="centerContinuous"/>
      <protection/>
    </xf>
    <xf numFmtId="0" fontId="0" fillId="0" borderId="14" xfId="56" applyFont="1" applyFill="1" applyBorder="1" applyAlignment="1" applyProtection="1">
      <alignment horizontal="left"/>
      <protection/>
    </xf>
    <xf numFmtId="0" fontId="0" fillId="0" borderId="26" xfId="56" applyFont="1" applyFill="1" applyBorder="1" applyAlignment="1" applyProtection="1">
      <alignment horizontal="center"/>
      <protection/>
    </xf>
    <xf numFmtId="0" fontId="0" fillId="0" borderId="14" xfId="56" applyFont="1" applyFill="1" applyBorder="1" applyAlignment="1" applyProtection="1" quotePrefix="1">
      <alignment horizontal="left"/>
      <protection/>
    </xf>
    <xf numFmtId="0" fontId="0" fillId="0" borderId="27" xfId="56" applyFont="1" applyFill="1" applyBorder="1" applyAlignment="1" applyProtection="1">
      <alignment horizontal="center"/>
      <protection/>
    </xf>
    <xf numFmtId="0" fontId="44" fillId="0" borderId="0" xfId="56" applyFont="1" applyFill="1" applyBorder="1" applyAlignment="1" applyProtection="1">
      <alignment horizontal="center"/>
      <protection/>
    </xf>
    <xf numFmtId="0" fontId="21" fillId="0" borderId="20" xfId="56" applyFont="1" applyFill="1" applyBorder="1" applyAlignment="1" applyProtection="1">
      <alignment horizontal="center" vertical="center" wrapText="1"/>
      <protection/>
    </xf>
    <xf numFmtId="0" fontId="21" fillId="0" borderId="20" xfId="56" applyFont="1" applyFill="1" applyBorder="1" applyAlignment="1" applyProtection="1">
      <alignment horizontal="center" vertical="center"/>
      <protection/>
    </xf>
    <xf numFmtId="0" fontId="21" fillId="0" borderId="20" xfId="56" applyFont="1" applyFill="1" applyBorder="1" applyAlignment="1" applyProtection="1" quotePrefix="1">
      <alignment horizontal="center" vertical="center" wrapText="1"/>
      <protection/>
    </xf>
    <xf numFmtId="0" fontId="50" fillId="33" borderId="20" xfId="56" applyFont="1" applyFill="1" applyBorder="1" applyAlignment="1" applyProtection="1">
      <alignment horizontal="center" vertical="center"/>
      <protection/>
    </xf>
    <xf numFmtId="0" fontId="60" fillId="40" borderId="14" xfId="56" applyFont="1" applyFill="1" applyBorder="1" applyAlignment="1" applyProtection="1">
      <alignment horizontal="centerContinuous" vertical="center" wrapText="1"/>
      <protection/>
    </xf>
    <xf numFmtId="0" fontId="42" fillId="41" borderId="14" xfId="56" applyFont="1" applyFill="1" applyBorder="1" applyAlignment="1" applyProtection="1">
      <alignment horizontal="centerContinuous" vertical="center" wrapText="1"/>
      <protection/>
    </xf>
    <xf numFmtId="2" fontId="6" fillId="0" borderId="21" xfId="56" applyNumberFormat="1" applyFont="1" applyFill="1" applyBorder="1" applyAlignment="1" applyProtection="1">
      <alignment horizontal="center"/>
      <protection/>
    </xf>
    <xf numFmtId="3" fontId="6" fillId="0" borderId="21" xfId="56" applyNumberFormat="1" applyFont="1" applyFill="1" applyBorder="1" applyAlignment="1" applyProtection="1">
      <alignment horizontal="center"/>
      <protection/>
    </xf>
    <xf numFmtId="168" fontId="6" fillId="0" borderId="21" xfId="56" applyNumberFormat="1" applyFont="1" applyFill="1" applyBorder="1" applyAlignment="1" applyProtection="1">
      <alignment horizontal="center"/>
      <protection locked="0"/>
    </xf>
    <xf numFmtId="168" fontId="6" fillId="0" borderId="21" xfId="56" applyNumberFormat="1" applyFont="1" applyFill="1" applyBorder="1" applyAlignment="1" applyProtection="1" quotePrefix="1">
      <alignment horizontal="center"/>
      <protection locked="0"/>
    </xf>
    <xf numFmtId="4" fontId="36" fillId="33" borderId="21" xfId="56" applyNumberFormat="1" applyFont="1" applyFill="1" applyBorder="1" applyAlignment="1" applyProtection="1">
      <alignment horizontal="center"/>
      <protection locked="0"/>
    </xf>
    <xf numFmtId="2" fontId="40" fillId="34" borderId="21" xfId="56" applyNumberFormat="1" applyFont="1" applyFill="1" applyBorder="1" applyAlignment="1" applyProtection="1">
      <alignment horizontal="center"/>
      <protection locked="0"/>
    </xf>
    <xf numFmtId="2" fontId="40" fillId="42" borderId="21" xfId="56" applyNumberFormat="1" applyFont="1" applyFill="1" applyBorder="1" applyAlignment="1" applyProtection="1">
      <alignment horizontal="center"/>
      <protection locked="0"/>
    </xf>
    <xf numFmtId="168" fontId="61" fillId="40" borderId="22" xfId="56" applyNumberFormat="1" applyFont="1" applyFill="1" applyBorder="1" applyAlignment="1" applyProtection="1" quotePrefix="1">
      <alignment horizontal="center"/>
      <protection locked="0"/>
    </xf>
    <xf numFmtId="168" fontId="61" fillId="40" borderId="24" xfId="56" applyNumberFormat="1" applyFont="1" applyFill="1" applyBorder="1" applyAlignment="1" applyProtection="1" quotePrefix="1">
      <alignment horizontal="center"/>
      <protection locked="0"/>
    </xf>
    <xf numFmtId="168" fontId="40" fillId="41" borderId="22" xfId="56" applyNumberFormat="1" applyFont="1" applyFill="1" applyBorder="1" applyAlignment="1" applyProtection="1" quotePrefix="1">
      <alignment horizontal="center"/>
      <protection locked="0"/>
    </xf>
    <xf numFmtId="168" fontId="40" fillId="41" borderId="24" xfId="56" applyNumberFormat="1" applyFont="1" applyFill="1" applyBorder="1" applyAlignment="1" applyProtection="1" quotePrefix="1">
      <alignment horizontal="center"/>
      <protection locked="0"/>
    </xf>
    <xf numFmtId="168" fontId="61" fillId="35" borderId="21" xfId="56" applyNumberFormat="1" applyFont="1" applyFill="1" applyBorder="1" applyAlignment="1" applyProtection="1" quotePrefix="1">
      <alignment horizontal="center"/>
      <protection locked="0"/>
    </xf>
    <xf numFmtId="168" fontId="40" fillId="34" borderId="21" xfId="56" applyNumberFormat="1" applyFont="1" applyFill="1" applyBorder="1" applyAlignment="1" applyProtection="1" quotePrefix="1">
      <alignment horizontal="center"/>
      <protection locked="0"/>
    </xf>
    <xf numFmtId="0" fontId="44" fillId="0" borderId="0" xfId="56" applyFont="1" applyBorder="1" applyProtection="1">
      <alignment/>
      <protection/>
    </xf>
    <xf numFmtId="0" fontId="44" fillId="0" borderId="14" xfId="56" applyFont="1" applyBorder="1" applyAlignment="1" applyProtection="1">
      <alignment horizontal="left"/>
      <protection/>
    </xf>
    <xf numFmtId="170" fontId="44" fillId="0" borderId="28" xfId="56" applyNumberFormat="1" applyFont="1" applyBorder="1" applyAlignment="1" applyProtection="1">
      <alignment horizontal="center"/>
      <protection/>
    </xf>
    <xf numFmtId="0" fontId="44" fillId="0" borderId="0" xfId="56" applyFont="1" applyBorder="1" applyAlignment="1" applyProtection="1">
      <alignment horizontal="left"/>
      <protection/>
    </xf>
    <xf numFmtId="0" fontId="21" fillId="0" borderId="20" xfId="56" applyFont="1" applyFill="1" applyBorder="1" applyAlignment="1" applyProtection="1">
      <alignment horizontal="centerContinuous" vertical="center" wrapText="1"/>
      <protection/>
    </xf>
    <xf numFmtId="0" fontId="21" fillId="0" borderId="20" xfId="56" applyFont="1" applyFill="1" applyBorder="1" applyAlignment="1" applyProtection="1">
      <alignment horizontal="centerContinuous" vertical="center"/>
      <protection/>
    </xf>
    <xf numFmtId="0" fontId="34" fillId="33" borderId="20" xfId="56" applyFont="1" applyFill="1" applyBorder="1" applyAlignment="1" applyProtection="1">
      <alignment horizontal="centerContinuous" vertical="center"/>
      <protection/>
    </xf>
    <xf numFmtId="0" fontId="65" fillId="43" borderId="20" xfId="56" applyFont="1" applyFill="1" applyBorder="1" applyAlignment="1" applyProtection="1">
      <alignment horizontal="centerContinuous" vertical="center"/>
      <protection/>
    </xf>
    <xf numFmtId="0" fontId="38" fillId="40" borderId="29" xfId="56" applyFont="1" applyFill="1" applyBorder="1" applyAlignment="1" applyProtection="1">
      <alignment horizontal="centerContinuous" vertical="center" wrapText="1"/>
      <protection/>
    </xf>
    <xf numFmtId="164" fontId="6" fillId="0" borderId="21" xfId="56" applyNumberFormat="1" applyFont="1" applyFill="1" applyBorder="1" applyAlignment="1" applyProtection="1" quotePrefix="1">
      <alignment horizontal="center"/>
      <protection/>
    </xf>
    <xf numFmtId="164" fontId="67" fillId="43" borderId="21" xfId="56" applyNumberFormat="1" applyFont="1" applyFill="1" applyBorder="1" applyAlignment="1" applyProtection="1">
      <alignment horizontal="center"/>
      <protection locked="0"/>
    </xf>
    <xf numFmtId="2" fontId="40" fillId="44" borderId="21" xfId="56" applyNumberFormat="1" applyFont="1" applyFill="1" applyBorder="1" applyAlignment="1" applyProtection="1">
      <alignment horizontal="center"/>
      <protection locked="0"/>
    </xf>
    <xf numFmtId="168" fontId="37" fillId="40" borderId="22" xfId="56" applyNumberFormat="1" applyFont="1" applyFill="1" applyBorder="1" applyAlignment="1" applyProtection="1" quotePrefix="1">
      <alignment horizontal="center"/>
      <protection locked="0"/>
    </xf>
    <xf numFmtId="168" fontId="37" fillId="40" borderId="24" xfId="56" applyNumberFormat="1" applyFont="1" applyFill="1" applyBorder="1" applyAlignment="1" applyProtection="1" quotePrefix="1">
      <alignment horizontal="center"/>
      <protection locked="0"/>
    </xf>
    <xf numFmtId="168" fontId="68" fillId="45" borderId="21" xfId="56" applyNumberFormat="1" applyFont="1" applyFill="1" applyBorder="1" applyAlignment="1" applyProtection="1" quotePrefix="1">
      <alignment horizontal="center"/>
      <protection locked="0"/>
    </xf>
    <xf numFmtId="0" fontId="0" fillId="0" borderId="0" xfId="56" applyProtection="1">
      <alignment/>
      <protection/>
    </xf>
    <xf numFmtId="0" fontId="43" fillId="0" borderId="0" xfId="56" applyFont="1" applyAlignment="1" applyProtection="1">
      <alignment horizontal="right" vertical="top"/>
      <protection/>
    </xf>
    <xf numFmtId="0" fontId="15" fillId="0" borderId="0" xfId="56" applyFont="1" applyProtection="1">
      <alignment/>
      <protection/>
    </xf>
    <xf numFmtId="0" fontId="16" fillId="0" borderId="0" xfId="56" applyFont="1" applyAlignment="1" applyProtection="1">
      <alignment horizontal="centerContinuous"/>
      <protection/>
    </xf>
    <xf numFmtId="0" fontId="15" fillId="0" borderId="0" xfId="56" applyFont="1" applyAlignment="1" applyProtection="1">
      <alignment horizontal="centerContinuous"/>
      <protection/>
    </xf>
    <xf numFmtId="0" fontId="20" fillId="0" borderId="0" xfId="56" applyFont="1" applyProtection="1">
      <alignment/>
      <protection/>
    </xf>
    <xf numFmtId="0" fontId="0" fillId="0" borderId="19" xfId="56" applyBorder="1" applyProtection="1">
      <alignment/>
      <protection/>
    </xf>
    <xf numFmtId="0" fontId="0" fillId="0" borderId="12" xfId="56" applyBorder="1" applyProtection="1">
      <alignment/>
      <protection/>
    </xf>
    <xf numFmtId="0" fontId="0" fillId="0" borderId="13" xfId="56" applyBorder="1" applyProtection="1">
      <alignment/>
      <protection/>
    </xf>
    <xf numFmtId="0" fontId="13" fillId="0" borderId="0" xfId="56" applyFont="1" applyProtection="1">
      <alignment/>
      <protection/>
    </xf>
    <xf numFmtId="0" fontId="13" fillId="0" borderId="11" xfId="56" applyFont="1" applyBorder="1" applyProtection="1">
      <alignment/>
      <protection/>
    </xf>
    <xf numFmtId="0" fontId="12" fillId="0" borderId="0" xfId="56" applyFont="1" applyBorder="1" applyProtection="1">
      <alignment/>
      <protection/>
    </xf>
    <xf numFmtId="0" fontId="13" fillId="0" borderId="10" xfId="56" applyFont="1" applyBorder="1" applyProtection="1">
      <alignment/>
      <protection/>
    </xf>
    <xf numFmtId="0" fontId="0" fillId="0" borderId="11" xfId="56" applyBorder="1" applyProtection="1">
      <alignment/>
      <protection/>
    </xf>
    <xf numFmtId="0" fontId="0" fillId="0" borderId="10" xfId="56" applyBorder="1" applyProtection="1">
      <alignment/>
      <protection/>
    </xf>
    <xf numFmtId="0" fontId="14" fillId="0" borderId="0" xfId="56" applyFont="1" applyBorder="1" applyProtection="1">
      <alignment/>
      <protection/>
    </xf>
    <xf numFmtId="0" fontId="47" fillId="0" borderId="0" xfId="56" applyFont="1" applyBorder="1" applyProtection="1">
      <alignment/>
      <protection/>
    </xf>
    <xf numFmtId="0" fontId="48" fillId="0" borderId="0" xfId="56" applyFont="1" applyBorder="1" applyProtection="1">
      <alignment/>
      <protection/>
    </xf>
    <xf numFmtId="0" fontId="8" fillId="0" borderId="0" xfId="56" applyFont="1" applyProtection="1">
      <alignment/>
      <protection/>
    </xf>
    <xf numFmtId="0" fontId="9" fillId="0" borderId="11" xfId="56" applyFont="1" applyBorder="1" applyAlignment="1" applyProtection="1">
      <alignment horizontal="centerContinuous"/>
      <protection/>
    </xf>
    <xf numFmtId="0" fontId="0" fillId="0" borderId="0" xfId="56" applyAlignment="1" applyProtection="1">
      <alignment horizontal="centerContinuous"/>
      <protection/>
    </xf>
    <xf numFmtId="0" fontId="33" fillId="0" borderId="0" xfId="56" applyFont="1" applyBorder="1" applyAlignment="1" applyProtection="1">
      <alignment horizontal="centerContinuous"/>
      <protection/>
    </xf>
    <xf numFmtId="0" fontId="8" fillId="0" borderId="0" xfId="56" applyFont="1" applyAlignment="1" applyProtection="1">
      <alignment horizontal="centerContinuous"/>
      <protection/>
    </xf>
    <xf numFmtId="0" fontId="8" fillId="0" borderId="10" xfId="56" applyFont="1" applyBorder="1" applyAlignment="1" applyProtection="1">
      <alignment horizontal="centerContinuous"/>
      <protection/>
    </xf>
    <xf numFmtId="0" fontId="49" fillId="0" borderId="0" xfId="56" applyFont="1" applyBorder="1" applyProtection="1">
      <alignment/>
      <protection/>
    </xf>
    <xf numFmtId="167" fontId="0" fillId="0" borderId="0" xfId="56" applyNumberFormat="1" applyBorder="1" applyAlignment="1" applyProtection="1">
      <alignment horizontal="center"/>
      <protection/>
    </xf>
    <xf numFmtId="0" fontId="0" fillId="0" borderId="0" xfId="56" applyBorder="1" applyAlignment="1" applyProtection="1">
      <alignment horizontal="right"/>
      <protection/>
    </xf>
    <xf numFmtId="0" fontId="0" fillId="0" borderId="0" xfId="56" applyBorder="1" applyAlignment="1" applyProtection="1">
      <alignment horizontal="left"/>
      <protection/>
    </xf>
    <xf numFmtId="0" fontId="50" fillId="36" borderId="20" xfId="56" applyFont="1" applyFill="1" applyBorder="1" applyAlignment="1" applyProtection="1">
      <alignment horizontal="center" vertical="center" wrapText="1"/>
      <protection/>
    </xf>
    <xf numFmtId="0" fontId="42" fillId="37" borderId="20" xfId="56" applyFont="1" applyFill="1" applyBorder="1" applyAlignment="1" applyProtection="1">
      <alignment horizontal="center" vertical="center" wrapText="1"/>
      <protection/>
    </xf>
    <xf numFmtId="0" fontId="39" fillId="34" borderId="27" xfId="56" applyFont="1" applyFill="1" applyBorder="1" applyAlignment="1" applyProtection="1">
      <alignment horizontal="centerContinuous"/>
      <protection/>
    </xf>
    <xf numFmtId="0" fontId="38" fillId="34" borderId="15" xfId="56" applyFont="1" applyFill="1" applyBorder="1" applyAlignment="1" applyProtection="1">
      <alignment horizontal="centerContinuous" vertical="center"/>
      <protection/>
    </xf>
    <xf numFmtId="0" fontId="52" fillId="35" borderId="27" xfId="56" applyFont="1" applyFill="1" applyBorder="1" applyAlignment="1" applyProtection="1">
      <alignment horizontal="centerContinuous"/>
      <protection/>
    </xf>
    <xf numFmtId="0" fontId="51" fillId="35" borderId="15" xfId="56" applyFont="1" applyFill="1" applyBorder="1" applyAlignment="1" applyProtection="1">
      <alignment horizontal="centerContinuous" vertical="center"/>
      <protection/>
    </xf>
    <xf numFmtId="0" fontId="42" fillId="38" borderId="20" xfId="56" applyFont="1" applyFill="1" applyBorder="1" applyAlignment="1" applyProtection="1">
      <alignment horizontal="centerContinuous" vertical="center" wrapText="1"/>
      <protection/>
    </xf>
    <xf numFmtId="0" fontId="42" fillId="39" borderId="20" xfId="56" applyFont="1" applyFill="1" applyBorder="1" applyAlignment="1" applyProtection="1">
      <alignment horizontal="centerContinuous" vertical="center" wrapText="1"/>
      <protection/>
    </xf>
    <xf numFmtId="0" fontId="6" fillId="0" borderId="30" xfId="56" applyFont="1" applyBorder="1" applyProtection="1">
      <alignment/>
      <protection/>
    </xf>
    <xf numFmtId="0" fontId="6" fillId="0" borderId="30" xfId="56" applyFont="1" applyBorder="1" applyAlignment="1" applyProtection="1">
      <alignment horizontal="center"/>
      <protection/>
    </xf>
    <xf numFmtId="164" fontId="6" fillId="0" borderId="30" xfId="56" applyNumberFormat="1" applyFont="1" applyBorder="1" applyAlignment="1" applyProtection="1">
      <alignment horizontal="center"/>
      <protection/>
    </xf>
    <xf numFmtId="0" fontId="35" fillId="33" borderId="30" xfId="56" applyFont="1" applyFill="1" applyBorder="1" applyAlignment="1" applyProtection="1">
      <alignment horizontal="center"/>
      <protection/>
    </xf>
    <xf numFmtId="0" fontId="36" fillId="36" borderId="30" xfId="56" applyFont="1" applyFill="1" applyBorder="1" applyAlignment="1" applyProtection="1">
      <alignment horizontal="center"/>
      <protection/>
    </xf>
    <xf numFmtId="0" fontId="40" fillId="37" borderId="30" xfId="56" applyFont="1" applyFill="1" applyBorder="1" applyAlignment="1" applyProtection="1">
      <alignment horizontal="center"/>
      <protection/>
    </xf>
    <xf numFmtId="0" fontId="37" fillId="34" borderId="31" xfId="56" applyFont="1" applyFill="1" applyBorder="1" applyAlignment="1" applyProtection="1">
      <alignment horizontal="center"/>
      <protection/>
    </xf>
    <xf numFmtId="0" fontId="37" fillId="34" borderId="32" xfId="56" applyFont="1" applyFill="1" applyBorder="1" applyProtection="1">
      <alignment/>
      <protection/>
    </xf>
    <xf numFmtId="0" fontId="37" fillId="34" borderId="33" xfId="56" applyFont="1" applyFill="1" applyBorder="1" applyProtection="1">
      <alignment/>
      <protection/>
    </xf>
    <xf numFmtId="0" fontId="53" fillId="35" borderId="31" xfId="56" applyFont="1" applyFill="1" applyBorder="1" applyAlignment="1" applyProtection="1">
      <alignment horizontal="center"/>
      <protection/>
    </xf>
    <xf numFmtId="0" fontId="53" fillId="35" borderId="32" xfId="56" applyFont="1" applyFill="1" applyBorder="1" applyProtection="1">
      <alignment/>
      <protection/>
    </xf>
    <xf numFmtId="0" fontId="53" fillId="35" borderId="33" xfId="56" applyFont="1" applyFill="1" applyBorder="1" applyProtection="1">
      <alignment/>
      <protection/>
    </xf>
    <xf numFmtId="0" fontId="40" fillId="38" borderId="30" xfId="56" applyFont="1" applyFill="1" applyBorder="1" applyProtection="1">
      <alignment/>
      <protection/>
    </xf>
    <xf numFmtId="0" fontId="40" fillId="39" borderId="30" xfId="56" applyFont="1" applyFill="1" applyBorder="1" applyProtection="1">
      <alignment/>
      <protection/>
    </xf>
    <xf numFmtId="0" fontId="6" fillId="0" borderId="30" xfId="56" applyFont="1" applyBorder="1" applyAlignment="1" applyProtection="1">
      <alignment horizontal="left"/>
      <protection/>
    </xf>
    <xf numFmtId="8" fontId="11" fillId="0" borderId="30" xfId="56" applyNumberFormat="1" applyFont="1" applyBorder="1" applyAlignment="1" applyProtection="1">
      <alignment/>
      <protection/>
    </xf>
    <xf numFmtId="0" fontId="6" fillId="0" borderId="34" xfId="56" applyFont="1" applyBorder="1" applyProtection="1">
      <alignment/>
      <protection/>
    </xf>
    <xf numFmtId="168" fontId="35" fillId="33" borderId="21" xfId="56" applyNumberFormat="1" applyFont="1" applyFill="1" applyBorder="1" applyAlignment="1" applyProtection="1" quotePrefix="1">
      <alignment horizontal="center"/>
      <protection/>
    </xf>
    <xf numFmtId="0" fontId="6" fillId="0" borderId="34" xfId="56" applyFont="1" applyBorder="1" applyAlignment="1" applyProtection="1">
      <alignment horizontal="center"/>
      <protection/>
    </xf>
    <xf numFmtId="0" fontId="36" fillId="36" borderId="34" xfId="56" applyFont="1" applyFill="1" applyBorder="1" applyProtection="1">
      <alignment/>
      <protection/>
    </xf>
    <xf numFmtId="0" fontId="40" fillId="37" borderId="34" xfId="56" applyFont="1" applyFill="1" applyBorder="1" applyProtection="1">
      <alignment/>
      <protection/>
    </xf>
    <xf numFmtId="0" fontId="37" fillId="34" borderId="35" xfId="56" applyFont="1" applyFill="1" applyBorder="1" applyAlignment="1" applyProtection="1">
      <alignment horizontal="center"/>
      <protection/>
    </xf>
    <xf numFmtId="0" fontId="37" fillId="34" borderId="36" xfId="56" applyFont="1" applyFill="1" applyBorder="1" applyProtection="1">
      <alignment/>
      <protection/>
    </xf>
    <xf numFmtId="0" fontId="37" fillId="34" borderId="37" xfId="56" applyFont="1" applyFill="1" applyBorder="1" applyProtection="1">
      <alignment/>
      <protection/>
    </xf>
    <xf numFmtId="0" fontId="53" fillId="35" borderId="35" xfId="56" applyFont="1" applyFill="1" applyBorder="1" applyAlignment="1" applyProtection="1">
      <alignment horizontal="center"/>
      <protection/>
    </xf>
    <xf numFmtId="0" fontId="53" fillId="35" borderId="36" xfId="56" applyFont="1" applyFill="1" applyBorder="1" applyProtection="1">
      <alignment/>
      <protection/>
    </xf>
    <xf numFmtId="0" fontId="53" fillId="35" borderId="37" xfId="56" applyFont="1" applyFill="1" applyBorder="1" applyProtection="1">
      <alignment/>
      <protection/>
    </xf>
    <xf numFmtId="0" fontId="40" fillId="38" borderId="34" xfId="56" applyFont="1" applyFill="1" applyBorder="1" applyProtection="1">
      <alignment/>
      <protection/>
    </xf>
    <xf numFmtId="0" fontId="40" fillId="39" borderId="34" xfId="56" applyFont="1" applyFill="1" applyBorder="1" applyProtection="1">
      <alignment/>
      <protection/>
    </xf>
    <xf numFmtId="0" fontId="11" fillId="0" borderId="34" xfId="56" applyFont="1" applyBorder="1" applyAlignment="1" applyProtection="1">
      <alignment/>
      <protection/>
    </xf>
    <xf numFmtId="4" fontId="11" fillId="0" borderId="21" xfId="56" applyNumberFormat="1" applyFont="1" applyBorder="1" applyAlignment="1" applyProtection="1">
      <alignment horizontal="right"/>
      <protection/>
    </xf>
    <xf numFmtId="0" fontId="0" fillId="0" borderId="11" xfId="56" applyBorder="1" applyAlignment="1" applyProtection="1">
      <alignment horizontal="center"/>
      <protection/>
    </xf>
    <xf numFmtId="4" fontId="11" fillId="0" borderId="38" xfId="56" applyNumberFormat="1" applyFont="1" applyBorder="1" applyAlignment="1" applyProtection="1">
      <alignment horizontal="right"/>
      <protection/>
    </xf>
    <xf numFmtId="0" fontId="27" fillId="0" borderId="26" xfId="56" applyFont="1" applyBorder="1" applyAlignment="1" applyProtection="1">
      <alignment horizontal="center"/>
      <protection/>
    </xf>
    <xf numFmtId="2" fontId="36" fillId="36" borderId="20" xfId="56" applyNumberFormat="1" applyFont="1" applyFill="1" applyBorder="1" applyAlignment="1" applyProtection="1">
      <alignment horizontal="center"/>
      <protection/>
    </xf>
    <xf numFmtId="2" fontId="40" fillId="37" borderId="20" xfId="56" applyNumberFormat="1" applyFont="1" applyFill="1" applyBorder="1" applyAlignment="1" applyProtection="1">
      <alignment horizontal="center"/>
      <protection/>
    </xf>
    <xf numFmtId="4" fontId="37" fillId="34" borderId="20" xfId="56" applyNumberFormat="1" applyFont="1" applyFill="1" applyBorder="1" applyAlignment="1" applyProtection="1">
      <alignment horizontal="center"/>
      <protection/>
    </xf>
    <xf numFmtId="4" fontId="53" fillId="35" borderId="20" xfId="56" applyNumberFormat="1" applyFont="1" applyFill="1" applyBorder="1" applyAlignment="1" applyProtection="1">
      <alignment horizontal="center"/>
      <protection/>
    </xf>
    <xf numFmtId="4" fontId="40" fillId="38" borderId="20" xfId="56" applyNumberFormat="1" applyFont="1" applyFill="1" applyBorder="1" applyAlignment="1" applyProtection="1">
      <alignment horizontal="center"/>
      <protection/>
    </xf>
    <xf numFmtId="4" fontId="40" fillId="39" borderId="20" xfId="56" applyNumberFormat="1" applyFont="1" applyFill="1" applyBorder="1" applyAlignment="1" applyProtection="1">
      <alignment horizontal="center"/>
      <protection/>
    </xf>
    <xf numFmtId="4" fontId="10" fillId="0" borderId="0" xfId="56" applyNumberFormat="1" applyFont="1" applyBorder="1" applyAlignment="1" applyProtection="1">
      <alignment horizontal="center"/>
      <protection/>
    </xf>
    <xf numFmtId="8" fontId="55" fillId="0" borderId="20" xfId="56" applyNumberFormat="1" applyFont="1" applyBorder="1" applyAlignment="1" applyProtection="1">
      <alignment horizontal="right"/>
      <protection/>
    </xf>
    <xf numFmtId="2" fontId="0" fillId="0" borderId="10" xfId="56" applyNumberFormat="1" applyBorder="1" applyAlignment="1" applyProtection="1">
      <alignment horizontal="center"/>
      <protection/>
    </xf>
    <xf numFmtId="0" fontId="56" fillId="0" borderId="11" xfId="56" applyFont="1" applyBorder="1" applyProtection="1">
      <alignment/>
      <protection/>
    </xf>
    <xf numFmtId="0" fontId="29" fillId="0" borderId="0" xfId="56" applyFont="1" applyBorder="1" applyAlignment="1" applyProtection="1">
      <alignment horizontal="center"/>
      <protection/>
    </xf>
    <xf numFmtId="2" fontId="30" fillId="0" borderId="0" xfId="56" applyNumberFormat="1" applyFont="1" applyBorder="1" applyAlignment="1" applyProtection="1">
      <alignment horizontal="center"/>
      <protection/>
    </xf>
    <xf numFmtId="4" fontId="31" fillId="0" borderId="0" xfId="56" applyNumberFormat="1" applyFont="1" applyBorder="1" applyAlignment="1" applyProtection="1">
      <alignment horizontal="center"/>
      <protection/>
    </xf>
    <xf numFmtId="8" fontId="57" fillId="0" borderId="0" xfId="56" applyNumberFormat="1" applyFont="1" applyBorder="1" applyAlignment="1" applyProtection="1">
      <alignment horizontal="right"/>
      <protection/>
    </xf>
    <xf numFmtId="2" fontId="56" fillId="0" borderId="10" xfId="56" applyNumberFormat="1" applyFont="1" applyBorder="1" applyAlignment="1" applyProtection="1">
      <alignment horizontal="center"/>
      <protection/>
    </xf>
    <xf numFmtId="0" fontId="56" fillId="0" borderId="0" xfId="56" applyFont="1" applyProtection="1">
      <alignment/>
      <protection/>
    </xf>
    <xf numFmtId="0" fontId="0" fillId="0" borderId="16" xfId="56" applyBorder="1" applyProtection="1">
      <alignment/>
      <protection/>
    </xf>
    <xf numFmtId="0" fontId="0" fillId="0" borderId="17" xfId="56" applyBorder="1" applyProtection="1">
      <alignment/>
      <protection/>
    </xf>
    <xf numFmtId="0" fontId="0" fillId="0" borderId="18" xfId="56" applyBorder="1" applyProtection="1">
      <alignment/>
      <protection/>
    </xf>
    <xf numFmtId="0" fontId="0" fillId="0" borderId="0" xfId="56" applyFill="1" applyProtection="1">
      <alignment/>
      <protection/>
    </xf>
    <xf numFmtId="0" fontId="43" fillId="0" borderId="0" xfId="56" applyFont="1" applyFill="1" applyAlignment="1" applyProtection="1">
      <alignment horizontal="right" vertical="top"/>
      <protection/>
    </xf>
    <xf numFmtId="0" fontId="15" fillId="0" borderId="0" xfId="56" applyFont="1" applyFill="1" applyAlignment="1" applyProtection="1">
      <alignment horizontal="centerContinuous"/>
      <protection/>
    </xf>
    <xf numFmtId="0" fontId="20" fillId="0" borderId="0" xfId="56" applyFont="1" applyFill="1" applyAlignment="1" applyProtection="1">
      <alignment horizontal="centerContinuous"/>
      <protection/>
    </xf>
    <xf numFmtId="0" fontId="20" fillId="0" borderId="0" xfId="56" applyFont="1" applyFill="1" applyProtection="1">
      <alignment/>
      <protection/>
    </xf>
    <xf numFmtId="0" fontId="44" fillId="0" borderId="0" xfId="56" applyFont="1" applyFill="1" applyProtection="1">
      <alignment/>
      <protection/>
    </xf>
    <xf numFmtId="0" fontId="0" fillId="0" borderId="19" xfId="56" applyFill="1" applyBorder="1" applyProtection="1">
      <alignment/>
      <protection/>
    </xf>
    <xf numFmtId="0" fontId="0" fillId="0" borderId="12" xfId="56" applyFill="1" applyBorder="1" applyProtection="1">
      <alignment/>
      <protection/>
    </xf>
    <xf numFmtId="0" fontId="44" fillId="0" borderId="12" xfId="56" applyFont="1" applyFill="1" applyBorder="1" applyProtection="1">
      <alignment/>
      <protection/>
    </xf>
    <xf numFmtId="0" fontId="44" fillId="0" borderId="13" xfId="56" applyFont="1" applyFill="1" applyBorder="1" applyProtection="1">
      <alignment/>
      <protection/>
    </xf>
    <xf numFmtId="0" fontId="13" fillId="0" borderId="11" xfId="56" applyFont="1" applyFill="1" applyBorder="1" applyProtection="1">
      <alignment/>
      <protection/>
    </xf>
    <xf numFmtId="0" fontId="13" fillId="0" borderId="0" xfId="56" applyFont="1" applyFill="1" applyProtection="1">
      <alignment/>
      <protection/>
    </xf>
    <xf numFmtId="0" fontId="13" fillId="0" borderId="10" xfId="56" applyFont="1" applyFill="1" applyBorder="1" applyProtection="1">
      <alignment/>
      <protection/>
    </xf>
    <xf numFmtId="0" fontId="0" fillId="0" borderId="11" xfId="56" applyFill="1" applyBorder="1" applyProtection="1">
      <alignment/>
      <protection/>
    </xf>
    <xf numFmtId="0" fontId="0" fillId="0" borderId="0" xfId="56" applyFill="1" applyBorder="1" applyProtection="1">
      <alignment/>
      <protection/>
    </xf>
    <xf numFmtId="0" fontId="44" fillId="0" borderId="0" xfId="56" applyFont="1" applyFill="1" applyBorder="1" applyProtection="1">
      <alignment/>
      <protection/>
    </xf>
    <xf numFmtId="0" fontId="44" fillId="0" borderId="10" xfId="56" applyFont="1" applyFill="1" applyBorder="1" applyProtection="1">
      <alignment/>
      <protection/>
    </xf>
    <xf numFmtId="0" fontId="12" fillId="0" borderId="0" xfId="56" applyFont="1" applyFill="1" applyBorder="1" applyProtection="1">
      <alignment/>
      <protection/>
    </xf>
    <xf numFmtId="0" fontId="58" fillId="0" borderId="0" xfId="56" applyFont="1" applyFill="1" applyBorder="1" applyProtection="1">
      <alignment/>
      <protection/>
    </xf>
    <xf numFmtId="0" fontId="12" fillId="0" borderId="0" xfId="56" applyFont="1" applyFill="1" applyProtection="1">
      <alignment/>
      <protection/>
    </xf>
    <xf numFmtId="0" fontId="9" fillId="0" borderId="11" xfId="56" applyFont="1" applyFill="1" applyBorder="1" applyAlignment="1" applyProtection="1">
      <alignment horizontal="centerContinuous"/>
      <protection/>
    </xf>
    <xf numFmtId="0" fontId="8" fillId="0" borderId="10" xfId="56" applyFont="1" applyFill="1" applyBorder="1" applyAlignment="1" applyProtection="1">
      <alignment horizontal="centerContinuous"/>
      <protection/>
    </xf>
    <xf numFmtId="0" fontId="59" fillId="0" borderId="0" xfId="56" applyFont="1" applyFill="1" applyBorder="1" applyAlignment="1" applyProtection="1">
      <alignment horizontal="left"/>
      <protection/>
    </xf>
    <xf numFmtId="0" fontId="0" fillId="0" borderId="26" xfId="56" applyFont="1" applyFill="1" applyBorder="1" applyProtection="1">
      <alignment/>
      <protection/>
    </xf>
    <xf numFmtId="172" fontId="0" fillId="0" borderId="20" xfId="56" applyNumberFormat="1" applyFont="1" applyFill="1" applyBorder="1" applyAlignment="1" applyProtection="1">
      <alignment horizontal="center"/>
      <protection/>
    </xf>
    <xf numFmtId="164" fontId="0" fillId="0" borderId="20" xfId="56" applyNumberFormat="1" applyFont="1" applyFill="1" applyBorder="1" applyAlignment="1" applyProtection="1">
      <alignment horizontal="center"/>
      <protection/>
    </xf>
    <xf numFmtId="22" fontId="44" fillId="0" borderId="0" xfId="56" applyNumberFormat="1" applyFont="1" applyFill="1" applyBorder="1" applyProtection="1">
      <alignment/>
      <protection/>
    </xf>
    <xf numFmtId="0" fontId="21" fillId="0" borderId="11" xfId="56" applyFont="1" applyFill="1" applyBorder="1" applyProtection="1">
      <alignment/>
      <protection/>
    </xf>
    <xf numFmtId="0" fontId="42" fillId="34" borderId="20" xfId="56" applyFont="1" applyFill="1" applyBorder="1" applyAlignment="1" applyProtection="1">
      <alignment horizontal="center" vertical="center" wrapText="1"/>
      <protection/>
    </xf>
    <xf numFmtId="0" fontId="42" fillId="42" borderId="20" xfId="56" applyFont="1" applyFill="1" applyBorder="1" applyAlignment="1" applyProtection="1">
      <alignment horizontal="center" vertical="center" wrapText="1"/>
      <protection/>
    </xf>
    <xf numFmtId="0" fontId="60" fillId="40" borderId="15" xfId="56" applyFont="1" applyFill="1" applyBorder="1" applyAlignment="1" applyProtection="1">
      <alignment horizontal="centerContinuous" vertical="center"/>
      <protection/>
    </xf>
    <xf numFmtId="0" fontId="42" fillId="41" borderId="15" xfId="56" applyFont="1" applyFill="1" applyBorder="1" applyAlignment="1" applyProtection="1">
      <alignment horizontal="centerContinuous" vertical="center"/>
      <protection/>
    </xf>
    <xf numFmtId="0" fontId="60" fillId="35" borderId="20" xfId="56" applyFont="1" applyFill="1" applyBorder="1" applyAlignment="1" applyProtection="1">
      <alignment horizontal="centerContinuous" vertical="center" wrapText="1"/>
      <protection/>
    </xf>
    <xf numFmtId="0" fontId="42" fillId="34" borderId="20" xfId="56" applyFont="1" applyFill="1" applyBorder="1" applyAlignment="1" applyProtection="1">
      <alignment horizontal="centerContinuous" vertical="center" wrapText="1"/>
      <protection/>
    </xf>
    <xf numFmtId="0" fontId="21" fillId="0" borderId="10" xfId="56" applyFont="1" applyFill="1" applyBorder="1" applyProtection="1">
      <alignment/>
      <protection/>
    </xf>
    <xf numFmtId="0" fontId="21" fillId="0" borderId="0" xfId="56" applyFont="1" applyProtection="1">
      <alignment/>
      <protection/>
    </xf>
    <xf numFmtId="0" fontId="6" fillId="0" borderId="21" xfId="56" applyFont="1" applyFill="1" applyBorder="1" applyAlignment="1" applyProtection="1">
      <alignment horizontal="center"/>
      <protection/>
    </xf>
    <xf numFmtId="0" fontId="6" fillId="0" borderId="30" xfId="56" applyFont="1" applyFill="1" applyBorder="1" applyAlignment="1" applyProtection="1">
      <alignment horizontal="center"/>
      <protection/>
    </xf>
    <xf numFmtId="0" fontId="6" fillId="0" borderId="30" xfId="56" applyFont="1" applyFill="1" applyBorder="1" applyProtection="1">
      <alignment/>
      <protection/>
    </xf>
    <xf numFmtId="0" fontId="35" fillId="33" borderId="30" xfId="56" applyFont="1" applyFill="1" applyBorder="1" applyProtection="1">
      <alignment/>
      <protection/>
    </xf>
    <xf numFmtId="0" fontId="36" fillId="33" borderId="30" xfId="56" applyFont="1" applyFill="1" applyBorder="1" applyProtection="1">
      <alignment/>
      <protection/>
    </xf>
    <xf numFmtId="0" fontId="40" fillId="34" borderId="30" xfId="56" applyFont="1" applyFill="1" applyBorder="1" applyProtection="1">
      <alignment/>
      <protection/>
    </xf>
    <xf numFmtId="0" fontId="40" fillId="42" borderId="30" xfId="56" applyFont="1" applyFill="1" applyBorder="1" applyProtection="1">
      <alignment/>
      <protection/>
    </xf>
    <xf numFmtId="0" fontId="61" fillId="40" borderId="31" xfId="56" applyFont="1" applyFill="1" applyBorder="1" applyAlignment="1" applyProtection="1">
      <alignment horizontal="center"/>
      <protection/>
    </xf>
    <xf numFmtId="0" fontId="61" fillId="40" borderId="33" xfId="56" applyFont="1" applyFill="1" applyBorder="1" applyProtection="1">
      <alignment/>
      <protection/>
    </xf>
    <xf numFmtId="0" fontId="40" fillId="41" borderId="31" xfId="56" applyFont="1" applyFill="1" applyBorder="1" applyAlignment="1" applyProtection="1">
      <alignment horizontal="center"/>
      <protection/>
    </xf>
    <xf numFmtId="0" fontId="40" fillId="41" borderId="33" xfId="56" applyFont="1" applyFill="1" applyBorder="1" applyProtection="1">
      <alignment/>
      <protection/>
    </xf>
    <xf numFmtId="0" fontId="61" fillId="35" borderId="30" xfId="56" applyFont="1" applyFill="1" applyBorder="1" applyProtection="1">
      <alignment/>
      <protection/>
    </xf>
    <xf numFmtId="8" fontId="11" fillId="0" borderId="21" xfId="56" applyNumberFormat="1" applyFont="1" applyBorder="1" applyAlignment="1" applyProtection="1">
      <alignment/>
      <protection/>
    </xf>
    <xf numFmtId="0" fontId="6" fillId="0" borderId="21" xfId="56" applyFont="1" applyFill="1" applyBorder="1" applyProtection="1">
      <alignment/>
      <protection/>
    </xf>
    <xf numFmtId="0" fontId="35" fillId="33" borderId="21" xfId="56" applyFont="1" applyFill="1" applyBorder="1" applyProtection="1">
      <alignment/>
      <protection/>
    </xf>
    <xf numFmtId="0" fontId="36" fillId="33" borderId="21" xfId="56" applyFont="1" applyFill="1" applyBorder="1" applyProtection="1">
      <alignment/>
      <protection/>
    </xf>
    <xf numFmtId="0" fontId="40" fillId="34" borderId="21" xfId="56" applyFont="1" applyFill="1" applyBorder="1" applyProtection="1">
      <alignment/>
      <protection/>
    </xf>
    <xf numFmtId="0" fontId="40" fillId="42" borderId="21" xfId="56" applyFont="1" applyFill="1" applyBorder="1" applyProtection="1">
      <alignment/>
      <protection/>
    </xf>
    <xf numFmtId="0" fontId="61" fillId="40" borderId="22" xfId="56" applyFont="1" applyFill="1" applyBorder="1" applyAlignment="1" applyProtection="1">
      <alignment horizontal="center"/>
      <protection/>
    </xf>
    <xf numFmtId="0" fontId="61" fillId="40" borderId="24" xfId="56" applyFont="1" applyFill="1" applyBorder="1" applyProtection="1">
      <alignment/>
      <protection/>
    </xf>
    <xf numFmtId="0" fontId="40" fillId="41" borderId="22" xfId="56" applyFont="1" applyFill="1" applyBorder="1" applyAlignment="1" applyProtection="1">
      <alignment horizontal="center"/>
      <protection/>
    </xf>
    <xf numFmtId="0" fontId="40" fillId="41" borderId="24" xfId="56" applyFont="1" applyFill="1" applyBorder="1" applyProtection="1">
      <alignment/>
      <protection/>
    </xf>
    <xf numFmtId="0" fontId="61" fillId="35" borderId="21" xfId="56" applyFont="1" applyFill="1" applyBorder="1" applyProtection="1">
      <alignment/>
      <protection/>
    </xf>
    <xf numFmtId="0" fontId="11" fillId="0" borderId="21" xfId="56" applyFont="1" applyFill="1" applyBorder="1" applyProtection="1">
      <alignment/>
      <protection/>
    </xf>
    <xf numFmtId="168" fontId="62" fillId="33" borderId="21" xfId="56" applyNumberFormat="1" applyFont="1" applyFill="1" applyBorder="1" applyAlignment="1" applyProtection="1">
      <alignment horizontal="center"/>
      <protection/>
    </xf>
    <xf numFmtId="4" fontId="11" fillId="0" borderId="21" xfId="56" applyNumberFormat="1" applyFont="1" applyFill="1" applyBorder="1" applyAlignment="1" applyProtection="1">
      <alignment horizontal="right"/>
      <protection/>
    </xf>
    <xf numFmtId="0" fontId="6" fillId="0" borderId="25" xfId="56" applyFont="1" applyFill="1" applyBorder="1" applyProtection="1">
      <alignment/>
      <protection/>
    </xf>
    <xf numFmtId="0" fontId="35" fillId="33" borderId="25" xfId="56" applyFont="1" applyFill="1" applyBorder="1" applyProtection="1">
      <alignment/>
      <protection/>
    </xf>
    <xf numFmtId="7" fontId="11" fillId="0" borderId="38" xfId="56" applyNumberFormat="1" applyFont="1" applyFill="1" applyBorder="1" applyAlignment="1" applyProtection="1">
      <alignment horizontal="right"/>
      <protection/>
    </xf>
    <xf numFmtId="0" fontId="6" fillId="0" borderId="0" xfId="56" applyFont="1" applyFill="1" applyBorder="1" applyProtection="1">
      <alignment/>
      <protection/>
    </xf>
    <xf numFmtId="0" fontId="4" fillId="0" borderId="0" xfId="56" applyFont="1" applyFill="1" applyBorder="1" applyProtection="1">
      <alignment/>
      <protection/>
    </xf>
    <xf numFmtId="7" fontId="40" fillId="34" borderId="20" xfId="56" applyNumberFormat="1" applyFont="1" applyFill="1" applyBorder="1" applyAlignment="1" applyProtection="1">
      <alignment horizontal="center"/>
      <protection/>
    </xf>
    <xf numFmtId="7" fontId="40" fillId="42" borderId="20" xfId="56" applyNumberFormat="1" applyFont="1" applyFill="1" applyBorder="1" applyAlignment="1" applyProtection="1">
      <alignment horizontal="center"/>
      <protection/>
    </xf>
    <xf numFmtId="7" fontId="61" fillId="40" borderId="20" xfId="56" applyNumberFormat="1" applyFont="1" applyFill="1" applyBorder="1" applyAlignment="1" applyProtection="1">
      <alignment horizontal="center"/>
      <protection/>
    </xf>
    <xf numFmtId="7" fontId="40" fillId="41" borderId="20" xfId="56" applyNumberFormat="1" applyFont="1" applyFill="1" applyBorder="1" applyAlignment="1" applyProtection="1">
      <alignment horizontal="center"/>
      <protection/>
    </xf>
    <xf numFmtId="7" fontId="61" fillId="35" borderId="20" xfId="56" applyNumberFormat="1" applyFont="1" applyFill="1" applyBorder="1" applyAlignment="1" applyProtection="1">
      <alignment horizontal="center"/>
      <protection/>
    </xf>
    <xf numFmtId="0" fontId="6" fillId="0" borderId="39" xfId="56" applyFont="1" applyFill="1" applyBorder="1" applyProtection="1">
      <alignment/>
      <protection/>
    </xf>
    <xf numFmtId="7" fontId="55" fillId="0" borderId="20" xfId="56" applyNumberFormat="1" applyFont="1" applyFill="1" applyBorder="1" applyAlignment="1" applyProtection="1">
      <alignment horizontal="right"/>
      <protection/>
    </xf>
    <xf numFmtId="0" fontId="56" fillId="0" borderId="11" xfId="56" applyFont="1" applyFill="1" applyBorder="1" applyProtection="1">
      <alignment/>
      <protection/>
    </xf>
    <xf numFmtId="0" fontId="27" fillId="0" borderId="0" xfId="56" applyFont="1" applyFill="1" applyBorder="1" applyProtection="1">
      <alignment/>
      <protection/>
    </xf>
    <xf numFmtId="7" fontId="27" fillId="0" borderId="0" xfId="56" applyNumberFormat="1" applyFont="1" applyFill="1" applyBorder="1" applyAlignment="1" applyProtection="1">
      <alignment horizontal="center"/>
      <protection/>
    </xf>
    <xf numFmtId="7" fontId="57" fillId="0" borderId="0" xfId="56" applyNumberFormat="1" applyFont="1" applyFill="1" applyBorder="1" applyAlignment="1" applyProtection="1">
      <alignment horizontal="right"/>
      <protection/>
    </xf>
    <xf numFmtId="0" fontId="63" fillId="0" borderId="10" xfId="56" applyFont="1" applyFill="1" applyBorder="1" applyProtection="1">
      <alignment/>
      <protection/>
    </xf>
    <xf numFmtId="0" fontId="0" fillId="0" borderId="16" xfId="56" applyFill="1" applyBorder="1" applyProtection="1">
      <alignment/>
      <protection/>
    </xf>
    <xf numFmtId="0" fontId="0" fillId="0" borderId="17" xfId="56" applyFill="1" applyBorder="1" applyProtection="1">
      <alignment/>
      <protection/>
    </xf>
    <xf numFmtId="0" fontId="44" fillId="0" borderId="18" xfId="56" applyFont="1" applyFill="1" applyBorder="1" applyProtection="1">
      <alignment/>
      <protection/>
    </xf>
    <xf numFmtId="0" fontId="0" fillId="0" borderId="0" xfId="56" applyFont="1" applyProtection="1">
      <alignment/>
      <protection/>
    </xf>
    <xf numFmtId="0" fontId="20" fillId="0" borderId="0" xfId="56" applyFont="1" applyAlignment="1" applyProtection="1">
      <alignment horizontal="centerContinuous"/>
      <protection/>
    </xf>
    <xf numFmtId="0" fontId="44" fillId="0" borderId="0" xfId="56" applyFont="1" applyProtection="1">
      <alignment/>
      <protection/>
    </xf>
    <xf numFmtId="0" fontId="0" fillId="0" borderId="19" xfId="56" applyFont="1" applyBorder="1" applyProtection="1">
      <alignment/>
      <protection/>
    </xf>
    <xf numFmtId="0" fontId="0" fillId="0" borderId="12" xfId="56" applyFont="1" applyBorder="1" applyProtection="1">
      <alignment/>
      <protection/>
    </xf>
    <xf numFmtId="0" fontId="44" fillId="0" borderId="12" xfId="56" applyFont="1" applyBorder="1" applyProtection="1">
      <alignment/>
      <protection/>
    </xf>
    <xf numFmtId="0" fontId="44" fillId="0" borderId="13" xfId="56" applyFont="1" applyBorder="1" applyProtection="1">
      <alignment/>
      <protection/>
    </xf>
    <xf numFmtId="0" fontId="0" fillId="0" borderId="11" xfId="56" applyFont="1" applyBorder="1" applyProtection="1">
      <alignment/>
      <protection/>
    </xf>
    <xf numFmtId="0" fontId="0" fillId="0" borderId="0" xfId="56" applyFont="1" applyBorder="1" applyProtection="1">
      <alignment/>
      <protection/>
    </xf>
    <xf numFmtId="0" fontId="6" fillId="0" borderId="0" xfId="56" applyFont="1" applyBorder="1" applyProtection="1">
      <alignment/>
      <protection/>
    </xf>
    <xf numFmtId="0" fontId="64" fillId="0" borderId="0" xfId="56" applyFont="1" applyBorder="1" applyProtection="1">
      <alignment/>
      <protection/>
    </xf>
    <xf numFmtId="0" fontId="44" fillId="0" borderId="10" xfId="56" applyFont="1" applyBorder="1" applyProtection="1">
      <alignment/>
      <protection/>
    </xf>
    <xf numFmtId="0" fontId="5" fillId="0" borderId="0" xfId="56" applyFont="1" applyBorder="1" applyProtection="1">
      <alignment/>
      <protection/>
    </xf>
    <xf numFmtId="0" fontId="0" fillId="0" borderId="20" xfId="56" applyFont="1" applyBorder="1" applyAlignment="1" applyProtection="1">
      <alignment horizontal="center"/>
      <protection/>
    </xf>
    <xf numFmtId="22" fontId="44" fillId="0" borderId="0" xfId="56" applyNumberFormat="1" applyFont="1" applyBorder="1" applyProtection="1">
      <alignment/>
      <protection/>
    </xf>
    <xf numFmtId="0" fontId="0" fillId="0" borderId="14" xfId="56" applyFont="1" applyBorder="1" applyProtection="1">
      <alignment/>
      <protection/>
    </xf>
    <xf numFmtId="0" fontId="44" fillId="0" borderId="25" xfId="56" applyFont="1" applyBorder="1" applyAlignment="1" applyProtection="1">
      <alignment horizontal="center"/>
      <protection/>
    </xf>
    <xf numFmtId="170" fontId="44" fillId="0" borderId="0" xfId="56" applyNumberFormat="1" applyFont="1" applyBorder="1" applyProtection="1">
      <alignment/>
      <protection/>
    </xf>
    <xf numFmtId="0" fontId="44" fillId="0" borderId="0" xfId="56" applyFont="1" applyBorder="1" applyAlignment="1" applyProtection="1" quotePrefix="1">
      <alignment horizontal="center"/>
      <protection/>
    </xf>
    <xf numFmtId="0" fontId="44" fillId="0" borderId="0" xfId="56" applyFont="1" applyBorder="1" applyAlignment="1" applyProtection="1">
      <alignment horizontal="center"/>
      <protection/>
    </xf>
    <xf numFmtId="1" fontId="44" fillId="0" borderId="25" xfId="56" applyNumberFormat="1" applyFont="1" applyBorder="1" applyAlignment="1" applyProtection="1">
      <alignment horizontal="center"/>
      <protection/>
    </xf>
    <xf numFmtId="0" fontId="21" fillId="0" borderId="11" xfId="56" applyFont="1" applyBorder="1" applyProtection="1">
      <alignment/>
      <protection/>
    </xf>
    <xf numFmtId="0" fontId="42" fillId="44" borderId="20" xfId="56" applyFont="1" applyFill="1" applyBorder="1" applyAlignment="1" applyProtection="1">
      <alignment horizontal="center" vertical="center" wrapText="1"/>
      <protection/>
    </xf>
    <xf numFmtId="0" fontId="38" fillId="40" borderId="28" xfId="56" applyFont="1" applyFill="1" applyBorder="1" applyAlignment="1" applyProtection="1">
      <alignment horizontal="centerContinuous" vertical="center"/>
      <protection/>
    </xf>
    <xf numFmtId="0" fontId="66" fillId="45" borderId="20" xfId="56" applyFont="1" applyFill="1" applyBorder="1" applyAlignment="1" applyProtection="1">
      <alignment horizontal="centerContinuous" vertical="center" wrapText="1"/>
      <protection/>
    </xf>
    <xf numFmtId="164" fontId="6" fillId="0" borderId="30" xfId="56" applyNumberFormat="1" applyFont="1" applyFill="1" applyBorder="1" applyAlignment="1" applyProtection="1">
      <alignment horizontal="center"/>
      <protection/>
    </xf>
    <xf numFmtId="0" fontId="62" fillId="33" borderId="30" xfId="56" applyFont="1" applyFill="1" applyBorder="1" applyAlignment="1" applyProtection="1">
      <alignment horizontal="center"/>
      <protection/>
    </xf>
    <xf numFmtId="0" fontId="67" fillId="43" borderId="30" xfId="56" applyFont="1" applyFill="1" applyBorder="1" applyAlignment="1" applyProtection="1">
      <alignment horizontal="center"/>
      <protection/>
    </xf>
    <xf numFmtId="0" fontId="40" fillId="44" borderId="30" xfId="56" applyFont="1" applyFill="1" applyBorder="1" applyAlignment="1" applyProtection="1">
      <alignment horizontal="center"/>
      <protection/>
    </xf>
    <xf numFmtId="0" fontId="37" fillId="40" borderId="31" xfId="56" applyFont="1" applyFill="1" applyBorder="1" applyAlignment="1" applyProtection="1">
      <alignment horizontal="center"/>
      <protection/>
    </xf>
    <xf numFmtId="0" fontId="37" fillId="40" borderId="33" xfId="56" applyFont="1" applyFill="1" applyBorder="1" applyAlignment="1" applyProtection="1">
      <alignment horizontal="left"/>
      <protection/>
    </xf>
    <xf numFmtId="0" fontId="68" fillId="45" borderId="30" xfId="56" applyFont="1" applyFill="1" applyBorder="1" applyAlignment="1" applyProtection="1">
      <alignment horizontal="left"/>
      <protection/>
    </xf>
    <xf numFmtId="0" fontId="6" fillId="0" borderId="30" xfId="56" applyFont="1" applyFill="1" applyBorder="1" applyAlignment="1" applyProtection="1">
      <alignment horizontal="left"/>
      <protection/>
    </xf>
    <xf numFmtId="164" fontId="6" fillId="0" borderId="21" xfId="56" applyNumberFormat="1" applyFont="1" applyFill="1" applyBorder="1" applyAlignment="1" applyProtection="1">
      <alignment horizontal="center"/>
      <protection/>
    </xf>
    <xf numFmtId="0" fontId="62" fillId="33" borderId="21" xfId="56" applyFont="1" applyFill="1" applyBorder="1" applyAlignment="1" applyProtection="1">
      <alignment horizontal="center"/>
      <protection/>
    </xf>
    <xf numFmtId="0" fontId="67" fillId="43" borderId="21" xfId="56" applyFont="1" applyFill="1" applyBorder="1" applyAlignment="1" applyProtection="1">
      <alignment horizontal="center"/>
      <protection/>
    </xf>
    <xf numFmtId="0" fontId="40" fillId="44" borderId="21" xfId="56" applyFont="1" applyFill="1" applyBorder="1" applyAlignment="1" applyProtection="1">
      <alignment horizontal="center"/>
      <protection/>
    </xf>
    <xf numFmtId="0" fontId="37" fillId="40" borderId="22" xfId="56" applyFont="1" applyFill="1" applyBorder="1" applyAlignment="1" applyProtection="1">
      <alignment horizontal="center"/>
      <protection/>
    </xf>
    <xf numFmtId="0" fontId="37" fillId="40" borderId="24" xfId="56" applyFont="1" applyFill="1" applyBorder="1" applyAlignment="1" applyProtection="1">
      <alignment horizontal="left"/>
      <protection/>
    </xf>
    <xf numFmtId="0" fontId="68" fillId="45" borderId="21" xfId="56" applyFont="1" applyFill="1" applyBorder="1" applyAlignment="1" applyProtection="1">
      <alignment horizontal="left"/>
      <protection/>
    </xf>
    <xf numFmtId="0" fontId="6" fillId="0" borderId="21" xfId="56" applyFont="1" applyFill="1" applyBorder="1" applyAlignment="1" applyProtection="1">
      <alignment horizontal="left"/>
      <protection/>
    </xf>
    <xf numFmtId="4" fontId="11" fillId="0" borderId="21" xfId="56" applyNumberFormat="1" applyFont="1" applyFill="1" applyBorder="1" applyAlignment="1" applyProtection="1">
      <alignment/>
      <protection/>
    </xf>
    <xf numFmtId="170" fontId="62" fillId="33" borderId="21" xfId="56" applyNumberFormat="1" applyFont="1" applyFill="1" applyBorder="1" applyAlignment="1" applyProtection="1">
      <alignment horizontal="center"/>
      <protection/>
    </xf>
    <xf numFmtId="0" fontId="62" fillId="33" borderId="25" xfId="56" applyFont="1" applyFill="1" applyBorder="1" applyProtection="1">
      <alignment/>
      <protection/>
    </xf>
    <xf numFmtId="7" fontId="6" fillId="0" borderId="38" xfId="56" applyNumberFormat="1" applyFont="1" applyFill="1" applyBorder="1" applyAlignment="1" applyProtection="1">
      <alignment horizontal="right"/>
      <protection/>
    </xf>
    <xf numFmtId="2" fontId="40" fillId="46" borderId="20" xfId="56" applyNumberFormat="1" applyFont="1" applyFill="1" applyBorder="1" applyAlignment="1" applyProtection="1">
      <alignment horizontal="center"/>
      <protection/>
    </xf>
    <xf numFmtId="2" fontId="37" fillId="40" borderId="20" xfId="56" applyNumberFormat="1" applyFont="1" applyFill="1" applyBorder="1" applyAlignment="1" applyProtection="1">
      <alignment horizontal="center"/>
      <protection/>
    </xf>
    <xf numFmtId="2" fontId="68" fillId="45" borderId="20" xfId="56" applyNumberFormat="1" applyFont="1" applyFill="1" applyBorder="1" applyAlignment="1" applyProtection="1">
      <alignment horizontal="center"/>
      <protection/>
    </xf>
    <xf numFmtId="7" fontId="6" fillId="0" borderId="0" xfId="56" applyNumberFormat="1" applyFont="1" applyFill="1" applyBorder="1" applyAlignment="1" applyProtection="1">
      <alignment horizontal="center"/>
      <protection/>
    </xf>
    <xf numFmtId="0" fontId="44" fillId="0" borderId="16" xfId="56" applyFont="1" applyFill="1" applyBorder="1" applyProtection="1">
      <alignment/>
      <protection/>
    </xf>
    <xf numFmtId="0" fontId="6" fillId="0" borderId="17" xfId="56" applyFont="1" applyFill="1" applyBorder="1" applyProtection="1">
      <alignment/>
      <protection/>
    </xf>
    <xf numFmtId="4" fontId="6" fillId="36" borderId="21" xfId="56" applyNumberFormat="1" applyFont="1" applyFill="1" applyBorder="1" applyAlignment="1" applyProtection="1">
      <alignment horizontal="center"/>
      <protection locked="0"/>
    </xf>
    <xf numFmtId="168" fontId="10" fillId="36" borderId="21" xfId="56" applyNumberFormat="1" applyFont="1" applyFill="1" applyBorder="1" applyAlignment="1" applyProtection="1">
      <alignment horizontal="center"/>
      <protection locked="0"/>
    </xf>
    <xf numFmtId="168" fontId="6" fillId="36" borderId="21" xfId="56" applyNumberFormat="1" applyFont="1" applyFill="1" applyBorder="1" applyAlignment="1" applyProtection="1">
      <alignment horizontal="center"/>
      <protection locked="0"/>
    </xf>
    <xf numFmtId="172" fontId="0" fillId="0" borderId="14" xfId="0" applyNumberFormat="1" applyFont="1" applyBorder="1" applyAlignment="1">
      <alignment horizontal="centerContinuous" vertical="center"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56" applyBorder="1" applyAlignment="1" applyProtection="1">
      <alignment horizontal="centerContinuous" vertical="center"/>
      <protection/>
    </xf>
    <xf numFmtId="0" fontId="6" fillId="0" borderId="21" xfId="56" applyFont="1" applyBorder="1" applyAlignment="1" applyProtection="1">
      <alignment horizontal="center"/>
      <protection locked="0"/>
    </xf>
    <xf numFmtId="0" fontId="6" fillId="0" borderId="21" xfId="57" applyFont="1" applyBorder="1" applyAlignment="1" applyProtection="1">
      <alignment horizontal="center"/>
      <protection locked="0"/>
    </xf>
    <xf numFmtId="0" fontId="6" fillId="0" borderId="21" xfId="57" applyBorder="1" applyAlignment="1" applyProtection="1">
      <alignment horizontal="center"/>
      <protection locked="0"/>
    </xf>
    <xf numFmtId="0" fontId="6" fillId="0" borderId="25" xfId="56" applyFont="1" applyBorder="1" applyAlignment="1" applyProtection="1">
      <alignment horizontal="center"/>
      <protection locked="0"/>
    </xf>
    <xf numFmtId="0" fontId="6" fillId="0" borderId="40" xfId="56" applyFont="1" applyBorder="1" applyAlignment="1" applyProtection="1">
      <alignment horizontal="center"/>
      <protection locked="0"/>
    </xf>
    <xf numFmtId="169" fontId="6" fillId="0" borderId="40" xfId="56" applyNumberFormat="1" applyFont="1" applyBorder="1" applyAlignment="1" applyProtection="1">
      <alignment horizontal="center"/>
      <protection locked="0"/>
    </xf>
    <xf numFmtId="2" fontId="6" fillId="0" borderId="40" xfId="56" applyNumberFormat="1" applyFont="1" applyBorder="1" applyAlignment="1" applyProtection="1">
      <alignment horizontal="center"/>
      <protection locked="0"/>
    </xf>
    <xf numFmtId="169" fontId="6" fillId="0" borderId="21" xfId="57" applyNumberFormat="1" applyBorder="1" applyAlignment="1" applyProtection="1">
      <alignment horizontal="center"/>
      <protection locked="0"/>
    </xf>
    <xf numFmtId="168" fontId="54" fillId="0" borderId="25" xfId="56" applyNumberFormat="1" applyFont="1" applyBorder="1" applyAlignment="1" applyProtection="1">
      <alignment horizontal="center"/>
      <protection locked="0"/>
    </xf>
    <xf numFmtId="168" fontId="6" fillId="0" borderId="25" xfId="56" applyNumberFormat="1" applyFont="1" applyBorder="1" applyAlignment="1" applyProtection="1">
      <alignment horizontal="center"/>
      <protection locked="0"/>
    </xf>
    <xf numFmtId="22" fontId="6" fillId="0" borderId="25" xfId="56" applyNumberFormat="1" applyFont="1" applyBorder="1" applyAlignment="1" applyProtection="1">
      <alignment horizontal="center"/>
      <protection locked="0"/>
    </xf>
    <xf numFmtId="168" fontId="36" fillId="36" borderId="25" xfId="56" applyNumberFormat="1" applyFont="1" applyFill="1" applyBorder="1" applyAlignment="1" applyProtection="1" quotePrefix="1">
      <alignment horizontal="center"/>
      <protection locked="0"/>
    </xf>
    <xf numFmtId="168" fontId="40" fillId="37" borderId="25" xfId="56" applyNumberFormat="1" applyFont="1" applyFill="1" applyBorder="1" applyAlignment="1" applyProtection="1" quotePrefix="1">
      <alignment horizontal="center"/>
      <protection locked="0"/>
    </xf>
    <xf numFmtId="168" fontId="37" fillId="34" borderId="41" xfId="56" applyNumberFormat="1" applyFont="1" applyFill="1" applyBorder="1" applyAlignment="1" applyProtection="1" quotePrefix="1">
      <alignment horizontal="center"/>
      <protection locked="0"/>
    </xf>
    <xf numFmtId="4" fontId="37" fillId="34" borderId="42" xfId="56" applyNumberFormat="1" applyFont="1" applyFill="1" applyBorder="1" applyAlignment="1" applyProtection="1">
      <alignment horizontal="center"/>
      <protection locked="0"/>
    </xf>
    <xf numFmtId="4" fontId="37" fillId="34" borderId="43" xfId="56" applyNumberFormat="1" applyFont="1" applyFill="1" applyBorder="1" applyAlignment="1" applyProtection="1">
      <alignment horizontal="center"/>
      <protection locked="0"/>
    </xf>
    <xf numFmtId="168" fontId="53" fillId="35" borderId="41" xfId="56" applyNumberFormat="1" applyFont="1" applyFill="1" applyBorder="1" applyAlignment="1" applyProtection="1" quotePrefix="1">
      <alignment horizontal="center"/>
      <protection locked="0"/>
    </xf>
    <xf numFmtId="4" fontId="53" fillId="35" borderId="42" xfId="56" applyNumberFormat="1" applyFont="1" applyFill="1" applyBorder="1" applyAlignment="1" applyProtection="1">
      <alignment horizontal="center"/>
      <protection locked="0"/>
    </xf>
    <xf numFmtId="4" fontId="53" fillId="35" borderId="43" xfId="56" applyNumberFormat="1" applyFont="1" applyFill="1" applyBorder="1" applyAlignment="1" applyProtection="1">
      <alignment horizontal="center"/>
      <protection locked="0"/>
    </xf>
    <xf numFmtId="4" fontId="40" fillId="38" borderId="25" xfId="56" applyNumberFormat="1" applyFont="1" applyFill="1" applyBorder="1" applyAlignment="1" applyProtection="1">
      <alignment horizontal="center"/>
      <protection locked="0"/>
    </xf>
    <xf numFmtId="4" fontId="40" fillId="39" borderId="25" xfId="56" applyNumberFormat="1" applyFont="1" applyFill="1" applyBorder="1" applyAlignment="1" applyProtection="1">
      <alignment horizontal="center"/>
      <protection locked="0"/>
    </xf>
    <xf numFmtId="4" fontId="6" fillId="0" borderId="25" xfId="56" applyNumberFormat="1" applyFont="1" applyBorder="1" applyAlignment="1" applyProtection="1">
      <alignment horizontal="center"/>
      <protection locked="0"/>
    </xf>
    <xf numFmtId="0" fontId="6" fillId="0" borderId="21" xfId="56" applyFont="1" applyFill="1" applyBorder="1" applyAlignment="1" applyProtection="1">
      <alignment horizontal="center"/>
      <protection locked="0"/>
    </xf>
    <xf numFmtId="0" fontId="6" fillId="0" borderId="34" xfId="56" applyFont="1" applyBorder="1" applyAlignment="1" applyProtection="1">
      <alignment horizontal="center"/>
      <protection locked="0"/>
    </xf>
    <xf numFmtId="165" fontId="6" fillId="0" borderId="34" xfId="56" applyNumberFormat="1" applyFont="1" applyBorder="1" applyAlignment="1" applyProtection="1" quotePrefix="1">
      <alignment horizontal="center"/>
      <protection locked="0"/>
    </xf>
    <xf numFmtId="2" fontId="6" fillId="0" borderId="34" xfId="56" applyNumberFormat="1" applyFont="1" applyBorder="1" applyAlignment="1" applyProtection="1" quotePrefix="1">
      <alignment horizontal="center"/>
      <protection locked="0"/>
    </xf>
    <xf numFmtId="0" fontId="6" fillId="0" borderId="25" xfId="56" applyFont="1" applyFill="1" applyBorder="1" applyProtection="1">
      <alignment/>
      <protection locked="0"/>
    </xf>
    <xf numFmtId="0" fontId="36" fillId="33" borderId="25" xfId="56" applyFont="1" applyFill="1" applyBorder="1" applyProtection="1">
      <alignment/>
      <protection locked="0"/>
    </xf>
    <xf numFmtId="0" fontId="40" fillId="34" borderId="25" xfId="56" applyFont="1" applyFill="1" applyBorder="1" applyProtection="1">
      <alignment/>
      <protection locked="0"/>
    </xf>
    <xf numFmtId="0" fontId="40" fillId="42" borderId="25" xfId="56" applyFont="1" applyFill="1" applyBorder="1" applyProtection="1">
      <alignment/>
      <protection locked="0"/>
    </xf>
    <xf numFmtId="0" fontId="61" fillId="40" borderId="41" xfId="56" applyFont="1" applyFill="1" applyBorder="1" applyProtection="1">
      <alignment/>
      <protection locked="0"/>
    </xf>
    <xf numFmtId="0" fontId="61" fillId="40" borderId="43" xfId="56" applyFont="1" applyFill="1" applyBorder="1" applyProtection="1">
      <alignment/>
      <protection locked="0"/>
    </xf>
    <xf numFmtId="0" fontId="40" fillId="41" borderId="41" xfId="56" applyFont="1" applyFill="1" applyBorder="1" applyProtection="1">
      <alignment/>
      <protection locked="0"/>
    </xf>
    <xf numFmtId="0" fontId="40" fillId="41" borderId="43" xfId="56" applyFont="1" applyFill="1" applyBorder="1" applyProtection="1">
      <alignment/>
      <protection locked="0"/>
    </xf>
    <xf numFmtId="0" fontId="61" fillId="35" borderId="25" xfId="56" applyFont="1" applyFill="1" applyBorder="1" applyProtection="1">
      <alignment/>
      <protection locked="0"/>
    </xf>
    <xf numFmtId="0" fontId="45" fillId="0" borderId="21" xfId="56" applyFont="1" applyFill="1" applyBorder="1" applyAlignment="1" applyProtection="1">
      <alignment horizontal="center"/>
      <protection locked="0"/>
    </xf>
    <xf numFmtId="171" fontId="10" fillId="0" borderId="21" xfId="56" applyNumberFormat="1" applyFont="1" applyFill="1" applyBorder="1" applyAlignment="1" applyProtection="1">
      <alignment horizontal="center"/>
      <protection locked="0"/>
    </xf>
    <xf numFmtId="0" fontId="67" fillId="43" borderId="25" xfId="56" applyFont="1" applyFill="1" applyBorder="1" applyProtection="1">
      <alignment/>
      <protection locked="0"/>
    </xf>
    <xf numFmtId="0" fontId="40" fillId="44" borderId="25" xfId="56" applyFont="1" applyFill="1" applyBorder="1" applyProtection="1">
      <alignment/>
      <protection locked="0"/>
    </xf>
    <xf numFmtId="0" fontId="37" fillId="40" borderId="41" xfId="56" applyFont="1" applyFill="1" applyBorder="1" applyProtection="1">
      <alignment/>
      <protection locked="0"/>
    </xf>
    <xf numFmtId="0" fontId="37" fillId="40" borderId="43" xfId="56" applyFont="1" applyFill="1" applyBorder="1" applyProtection="1">
      <alignment/>
      <protection locked="0"/>
    </xf>
    <xf numFmtId="0" fontId="68" fillId="45" borderId="25" xfId="56" applyFont="1" applyFill="1" applyBorder="1" applyProtection="1">
      <alignment/>
      <protection locked="0"/>
    </xf>
    <xf numFmtId="0" fontId="7" fillId="0" borderId="0" xfId="0" applyFont="1" applyBorder="1" applyAlignment="1">
      <alignment horizontal="center"/>
    </xf>
    <xf numFmtId="7" fontId="7" fillId="0" borderId="0" xfId="0" applyNumberFormat="1" applyFont="1" applyBorder="1" applyAlignment="1">
      <alignment horizontal="center"/>
    </xf>
    <xf numFmtId="0" fontId="69" fillId="0" borderId="0" xfId="0" applyNumberFormat="1" applyFont="1" applyBorder="1" applyAlignment="1">
      <alignment horizontal="left"/>
    </xf>
    <xf numFmtId="49" fontId="6" fillId="0" borderId="30" xfId="60" applyNumberFormat="1" applyFont="1" applyFill="1" applyBorder="1" applyAlignment="1" applyProtection="1">
      <alignment horizontal="center"/>
      <protection locked="0"/>
    </xf>
    <xf numFmtId="49" fontId="6" fillId="0" borderId="30" xfId="60" applyNumberFormat="1" applyFont="1" applyFill="1" applyBorder="1" applyProtection="1">
      <alignment/>
      <protection locked="0"/>
    </xf>
    <xf numFmtId="49" fontId="6" fillId="0" borderId="21" xfId="60" applyNumberFormat="1" applyFont="1" applyFill="1" applyBorder="1" applyAlignment="1" applyProtection="1">
      <alignment horizontal="center"/>
      <protection locked="0"/>
    </xf>
    <xf numFmtId="49" fontId="6" fillId="0" borderId="21" xfId="60" applyNumberFormat="1" applyFont="1" applyFill="1" applyBorder="1" applyProtection="1">
      <alignment/>
      <protection locked="0"/>
    </xf>
    <xf numFmtId="49" fontId="6" fillId="0" borderId="25" xfId="60" applyNumberFormat="1" applyFont="1" applyFill="1" applyBorder="1" applyProtection="1">
      <alignment/>
      <protection locked="0"/>
    </xf>
    <xf numFmtId="0" fontId="21" fillId="0" borderId="20" xfId="0" applyFont="1" applyBorder="1" applyAlignment="1">
      <alignment horizontal="center" vertical="center"/>
    </xf>
    <xf numFmtId="0" fontId="0" fillId="33" borderId="36" xfId="61" applyFont="1" applyFill="1" applyBorder="1">
      <alignment/>
      <protection/>
    </xf>
    <xf numFmtId="0" fontId="0" fillId="0" borderId="0" xfId="61" applyFont="1">
      <alignment/>
      <protection/>
    </xf>
    <xf numFmtId="0" fontId="0" fillId="0" borderId="36" xfId="61" applyFont="1" applyBorder="1">
      <alignment/>
      <protection/>
    </xf>
    <xf numFmtId="0" fontId="0" fillId="0" borderId="36" xfId="61" applyFont="1" applyBorder="1" quotePrefix="1">
      <alignment/>
      <protection/>
    </xf>
    <xf numFmtId="0" fontId="72" fillId="33" borderId="36" xfId="61" applyFont="1" applyFill="1" applyBorder="1" applyAlignment="1">
      <alignment horizontal="center"/>
      <protection/>
    </xf>
    <xf numFmtId="0" fontId="0" fillId="47" borderId="0" xfId="61" applyFont="1" applyFill="1">
      <alignment/>
      <protection/>
    </xf>
    <xf numFmtId="0" fontId="0" fillId="47" borderId="0" xfId="61" applyNumberFormat="1" applyFont="1" applyFill="1">
      <alignment/>
      <protection/>
    </xf>
    <xf numFmtId="0" fontId="72" fillId="0" borderId="36" xfId="61" applyFont="1" applyFill="1" applyBorder="1" applyAlignment="1">
      <alignment horizontal="center"/>
      <protection/>
    </xf>
    <xf numFmtId="0" fontId="0" fillId="47" borderId="0" xfId="55" applyFont="1" applyFill="1" applyAlignment="1">
      <alignment/>
      <protection/>
    </xf>
    <xf numFmtId="0" fontId="0" fillId="0" borderId="0" xfId="61" applyFont="1" applyFill="1">
      <alignment/>
      <protection/>
    </xf>
    <xf numFmtId="0" fontId="39" fillId="0" borderId="36" xfId="61" applyFont="1" applyBorder="1">
      <alignment/>
      <protection/>
    </xf>
    <xf numFmtId="0" fontId="39" fillId="0" borderId="36" xfId="61" applyFont="1" applyFill="1" applyBorder="1">
      <alignment/>
      <protection/>
    </xf>
    <xf numFmtId="0" fontId="39" fillId="0" borderId="23" xfId="61" applyFont="1" applyBorder="1">
      <alignment/>
      <protection/>
    </xf>
    <xf numFmtId="0" fontId="73" fillId="0" borderId="36" xfId="61" applyFont="1" applyFill="1" applyBorder="1">
      <alignment/>
      <protection/>
    </xf>
    <xf numFmtId="0" fontId="39" fillId="0" borderId="36" xfId="0" applyFont="1" applyBorder="1" applyAlignment="1">
      <alignment/>
    </xf>
    <xf numFmtId="0" fontId="0" fillId="33" borderId="44" xfId="0" applyFill="1" applyBorder="1" applyAlignment="1">
      <alignment/>
    </xf>
    <xf numFmtId="0" fontId="0" fillId="33" borderId="45" xfId="61" applyFont="1" applyFill="1" applyBorder="1">
      <alignment/>
      <protection/>
    </xf>
    <xf numFmtId="0" fontId="0" fillId="0" borderId="44" xfId="0" applyFont="1" applyBorder="1" applyAlignment="1">
      <alignment/>
    </xf>
    <xf numFmtId="0" fontId="0" fillId="0" borderId="45" xfId="61" applyFont="1" applyBorder="1">
      <alignment/>
      <protection/>
    </xf>
    <xf numFmtId="0" fontId="0" fillId="47" borderId="0" xfId="0" applyFont="1" applyFill="1" applyAlignment="1">
      <alignment/>
    </xf>
    <xf numFmtId="0" fontId="73" fillId="0" borderId="36" xfId="0" applyFont="1" applyFill="1" applyBorder="1" applyAlignment="1">
      <alignment/>
    </xf>
    <xf numFmtId="0" fontId="73" fillId="0" borderId="23" xfId="0" applyFont="1" applyFill="1" applyBorder="1" applyAlignment="1">
      <alignment/>
    </xf>
    <xf numFmtId="0" fontId="39" fillId="0" borderId="36" xfId="0" applyFont="1" applyFill="1" applyBorder="1" applyAlignment="1">
      <alignment/>
    </xf>
    <xf numFmtId="0" fontId="74" fillId="0" borderId="0" xfId="56" applyFont="1" applyBorder="1" applyProtection="1">
      <alignment/>
      <protection/>
    </xf>
    <xf numFmtId="0" fontId="74" fillId="0" borderId="0" xfId="56" applyFont="1" applyFill="1" applyBorder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61" applyFont="1" applyBorder="1">
      <alignment/>
      <protection/>
    </xf>
    <xf numFmtId="22" fontId="6" fillId="0" borderId="21" xfId="60" applyNumberFormat="1" applyFont="1" applyFill="1" applyBorder="1" applyAlignment="1" applyProtection="1">
      <alignment horizontal="center"/>
      <protection locked="0"/>
    </xf>
    <xf numFmtId="0" fontId="6" fillId="0" borderId="34" xfId="56" applyNumberFormat="1" applyFont="1" applyBorder="1" applyAlignment="1" applyProtection="1">
      <alignment horizontal="center"/>
      <protection locked="0"/>
    </xf>
    <xf numFmtId="0" fontId="75" fillId="0" borderId="0" xfId="56" applyFont="1" applyBorder="1" applyAlignment="1" applyProtection="1">
      <alignment horizontal="left"/>
      <protection/>
    </xf>
    <xf numFmtId="0" fontId="44" fillId="0" borderId="0" xfId="59">
      <alignment/>
      <protection/>
    </xf>
    <xf numFmtId="0" fontId="43" fillId="0" borderId="0" xfId="59" applyFont="1" applyAlignment="1">
      <alignment horizontal="right" vertical="top"/>
      <protection/>
    </xf>
    <xf numFmtId="0" fontId="15" fillId="0" borderId="0" xfId="59" applyFont="1">
      <alignment/>
      <protection/>
    </xf>
    <xf numFmtId="0" fontId="16" fillId="0" borderId="0" xfId="59" applyFont="1" applyAlignment="1">
      <alignment horizontal="centerContinuous"/>
      <protection/>
    </xf>
    <xf numFmtId="0" fontId="20" fillId="0" borderId="0" xfId="59" applyFont="1">
      <alignment/>
      <protection/>
    </xf>
    <xf numFmtId="0" fontId="19" fillId="0" borderId="0" xfId="59" applyFont="1" applyFill="1" applyBorder="1" applyAlignment="1" applyProtection="1">
      <alignment horizontal="centerContinuous"/>
      <protection/>
    </xf>
    <xf numFmtId="0" fontId="4" fillId="0" borderId="0" xfId="59" applyFont="1" applyFill="1" applyBorder="1" applyAlignment="1" applyProtection="1">
      <alignment horizontal="centerContinuous"/>
      <protection/>
    </xf>
    <xf numFmtId="0" fontId="12" fillId="0" borderId="0" xfId="59" applyFont="1" applyBorder="1" applyAlignment="1">
      <alignment horizontal="centerContinuous"/>
      <protection/>
    </xf>
    <xf numFmtId="0" fontId="44" fillId="0" borderId="0" xfId="59" applyAlignment="1">
      <alignment horizontal="centerContinuous"/>
      <protection/>
    </xf>
    <xf numFmtId="0" fontId="33" fillId="0" borderId="0" xfId="59" applyFont="1" applyBorder="1" applyAlignment="1">
      <alignment horizontal="centerContinuous"/>
      <protection/>
    </xf>
    <xf numFmtId="0" fontId="12" fillId="0" borderId="0" xfId="59" applyFont="1" applyAlignment="1">
      <alignment horizontal="centerContinuous"/>
      <protection/>
    </xf>
    <xf numFmtId="0" fontId="76" fillId="0" borderId="0" xfId="59" applyFont="1" applyAlignment="1">
      <alignment horizontal="centerContinuous"/>
      <protection/>
    </xf>
    <xf numFmtId="0" fontId="44" fillId="0" borderId="19" xfId="59" applyBorder="1">
      <alignment/>
      <protection/>
    </xf>
    <xf numFmtId="0" fontId="44" fillId="0" borderId="12" xfId="59" applyBorder="1">
      <alignment/>
      <protection/>
    </xf>
    <xf numFmtId="0" fontId="44" fillId="0" borderId="13" xfId="59" applyBorder="1">
      <alignment/>
      <protection/>
    </xf>
    <xf numFmtId="0" fontId="9" fillId="0" borderId="11" xfId="59" applyFont="1" applyBorder="1" applyAlignment="1">
      <alignment horizontal="centerContinuous"/>
      <protection/>
    </xf>
    <xf numFmtId="0" fontId="44" fillId="0" borderId="0" xfId="59" applyBorder="1" applyAlignment="1">
      <alignment horizontal="centerContinuous"/>
      <protection/>
    </xf>
    <xf numFmtId="0" fontId="44" fillId="0" borderId="10" xfId="59" applyBorder="1" applyAlignment="1">
      <alignment horizontal="centerContinuous"/>
      <protection/>
    </xf>
    <xf numFmtId="0" fontId="44" fillId="0" borderId="11" xfId="59" applyBorder="1">
      <alignment/>
      <protection/>
    </xf>
    <xf numFmtId="0" fontId="44" fillId="0" borderId="0" xfId="59" applyBorder="1">
      <alignment/>
      <protection/>
    </xf>
    <xf numFmtId="0" fontId="44" fillId="0" borderId="10" xfId="59" applyBorder="1">
      <alignment/>
      <protection/>
    </xf>
    <xf numFmtId="0" fontId="21" fillId="0" borderId="11" xfId="59" applyFont="1" applyBorder="1">
      <alignment/>
      <protection/>
    </xf>
    <xf numFmtId="0" fontId="77" fillId="0" borderId="20" xfId="59" applyFont="1" applyBorder="1" applyAlignment="1">
      <alignment horizontal="centerContinuous" vertical="center"/>
      <protection/>
    </xf>
    <xf numFmtId="0" fontId="77" fillId="0" borderId="20" xfId="59" applyFont="1" applyBorder="1" applyAlignment="1">
      <alignment horizontal="center" vertical="center"/>
      <protection/>
    </xf>
    <xf numFmtId="0" fontId="77" fillId="0" borderId="20" xfId="59" applyFont="1" applyBorder="1" applyAlignment="1">
      <alignment horizontal="centerContinuous" vertical="center" wrapText="1"/>
      <protection/>
    </xf>
    <xf numFmtId="17" fontId="77" fillId="48" borderId="20" xfId="59" applyNumberFormat="1" applyFont="1" applyFill="1" applyBorder="1" applyAlignment="1">
      <alignment horizontal="centerContinuous" vertical="center"/>
      <protection/>
    </xf>
    <xf numFmtId="0" fontId="44" fillId="0" borderId="0" xfId="59" applyAlignment="1">
      <alignment vertical="center"/>
      <protection/>
    </xf>
    <xf numFmtId="0" fontId="44" fillId="0" borderId="11" xfId="59" applyBorder="1" applyAlignment="1">
      <alignment vertical="center"/>
      <protection/>
    </xf>
    <xf numFmtId="0" fontId="44" fillId="0" borderId="34" xfId="59" applyBorder="1" applyAlignment="1">
      <alignment horizontal="center" vertical="center"/>
      <protection/>
    </xf>
    <xf numFmtId="0" fontId="44" fillId="0" borderId="34" xfId="59" applyBorder="1" applyAlignment="1">
      <alignment vertical="center"/>
      <protection/>
    </xf>
    <xf numFmtId="0" fontId="44" fillId="0" borderId="46" xfId="59" applyFill="1" applyBorder="1" applyAlignment="1">
      <alignment vertical="center"/>
      <protection/>
    </xf>
    <xf numFmtId="0" fontId="44" fillId="0" borderId="38" xfId="59" applyFill="1" applyBorder="1" applyAlignment="1">
      <alignment vertical="center"/>
      <protection/>
    </xf>
    <xf numFmtId="0" fontId="44" fillId="0" borderId="10" xfId="59" applyBorder="1" applyAlignment="1">
      <alignment vertical="center"/>
      <protection/>
    </xf>
    <xf numFmtId="0" fontId="44" fillId="49" borderId="34" xfId="59" applyFill="1" applyBorder="1" applyAlignment="1">
      <alignment horizontal="center" vertical="center"/>
      <protection/>
    </xf>
    <xf numFmtId="0" fontId="44" fillId="50" borderId="34" xfId="59" applyNumberFormat="1" applyFill="1" applyBorder="1" applyAlignment="1">
      <alignment horizontal="center" vertical="center"/>
      <protection/>
    </xf>
    <xf numFmtId="0" fontId="44" fillId="0" borderId="38" xfId="59" applyNumberFormat="1" applyFill="1" applyBorder="1" applyAlignment="1">
      <alignment horizontal="center" vertical="center"/>
      <protection/>
    </xf>
    <xf numFmtId="0" fontId="44" fillId="0" borderId="38" xfId="59" applyFill="1" applyBorder="1" applyAlignment="1">
      <alignment horizontal="center" vertical="center"/>
      <protection/>
    </xf>
    <xf numFmtId="0" fontId="44" fillId="0" borderId="40" xfId="59" applyBorder="1" applyAlignment="1">
      <alignment vertical="center"/>
      <protection/>
    </xf>
    <xf numFmtId="0" fontId="6" fillId="0" borderId="40" xfId="58" applyFont="1" applyBorder="1" applyAlignment="1">
      <alignment horizontal="center" vertical="center"/>
      <protection/>
    </xf>
    <xf numFmtId="0" fontId="6" fillId="0" borderId="40" xfId="58" applyBorder="1" applyAlignment="1">
      <alignment horizontal="center" vertical="center"/>
      <protection/>
    </xf>
    <xf numFmtId="0" fontId="44" fillId="0" borderId="34" xfId="59" applyNumberFormat="1" applyFill="1" applyBorder="1" applyAlignment="1">
      <alignment horizontal="center" vertical="center"/>
      <protection/>
    </xf>
    <xf numFmtId="0" fontId="44" fillId="0" borderId="0" xfId="59" applyBorder="1" applyAlignment="1">
      <alignment vertical="center"/>
      <protection/>
    </xf>
    <xf numFmtId="0" fontId="6" fillId="0" borderId="0" xfId="58" applyFont="1" applyBorder="1" applyAlignment="1">
      <alignment horizontal="center" vertical="center"/>
      <protection/>
    </xf>
    <xf numFmtId="0" fontId="6" fillId="0" borderId="0" xfId="58" applyBorder="1" applyAlignment="1">
      <alignment horizontal="center" vertical="center"/>
      <protection/>
    </xf>
    <xf numFmtId="0" fontId="4" fillId="0" borderId="0" xfId="58" applyFont="1" applyBorder="1" applyAlignment="1">
      <alignment horizontal="right" vertical="center"/>
      <protection/>
    </xf>
    <xf numFmtId="0" fontId="0" fillId="0" borderId="20" xfId="47" applyFont="1" applyBorder="1" applyAlignment="1" applyProtection="1">
      <alignment horizontal="center" vertical="center"/>
      <protection/>
    </xf>
    <xf numFmtId="0" fontId="44" fillId="48" borderId="15" xfId="59" applyFill="1" applyBorder="1" applyAlignment="1">
      <alignment horizontal="center" vertical="center"/>
      <protection/>
    </xf>
    <xf numFmtId="0" fontId="6" fillId="0" borderId="0" xfId="58" applyFont="1" applyBorder="1" applyAlignment="1">
      <alignment horizontal="right" vertical="center"/>
      <protection/>
    </xf>
    <xf numFmtId="0" fontId="78" fillId="0" borderId="0" xfId="59" applyFont="1" applyAlignment="1">
      <alignment horizontal="right"/>
      <protection/>
    </xf>
    <xf numFmtId="1" fontId="6" fillId="0" borderId="20" xfId="58" applyNumberFormat="1" applyBorder="1" applyAlignment="1">
      <alignment horizontal="center" vertical="center"/>
      <protection/>
    </xf>
    <xf numFmtId="0" fontId="6" fillId="0" borderId="25" xfId="58" applyFill="1" applyBorder="1" applyAlignment="1">
      <alignment horizontal="center" vertical="center"/>
      <protection/>
    </xf>
    <xf numFmtId="0" fontId="6" fillId="0" borderId="0" xfId="58" applyFont="1" applyBorder="1" applyAlignment="1">
      <alignment horizontal="center"/>
      <protection/>
    </xf>
    <xf numFmtId="0" fontId="6" fillId="0" borderId="0" xfId="58" applyBorder="1" applyAlignment="1">
      <alignment horizontal="center"/>
      <protection/>
    </xf>
    <xf numFmtId="0" fontId="4" fillId="0" borderId="0" xfId="58" applyFont="1" applyBorder="1" applyAlignment="1">
      <alignment horizontal="right"/>
      <protection/>
    </xf>
    <xf numFmtId="2" fontId="55" fillId="50" borderId="20" xfId="59" applyNumberFormat="1" applyFont="1" applyFill="1" applyBorder="1" applyAlignment="1">
      <alignment horizontal="center"/>
      <protection/>
    </xf>
    <xf numFmtId="0" fontId="44" fillId="51" borderId="47" xfId="59" applyFill="1" applyBorder="1">
      <alignment/>
      <protection/>
    </xf>
    <xf numFmtId="0" fontId="11" fillId="0" borderId="0" xfId="58" applyFont="1" applyBorder="1" applyAlignment="1">
      <alignment horizontal="left"/>
      <protection/>
    </xf>
    <xf numFmtId="0" fontId="44" fillId="0" borderId="14" xfId="59" applyBorder="1">
      <alignment/>
      <protection/>
    </xf>
    <xf numFmtId="0" fontId="8" fillId="0" borderId="27" xfId="58" applyFont="1" applyBorder="1" applyAlignment="1">
      <alignment horizontal="center"/>
      <protection/>
    </xf>
    <xf numFmtId="2" fontId="79" fillId="0" borderId="27" xfId="59" applyNumberFormat="1" applyFont="1" applyBorder="1">
      <alignment/>
      <protection/>
    </xf>
    <xf numFmtId="0" fontId="80" fillId="0" borderId="27" xfId="59" applyFont="1" applyBorder="1">
      <alignment/>
      <protection/>
    </xf>
    <xf numFmtId="0" fontId="44" fillId="0" borderId="27" xfId="59" applyBorder="1">
      <alignment/>
      <protection/>
    </xf>
    <xf numFmtId="0" fontId="44" fillId="0" borderId="15" xfId="59" applyBorder="1">
      <alignment/>
      <protection/>
    </xf>
    <xf numFmtId="0" fontId="81" fillId="0" borderId="0" xfId="59" applyFont="1" applyBorder="1">
      <alignment/>
      <protection/>
    </xf>
    <xf numFmtId="1" fontId="81" fillId="0" borderId="0" xfId="59" applyNumberFormat="1" applyFont="1" applyBorder="1">
      <alignment/>
      <protection/>
    </xf>
    <xf numFmtId="0" fontId="44" fillId="0" borderId="16" xfId="59" applyBorder="1">
      <alignment/>
      <protection/>
    </xf>
    <xf numFmtId="0" fontId="44" fillId="0" borderId="17" xfId="59" applyBorder="1">
      <alignment/>
      <protection/>
    </xf>
    <xf numFmtId="0" fontId="6" fillId="0" borderId="17" xfId="58" applyFont="1" applyBorder="1" applyAlignment="1">
      <alignment horizontal="center"/>
      <protection/>
    </xf>
    <xf numFmtId="0" fontId="6" fillId="0" borderId="17" xfId="58" applyBorder="1" applyAlignment="1">
      <alignment horizontal="center"/>
      <protection/>
    </xf>
    <xf numFmtId="0" fontId="44" fillId="0" borderId="18" xfId="59" applyBorder="1">
      <alignment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Comahue" xfId="55"/>
    <cellStyle name="Normal_EDN-EDS-ELP-SGE" xfId="56"/>
    <cellStyle name="Normal_líneas" xfId="57"/>
    <cellStyle name="Normal_líneas 2" xfId="58"/>
    <cellStyle name="Normal_T0002SUR" xfId="59"/>
    <cellStyle name="Normal_TRANSBA" xfId="60"/>
    <cellStyle name="Normal_Transba_V6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dxfs count="35"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47"/>
        </patternFill>
      </fill>
    </dxf>
    <dxf>
      <fill>
        <patternFill patternType="solid">
          <bgColor indexed="47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0</xdr:row>
      <xdr:rowOff>38100</xdr:rowOff>
    </xdr:from>
    <xdr:to>
      <xdr:col>0</xdr:col>
      <xdr:colOff>1000125</xdr:colOff>
      <xdr:row>3</xdr:row>
      <xdr:rowOff>314325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38100"/>
          <a:ext cx="542925" cy="9048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38100</xdr:rowOff>
    </xdr:from>
    <xdr:to>
      <xdr:col>0</xdr:col>
      <xdr:colOff>971550</xdr:colOff>
      <xdr:row>3</xdr:row>
      <xdr:rowOff>314325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8100"/>
          <a:ext cx="542925" cy="9048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0</xdr:row>
      <xdr:rowOff>0</xdr:rowOff>
    </xdr:from>
    <xdr:to>
      <xdr:col>0</xdr:col>
      <xdr:colOff>1000125</xdr:colOff>
      <xdr:row>3</xdr:row>
      <xdr:rowOff>276225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542925" cy="9048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0</xdr:rowOff>
    </xdr:from>
    <xdr:to>
      <xdr:col>0</xdr:col>
      <xdr:colOff>1009650</xdr:colOff>
      <xdr:row>3</xdr:row>
      <xdr:rowOff>323850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581025" cy="9525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28575</xdr:rowOff>
    </xdr:from>
    <xdr:to>
      <xdr:col>0</xdr:col>
      <xdr:colOff>952500</xdr:colOff>
      <xdr:row>3</xdr:row>
      <xdr:rowOff>228600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8575"/>
          <a:ext cx="447675" cy="828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0</xdr:rowOff>
    </xdr:from>
    <xdr:to>
      <xdr:col>3</xdr:col>
      <xdr:colOff>38100</xdr:colOff>
      <xdr:row>1</xdr:row>
      <xdr:rowOff>352425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0"/>
          <a:ext cx="447675" cy="7905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EDESUR\TBASESU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\transporte\Transporte\ARCHIVOS.XLS\P-EDESUR\TBASESU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EDESUR\2013\A1303SU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tasa"/>
    </sheetNames>
    <sheetDataSet>
      <sheetData sheetId="0">
        <row r="15">
          <cell r="HS15">
            <v>41334</v>
          </cell>
          <cell r="HT15">
            <v>41365</v>
          </cell>
          <cell r="HU15">
            <v>41395</v>
          </cell>
          <cell r="HV15">
            <v>41426</v>
          </cell>
          <cell r="HW15">
            <v>41456</v>
          </cell>
          <cell r="HX15">
            <v>41487</v>
          </cell>
          <cell r="HY15">
            <v>41518</v>
          </cell>
          <cell r="HZ15">
            <v>41548</v>
          </cell>
          <cell r="IA15">
            <v>41579</v>
          </cell>
          <cell r="IB15">
            <v>41609</v>
          </cell>
          <cell r="IC15">
            <v>41640</v>
          </cell>
          <cell r="ID15">
            <v>41671</v>
          </cell>
          <cell r="IE15">
            <v>41699</v>
          </cell>
        </row>
        <row r="17">
          <cell r="C17">
            <v>1</v>
          </cell>
          <cell r="D17" t="str">
            <v>GALDOS - P. DE MENDOZA 1</v>
          </cell>
          <cell r="E17">
            <v>1</v>
          </cell>
          <cell r="F17" t="str">
            <v>C</v>
          </cell>
          <cell r="G17">
            <v>0</v>
          </cell>
          <cell r="H17">
            <v>13.2</v>
          </cell>
          <cell r="I17">
            <v>1</v>
          </cell>
        </row>
        <row r="18">
          <cell r="C18">
            <v>2</v>
          </cell>
          <cell r="D18" t="str">
            <v>GALDOS - P. DE MENDOZA 2</v>
          </cell>
          <cell r="E18">
            <v>2</v>
          </cell>
          <cell r="F18" t="str">
            <v>C</v>
          </cell>
          <cell r="G18">
            <v>0</v>
          </cell>
          <cell r="H18">
            <v>13.2</v>
          </cell>
          <cell r="I18">
            <v>1</v>
          </cell>
        </row>
        <row r="19">
          <cell r="C19">
            <v>3</v>
          </cell>
          <cell r="D19" t="str">
            <v>EZEIZA - ALTE. BROWN 1 </v>
          </cell>
          <cell r="E19">
            <v>33</v>
          </cell>
          <cell r="F19" t="str">
            <v>L</v>
          </cell>
          <cell r="G19">
            <v>100</v>
          </cell>
          <cell r="H19">
            <v>220</v>
          </cell>
          <cell r="I19">
            <v>36.6</v>
          </cell>
        </row>
        <row r="20">
          <cell r="C20">
            <v>4</v>
          </cell>
          <cell r="D20" t="str">
            <v>EZEIZA - ALTE. BROWN 2 </v>
          </cell>
          <cell r="E20">
            <v>34</v>
          </cell>
          <cell r="F20" t="str">
            <v>L</v>
          </cell>
          <cell r="G20">
            <v>100</v>
          </cell>
          <cell r="H20">
            <v>220</v>
          </cell>
          <cell r="I20">
            <v>36.6</v>
          </cell>
        </row>
        <row r="21">
          <cell r="C21">
            <v>5</v>
          </cell>
          <cell r="D21" t="str">
            <v>BOSQUES - COSTANERA 1</v>
          </cell>
          <cell r="E21">
            <v>50</v>
          </cell>
          <cell r="F21" t="str">
            <v>L</v>
          </cell>
          <cell r="G21">
            <v>100</v>
          </cell>
          <cell r="H21">
            <v>220</v>
          </cell>
          <cell r="I21">
            <v>32.6</v>
          </cell>
        </row>
        <row r="22">
          <cell r="C22">
            <v>6</v>
          </cell>
          <cell r="D22" t="str">
            <v>BOSQUES - COSTANERA 2</v>
          </cell>
          <cell r="E22">
            <v>51</v>
          </cell>
          <cell r="F22" t="str">
            <v>L</v>
          </cell>
          <cell r="G22">
            <v>100</v>
          </cell>
          <cell r="H22">
            <v>220</v>
          </cell>
          <cell r="I22">
            <v>32.6</v>
          </cell>
        </row>
        <row r="23">
          <cell r="C23">
            <v>7</v>
          </cell>
          <cell r="D23" t="str">
            <v>COSTANERA - AZOPARDO II 1</v>
          </cell>
          <cell r="E23">
            <v>52</v>
          </cell>
          <cell r="F23" t="str">
            <v>C</v>
          </cell>
          <cell r="G23">
            <v>0</v>
          </cell>
          <cell r="H23">
            <v>220</v>
          </cell>
          <cell r="I23">
            <v>4.2</v>
          </cell>
        </row>
        <row r="24">
          <cell r="C24">
            <v>8</v>
          </cell>
          <cell r="D24" t="str">
            <v>COSTANERA - AZOPARDO II 2</v>
          </cell>
          <cell r="E24">
            <v>53</v>
          </cell>
          <cell r="F24" t="str">
            <v>C</v>
          </cell>
          <cell r="G24">
            <v>0</v>
          </cell>
          <cell r="H24">
            <v>220</v>
          </cell>
          <cell r="I24">
            <v>4.2</v>
          </cell>
        </row>
        <row r="25">
          <cell r="C25">
            <v>9</v>
          </cell>
          <cell r="D25" t="str">
            <v>BOSQUES - ABASTO 1 </v>
          </cell>
          <cell r="E25">
            <v>58</v>
          </cell>
          <cell r="F25" t="str">
            <v>L</v>
          </cell>
          <cell r="G25">
            <v>100</v>
          </cell>
          <cell r="H25">
            <v>220</v>
          </cell>
          <cell r="I25">
            <v>16.3</v>
          </cell>
        </row>
        <row r="26">
          <cell r="C26">
            <v>10</v>
          </cell>
          <cell r="D26" t="str">
            <v>BOSQUES - ABASTO 2 </v>
          </cell>
          <cell r="E26">
            <v>59</v>
          </cell>
          <cell r="F26" t="str">
            <v>L</v>
          </cell>
          <cell r="G26">
            <v>100</v>
          </cell>
          <cell r="H26">
            <v>220</v>
          </cell>
          <cell r="I26">
            <v>16.3</v>
          </cell>
        </row>
        <row r="27">
          <cell r="C27">
            <v>11</v>
          </cell>
          <cell r="D27" t="str">
            <v>EZEIZA - PERITO MORENO 1</v>
          </cell>
          <cell r="E27">
            <v>61</v>
          </cell>
          <cell r="F27" t="str">
            <v>LC</v>
          </cell>
          <cell r="G27">
            <v>90.23</v>
          </cell>
          <cell r="H27">
            <v>220</v>
          </cell>
          <cell r="I27">
            <v>57.3</v>
          </cell>
        </row>
        <row r="28">
          <cell r="C28">
            <v>12</v>
          </cell>
          <cell r="D28" t="str">
            <v>EZEIZA - PERITO MORENO 2 </v>
          </cell>
          <cell r="E28">
            <v>62</v>
          </cell>
          <cell r="F28" t="str">
            <v>LC</v>
          </cell>
          <cell r="G28">
            <v>89.76</v>
          </cell>
          <cell r="H28">
            <v>220</v>
          </cell>
          <cell r="I28">
            <v>57.6</v>
          </cell>
        </row>
        <row r="29">
          <cell r="C29">
            <v>13</v>
          </cell>
          <cell r="D29" t="str">
            <v>NUEVO PUERTO - RIVADAVIA 1</v>
          </cell>
          <cell r="E29">
            <v>103</v>
          </cell>
          <cell r="F29" t="str">
            <v>C</v>
          </cell>
          <cell r="G29">
            <v>0</v>
          </cell>
          <cell r="H29">
            <v>132</v>
          </cell>
          <cell r="I29">
            <v>5.2</v>
          </cell>
        </row>
        <row r="30">
          <cell r="C30">
            <v>79</v>
          </cell>
          <cell r="D30" t="str">
            <v>NUEVO PUERTO - AZOPARDO 1</v>
          </cell>
          <cell r="E30">
            <v>103</v>
          </cell>
          <cell r="F30" t="str">
            <v>C</v>
          </cell>
          <cell r="G30">
            <v>0</v>
          </cell>
          <cell r="H30">
            <v>132</v>
          </cell>
          <cell r="I30">
            <v>6.7</v>
          </cell>
        </row>
        <row r="31">
          <cell r="C31">
            <v>14</v>
          </cell>
          <cell r="D31" t="str">
            <v>NUEVO PUERTO - PELLEGRINI 2 </v>
          </cell>
          <cell r="E31">
            <v>104</v>
          </cell>
          <cell r="F31" t="str">
            <v>C</v>
          </cell>
          <cell r="G31">
            <v>0</v>
          </cell>
          <cell r="H31">
            <v>132</v>
          </cell>
          <cell r="I31">
            <v>5.8</v>
          </cell>
        </row>
        <row r="32">
          <cell r="C32">
            <v>80</v>
          </cell>
          <cell r="D32" t="str">
            <v>NUEVO PUERTO - AZOPARDO 2</v>
          </cell>
          <cell r="E32">
            <v>104</v>
          </cell>
          <cell r="F32" t="str">
            <v>C</v>
          </cell>
          <cell r="G32">
            <v>0</v>
          </cell>
          <cell r="H32">
            <v>132</v>
          </cell>
          <cell r="I32">
            <v>7.3</v>
          </cell>
        </row>
        <row r="33">
          <cell r="C33">
            <v>15</v>
          </cell>
          <cell r="D33" t="str">
            <v>NUEVO PUERTO - PELLEGRINI 3</v>
          </cell>
          <cell r="E33">
            <v>105</v>
          </cell>
          <cell r="F33" t="str">
            <v>C</v>
          </cell>
          <cell r="G33">
            <v>0</v>
          </cell>
          <cell r="H33">
            <v>132</v>
          </cell>
          <cell r="I33">
            <v>5.8</v>
          </cell>
        </row>
        <row r="34">
          <cell r="C34">
            <v>81</v>
          </cell>
          <cell r="D34" t="str">
            <v>NUEVO PUERTO - AZOPARDO 3</v>
          </cell>
          <cell r="E34">
            <v>105</v>
          </cell>
          <cell r="F34" t="str">
            <v>C</v>
          </cell>
          <cell r="G34">
            <v>0</v>
          </cell>
          <cell r="H34">
            <v>132</v>
          </cell>
          <cell r="I34">
            <v>7.3</v>
          </cell>
        </row>
        <row r="35">
          <cell r="C35">
            <v>16</v>
          </cell>
          <cell r="D35" t="str">
            <v>NUEVO PUERTO - AZCUENAGA 1</v>
          </cell>
          <cell r="E35">
            <v>106</v>
          </cell>
          <cell r="F35" t="str">
            <v>C</v>
          </cell>
          <cell r="G35">
            <v>0</v>
          </cell>
          <cell r="H35">
            <v>132</v>
          </cell>
          <cell r="I35">
            <v>5</v>
          </cell>
        </row>
        <row r="36">
          <cell r="C36">
            <v>17</v>
          </cell>
          <cell r="D36" t="str">
            <v>NUEVO PUERTO - AZCUENAGA 2 </v>
          </cell>
          <cell r="E36">
            <v>107</v>
          </cell>
          <cell r="F36" t="str">
            <v>C</v>
          </cell>
          <cell r="G36">
            <v>0</v>
          </cell>
          <cell r="H36">
            <v>132</v>
          </cell>
          <cell r="I36">
            <v>5</v>
          </cell>
        </row>
        <row r="37">
          <cell r="C37">
            <v>18</v>
          </cell>
          <cell r="D37" t="str">
            <v>PUERTO NUEVO - COSTANERA </v>
          </cell>
          <cell r="E37">
            <v>111</v>
          </cell>
          <cell r="F37" t="str">
            <v>C</v>
          </cell>
          <cell r="G37">
            <v>0</v>
          </cell>
          <cell r="H37">
            <v>132</v>
          </cell>
          <cell r="I37">
            <v>5.78</v>
          </cell>
        </row>
        <row r="38">
          <cell r="C38">
            <v>19</v>
          </cell>
          <cell r="D38" t="str">
            <v>PUERTO NUEVO - COSTANERA 2 </v>
          </cell>
          <cell r="E38">
            <v>112</v>
          </cell>
          <cell r="F38" t="str">
            <v>C</v>
          </cell>
          <cell r="G38">
            <v>0</v>
          </cell>
          <cell r="H38">
            <v>132</v>
          </cell>
          <cell r="I38">
            <v>7.4</v>
          </cell>
        </row>
        <row r="39">
          <cell r="C39">
            <v>72</v>
          </cell>
          <cell r="D39" t="str">
            <v>AZOPARDO - PUERTO NUEVO 2</v>
          </cell>
          <cell r="E39">
            <v>112</v>
          </cell>
          <cell r="F39" t="str">
            <v>C</v>
          </cell>
          <cell r="G39">
            <v>0</v>
          </cell>
          <cell r="H39">
            <v>132</v>
          </cell>
          <cell r="I39">
            <v>5.8</v>
          </cell>
        </row>
        <row r="40">
          <cell r="C40">
            <v>20</v>
          </cell>
          <cell r="D40" t="str">
            <v>PUERTO NUEVO - COSTANERA 3 </v>
          </cell>
          <cell r="E40">
            <v>113</v>
          </cell>
          <cell r="F40" t="str">
            <v>C</v>
          </cell>
          <cell r="G40">
            <v>0</v>
          </cell>
          <cell r="H40">
            <v>132</v>
          </cell>
          <cell r="I40">
            <v>5.8</v>
          </cell>
        </row>
        <row r="41">
          <cell r="C41">
            <v>21</v>
          </cell>
          <cell r="D41" t="str">
            <v>PUERTO NUEVO - AZOPARDO 1</v>
          </cell>
          <cell r="E41">
            <v>135</v>
          </cell>
          <cell r="F41" t="str">
            <v>C</v>
          </cell>
          <cell r="G41">
            <v>0</v>
          </cell>
          <cell r="H41">
            <v>132</v>
          </cell>
          <cell r="I41">
            <v>16.7</v>
          </cell>
        </row>
        <row r="42">
          <cell r="C42">
            <v>22</v>
          </cell>
          <cell r="D42" t="str">
            <v>PUERTO NUEVO - AZOPARDO 2 </v>
          </cell>
          <cell r="E42">
            <v>136</v>
          </cell>
          <cell r="F42" t="str">
            <v>C</v>
          </cell>
          <cell r="G42">
            <v>0</v>
          </cell>
          <cell r="H42">
            <v>132</v>
          </cell>
          <cell r="I42">
            <v>16.7</v>
          </cell>
        </row>
        <row r="43">
          <cell r="C43">
            <v>86</v>
          </cell>
          <cell r="D43" t="str">
            <v>DOCK SUD - SOBRAL 1</v>
          </cell>
          <cell r="E43">
            <v>201</v>
          </cell>
          <cell r="F43" t="str">
            <v>L/C</v>
          </cell>
          <cell r="G43">
            <v>79.44</v>
          </cell>
          <cell r="H43">
            <v>132</v>
          </cell>
          <cell r="I43">
            <v>18</v>
          </cell>
        </row>
        <row r="44">
          <cell r="C44">
            <v>87</v>
          </cell>
          <cell r="D44" t="str">
            <v>DOCK SUD - SOBRAL 2</v>
          </cell>
          <cell r="E44">
            <v>202</v>
          </cell>
          <cell r="F44" t="str">
            <v>L/C</v>
          </cell>
          <cell r="G44">
            <v>79.44</v>
          </cell>
          <cell r="H44">
            <v>132</v>
          </cell>
          <cell r="I44">
            <v>18</v>
          </cell>
        </row>
        <row r="45">
          <cell r="C45">
            <v>88</v>
          </cell>
          <cell r="D45" t="str">
            <v>DOCK SUD - QUILMES 1</v>
          </cell>
          <cell r="E45">
            <v>203</v>
          </cell>
          <cell r="F45" t="str">
            <v>L/C</v>
          </cell>
          <cell r="G45">
            <v>85.89</v>
          </cell>
          <cell r="H45">
            <v>132</v>
          </cell>
          <cell r="I45">
            <v>15.6</v>
          </cell>
        </row>
        <row r="46">
          <cell r="C46">
            <v>89</v>
          </cell>
          <cell r="D46" t="str">
            <v>DOCK SUD - QUILMES 2</v>
          </cell>
          <cell r="E46">
            <v>204</v>
          </cell>
          <cell r="F46" t="str">
            <v>L/C</v>
          </cell>
          <cell r="G46">
            <v>85.89</v>
          </cell>
          <cell r="H46">
            <v>132</v>
          </cell>
          <cell r="I46">
            <v>15.6</v>
          </cell>
        </row>
        <row r="47">
          <cell r="C47">
            <v>23</v>
          </cell>
          <cell r="D47" t="str">
            <v>DOCK SUD - ESCALADA </v>
          </cell>
          <cell r="E47">
            <v>225</v>
          </cell>
          <cell r="F47" t="str">
            <v>C</v>
          </cell>
          <cell r="G47">
            <v>0</v>
          </cell>
          <cell r="H47">
            <v>132</v>
          </cell>
          <cell r="I47">
            <v>10</v>
          </cell>
        </row>
        <row r="48">
          <cell r="C48">
            <v>24</v>
          </cell>
          <cell r="D48" t="str">
            <v>DOCK SUD - CORINA </v>
          </cell>
          <cell r="E48">
            <v>226</v>
          </cell>
          <cell r="F48" t="str">
            <v>C</v>
          </cell>
          <cell r="G48">
            <v>0</v>
          </cell>
          <cell r="H48">
            <v>132</v>
          </cell>
          <cell r="I48">
            <v>6.5</v>
          </cell>
        </row>
        <row r="49">
          <cell r="C49">
            <v>25</v>
          </cell>
          <cell r="D49" t="str">
            <v>DOCK SUD - CITY BELL </v>
          </cell>
          <cell r="E49">
            <v>230</v>
          </cell>
          <cell r="F49" t="str">
            <v>C</v>
          </cell>
          <cell r="G49">
            <v>0</v>
          </cell>
          <cell r="H49">
            <v>132</v>
          </cell>
          <cell r="I49">
            <v>42.2</v>
          </cell>
        </row>
        <row r="50">
          <cell r="C50">
            <v>26</v>
          </cell>
          <cell r="D50" t="str">
            <v>DOCK SUD - DON BOSCO 1</v>
          </cell>
          <cell r="E50">
            <v>231</v>
          </cell>
          <cell r="F50" t="str">
            <v>LC</v>
          </cell>
          <cell r="G50">
            <v>63.72549019607844</v>
          </cell>
          <cell r="H50">
            <v>132</v>
          </cell>
          <cell r="I50">
            <v>10.2</v>
          </cell>
        </row>
        <row r="51">
          <cell r="C51">
            <v>27</v>
          </cell>
          <cell r="D51" t="str">
            <v>DOCK SUD - DON BOSCO 2 </v>
          </cell>
          <cell r="E51">
            <v>232</v>
          </cell>
          <cell r="F51" t="str">
            <v>LC</v>
          </cell>
          <cell r="G51">
            <v>63.72549019607844</v>
          </cell>
          <cell r="H51">
            <v>132</v>
          </cell>
          <cell r="I51">
            <v>10.2</v>
          </cell>
        </row>
        <row r="52">
          <cell r="C52">
            <v>28</v>
          </cell>
          <cell r="D52" t="str">
            <v>DOCK SUD - 9 DE JULIO </v>
          </cell>
          <cell r="E52">
            <v>233</v>
          </cell>
          <cell r="F52" t="str">
            <v>C</v>
          </cell>
          <cell r="G52">
            <v>0</v>
          </cell>
          <cell r="H52">
            <v>132</v>
          </cell>
          <cell r="I52">
            <v>3.5</v>
          </cell>
        </row>
        <row r="53">
          <cell r="C53">
            <v>29</v>
          </cell>
          <cell r="D53" t="str">
            <v>COSTANERA - DOCK SUD 1</v>
          </cell>
          <cell r="E53">
            <v>321</v>
          </cell>
          <cell r="F53" t="str">
            <v>C</v>
          </cell>
          <cell r="G53">
            <v>0</v>
          </cell>
          <cell r="H53">
            <v>132</v>
          </cell>
          <cell r="I53">
            <v>5.3</v>
          </cell>
        </row>
        <row r="54">
          <cell r="C54">
            <v>30</v>
          </cell>
          <cell r="D54" t="str">
            <v>COSTANERA - DOCK SUD 2 </v>
          </cell>
          <cell r="E54">
            <v>322</v>
          </cell>
          <cell r="F54" t="str">
            <v>C</v>
          </cell>
          <cell r="G54">
            <v>0</v>
          </cell>
          <cell r="H54">
            <v>132</v>
          </cell>
          <cell r="I54">
            <v>5.3</v>
          </cell>
        </row>
        <row r="55">
          <cell r="C55">
            <v>31</v>
          </cell>
          <cell r="D55" t="str">
            <v>COSTANERA - DOCK SUD 3</v>
          </cell>
          <cell r="E55">
            <v>323</v>
          </cell>
          <cell r="F55" t="str">
            <v>C</v>
          </cell>
          <cell r="G55">
            <v>0</v>
          </cell>
          <cell r="H55">
            <v>132</v>
          </cell>
          <cell r="I55">
            <v>5.4</v>
          </cell>
        </row>
        <row r="56">
          <cell r="C56">
            <v>32</v>
          </cell>
          <cell r="D56" t="str">
            <v>COSTANERA - DOCK SUD 4</v>
          </cell>
          <cell r="E56">
            <v>324</v>
          </cell>
          <cell r="F56" t="str">
            <v>C</v>
          </cell>
          <cell r="G56">
            <v>0</v>
          </cell>
          <cell r="H56">
            <v>132</v>
          </cell>
          <cell r="I56">
            <v>5.4</v>
          </cell>
        </row>
        <row r="57">
          <cell r="C57">
            <v>33</v>
          </cell>
          <cell r="D57" t="str">
            <v>COSTANERA - CENTENARIO 1</v>
          </cell>
          <cell r="E57">
            <v>331</v>
          </cell>
          <cell r="F57" t="str">
            <v>C</v>
          </cell>
          <cell r="G57">
            <v>0</v>
          </cell>
          <cell r="H57">
            <v>132</v>
          </cell>
          <cell r="I57">
            <v>11.3</v>
          </cell>
        </row>
        <row r="58">
          <cell r="C58">
            <v>90</v>
          </cell>
          <cell r="D58" t="str">
            <v>COSTANERA - PERITO MORENO 1</v>
          </cell>
          <cell r="E58">
            <v>333</v>
          </cell>
          <cell r="F58" t="str">
            <v>C</v>
          </cell>
          <cell r="G58">
            <v>0</v>
          </cell>
          <cell r="H58">
            <v>132</v>
          </cell>
          <cell r="I58">
            <v>14.9</v>
          </cell>
        </row>
        <row r="59">
          <cell r="C59">
            <v>34</v>
          </cell>
          <cell r="D59" t="str">
            <v>COSTANERA - PERITO MORENO 2</v>
          </cell>
          <cell r="E59">
            <v>334</v>
          </cell>
          <cell r="F59" t="str">
            <v>C</v>
          </cell>
          <cell r="G59">
            <v>0</v>
          </cell>
          <cell r="H59">
            <v>132</v>
          </cell>
          <cell r="I59">
            <v>14.9</v>
          </cell>
        </row>
        <row r="60">
          <cell r="C60">
            <v>35</v>
          </cell>
          <cell r="D60" t="str">
            <v>COSTANERA - P. PATRICIOS </v>
          </cell>
          <cell r="E60">
            <v>335</v>
          </cell>
          <cell r="F60" t="str">
            <v>C</v>
          </cell>
          <cell r="G60">
            <v>0</v>
          </cell>
          <cell r="H60">
            <v>132</v>
          </cell>
          <cell r="I60">
            <v>8.5</v>
          </cell>
        </row>
        <row r="61">
          <cell r="C61">
            <v>36</v>
          </cell>
          <cell r="D61" t="str">
            <v>COSTANERA - GURMENDI 1</v>
          </cell>
          <cell r="E61">
            <v>338</v>
          </cell>
          <cell r="F61" t="str">
            <v>C</v>
          </cell>
          <cell r="G61">
            <v>0</v>
          </cell>
          <cell r="H61">
            <v>132</v>
          </cell>
          <cell r="I61">
            <v>10</v>
          </cell>
        </row>
        <row r="62">
          <cell r="C62">
            <v>37</v>
          </cell>
          <cell r="D62" t="str">
            <v>COSTANERA - HERNANDARIAS 2 </v>
          </cell>
          <cell r="E62">
            <v>339</v>
          </cell>
          <cell r="F62" t="str">
            <v>C</v>
          </cell>
          <cell r="G62">
            <v>0</v>
          </cell>
          <cell r="H62">
            <v>132</v>
          </cell>
          <cell r="I62">
            <v>11</v>
          </cell>
        </row>
        <row r="63">
          <cell r="C63">
            <v>73</v>
          </cell>
          <cell r="D63" t="str">
            <v>AZOPARDO - COSTANERA 1</v>
          </cell>
          <cell r="E63">
            <v>341</v>
          </cell>
          <cell r="F63" t="str">
            <v>C</v>
          </cell>
          <cell r="G63">
            <v>0</v>
          </cell>
          <cell r="H63">
            <v>132</v>
          </cell>
          <cell r="I63">
            <v>3.6</v>
          </cell>
        </row>
        <row r="64">
          <cell r="C64">
            <v>82</v>
          </cell>
          <cell r="D64" t="str">
            <v>AZOPARDO - COSTANERA 2</v>
          </cell>
          <cell r="E64">
            <v>342</v>
          </cell>
          <cell r="F64" t="str">
            <v>C</v>
          </cell>
          <cell r="G64">
            <v>0</v>
          </cell>
          <cell r="H64">
            <v>132</v>
          </cell>
          <cell r="I64">
            <v>3.6</v>
          </cell>
        </row>
        <row r="65">
          <cell r="C65">
            <v>83</v>
          </cell>
          <cell r="D65" t="str">
            <v>AZOPARDO - COSTANERA 3</v>
          </cell>
          <cell r="E65">
            <v>343</v>
          </cell>
          <cell r="F65" t="str">
            <v>C</v>
          </cell>
          <cell r="G65">
            <v>0</v>
          </cell>
          <cell r="H65">
            <v>132</v>
          </cell>
          <cell r="I65">
            <v>3.6</v>
          </cell>
        </row>
        <row r="66">
          <cell r="C66">
            <v>84</v>
          </cell>
          <cell r="D66" t="str">
            <v>AZOPARDO - COSTANERA</v>
          </cell>
          <cell r="E66">
            <v>351</v>
          </cell>
          <cell r="F66" t="str">
            <v>C</v>
          </cell>
          <cell r="G66">
            <v>0</v>
          </cell>
          <cell r="H66">
            <v>132</v>
          </cell>
          <cell r="I66">
            <v>4.2</v>
          </cell>
        </row>
        <row r="67">
          <cell r="C67">
            <v>85</v>
          </cell>
          <cell r="D67" t="str">
            <v>AZOPARDO - COSTANERA</v>
          </cell>
          <cell r="E67">
            <v>352</v>
          </cell>
          <cell r="F67" t="str">
            <v>C</v>
          </cell>
          <cell r="G67">
            <v>0</v>
          </cell>
          <cell r="H67">
            <v>132</v>
          </cell>
          <cell r="I67">
            <v>4.2</v>
          </cell>
        </row>
        <row r="68">
          <cell r="C68">
            <v>78</v>
          </cell>
          <cell r="D68" t="str">
            <v>PERITO MORENO - LURO GBA 2</v>
          </cell>
          <cell r="E68">
            <v>412</v>
          </cell>
          <cell r="F68" t="str">
            <v>C</v>
          </cell>
          <cell r="G68">
            <v>0</v>
          </cell>
          <cell r="H68">
            <v>132</v>
          </cell>
          <cell r="I68">
            <v>5.3</v>
          </cell>
        </row>
        <row r="69">
          <cell r="C69">
            <v>91</v>
          </cell>
          <cell r="D69" t="str">
            <v>PERITO MORENO - LURO GBA 1</v>
          </cell>
          <cell r="E69">
            <v>411</v>
          </cell>
          <cell r="F69" t="str">
            <v>C</v>
          </cell>
          <cell r="G69">
            <v>0</v>
          </cell>
          <cell r="H69">
            <v>132</v>
          </cell>
          <cell r="I69">
            <v>5.3</v>
          </cell>
        </row>
        <row r="70">
          <cell r="C70">
            <v>38</v>
          </cell>
          <cell r="D70" t="str">
            <v>CENTENARIO COLEGIALES</v>
          </cell>
          <cell r="E70">
            <v>433</v>
          </cell>
          <cell r="F70" t="str">
            <v>C</v>
          </cell>
          <cell r="G70">
            <v>0</v>
          </cell>
          <cell r="H70">
            <v>132</v>
          </cell>
          <cell r="I70">
            <v>4.8</v>
          </cell>
        </row>
        <row r="71">
          <cell r="C71">
            <v>39</v>
          </cell>
          <cell r="D71" t="str">
            <v>CENTENARIO COLEGIALES</v>
          </cell>
          <cell r="E71">
            <v>434</v>
          </cell>
          <cell r="F71" t="str">
            <v>C</v>
          </cell>
          <cell r="G71">
            <v>0</v>
          </cell>
          <cell r="H71">
            <v>132</v>
          </cell>
          <cell r="I71">
            <v>4.9</v>
          </cell>
        </row>
        <row r="72">
          <cell r="C72">
            <v>40</v>
          </cell>
          <cell r="D72" t="str">
            <v>PERITO MORENO - POMPEYA </v>
          </cell>
          <cell r="E72">
            <v>441</v>
          </cell>
          <cell r="F72" t="str">
            <v>C</v>
          </cell>
          <cell r="G72">
            <v>0</v>
          </cell>
          <cell r="H72">
            <v>132</v>
          </cell>
          <cell r="I72">
            <v>4.7</v>
          </cell>
        </row>
        <row r="73">
          <cell r="C73">
            <v>41</v>
          </cell>
          <cell r="D73" t="str">
            <v>POMPEYA - P. PATRICIOS </v>
          </cell>
          <cell r="E73">
            <v>442</v>
          </cell>
          <cell r="F73" t="str">
            <v>C</v>
          </cell>
          <cell r="G73">
            <v>0</v>
          </cell>
          <cell r="H73">
            <v>132</v>
          </cell>
          <cell r="I73">
            <v>3.9</v>
          </cell>
        </row>
        <row r="74">
          <cell r="C74">
            <v>42</v>
          </cell>
          <cell r="D74" t="str">
            <v>PERITO MORENO - CABALLITO 1 </v>
          </cell>
          <cell r="E74">
            <v>445</v>
          </cell>
          <cell r="F74" t="str">
            <v>C</v>
          </cell>
          <cell r="G74">
            <v>0</v>
          </cell>
          <cell r="H74">
            <v>132</v>
          </cell>
          <cell r="I74">
            <v>6.3</v>
          </cell>
        </row>
        <row r="75">
          <cell r="C75">
            <v>43</v>
          </cell>
          <cell r="D75" t="str">
            <v>PERITO MORENO - CABALLITO 2 </v>
          </cell>
          <cell r="E75">
            <v>446</v>
          </cell>
          <cell r="F75" t="str">
            <v>C</v>
          </cell>
          <cell r="G75">
            <v>0</v>
          </cell>
          <cell r="H75">
            <v>132</v>
          </cell>
          <cell r="I75">
            <v>6.3</v>
          </cell>
        </row>
        <row r="76">
          <cell r="C76">
            <v>44</v>
          </cell>
          <cell r="D76" t="str">
            <v>PERITO MORENO - LINIERS 1</v>
          </cell>
          <cell r="E76">
            <v>447</v>
          </cell>
          <cell r="F76" t="str">
            <v>C</v>
          </cell>
          <cell r="G76">
            <v>0</v>
          </cell>
          <cell r="H76">
            <v>132</v>
          </cell>
          <cell r="I76">
            <v>2.8</v>
          </cell>
        </row>
        <row r="77">
          <cell r="C77">
            <v>45</v>
          </cell>
          <cell r="D77" t="str">
            <v>PERITO MORENO - LINIERS 2</v>
          </cell>
          <cell r="E77">
            <v>448</v>
          </cell>
          <cell r="F77" t="str">
            <v>C</v>
          </cell>
          <cell r="G77">
            <v>0</v>
          </cell>
          <cell r="H77">
            <v>132</v>
          </cell>
          <cell r="I77">
            <v>2.8</v>
          </cell>
        </row>
        <row r="78">
          <cell r="C78">
            <v>76</v>
          </cell>
          <cell r="D78" t="str">
            <v>AZOPARDO II CHARCAS </v>
          </cell>
          <cell r="E78">
            <v>451</v>
          </cell>
          <cell r="F78" t="str">
            <v>C</v>
          </cell>
          <cell r="G78">
            <v>0</v>
          </cell>
          <cell r="H78">
            <v>132</v>
          </cell>
          <cell r="I78">
            <v>2.4</v>
          </cell>
        </row>
        <row r="79">
          <cell r="C79">
            <v>77</v>
          </cell>
          <cell r="D79" t="str">
            <v>AZOPARDO II CHARCAS </v>
          </cell>
          <cell r="E79">
            <v>452</v>
          </cell>
          <cell r="F79" t="str">
            <v>C</v>
          </cell>
          <cell r="G79">
            <v>0</v>
          </cell>
          <cell r="H79">
            <v>132</v>
          </cell>
          <cell r="I79">
            <v>2.4</v>
          </cell>
        </row>
        <row r="80">
          <cell r="C80">
            <v>46</v>
          </cell>
          <cell r="D80" t="str">
            <v>AZOPARDO II - PELLEGRINI 1</v>
          </cell>
          <cell r="E80">
            <v>457</v>
          </cell>
          <cell r="F80" t="str">
            <v>C</v>
          </cell>
          <cell r="G80">
            <v>0</v>
          </cell>
          <cell r="H80">
            <v>132</v>
          </cell>
          <cell r="I80">
            <v>2</v>
          </cell>
        </row>
        <row r="81">
          <cell r="C81">
            <v>47</v>
          </cell>
          <cell r="D81" t="str">
            <v>AZOPARDO II - PELLEGRINI 2</v>
          </cell>
          <cell r="E81">
            <v>458</v>
          </cell>
          <cell r="F81" t="str">
            <v>C</v>
          </cell>
          <cell r="G81">
            <v>0</v>
          </cell>
          <cell r="H81">
            <v>132</v>
          </cell>
          <cell r="I81">
            <v>2</v>
          </cell>
        </row>
        <row r="82">
          <cell r="C82">
            <v>48</v>
          </cell>
          <cell r="D82" t="str">
            <v>SANTA RITA - AGRONOMIA 1</v>
          </cell>
          <cell r="E82">
            <v>461</v>
          </cell>
          <cell r="F82" t="str">
            <v>C</v>
          </cell>
          <cell r="G82">
            <v>0</v>
          </cell>
          <cell r="H82">
            <v>132</v>
          </cell>
          <cell r="I82">
            <v>2.4</v>
          </cell>
        </row>
        <row r="83">
          <cell r="C83">
            <v>49</v>
          </cell>
          <cell r="D83" t="str">
            <v>SANTA RITA - AGRONOMIA 2 </v>
          </cell>
          <cell r="E83">
            <v>462</v>
          </cell>
          <cell r="F83" t="str">
            <v>C</v>
          </cell>
          <cell r="G83">
            <v>0</v>
          </cell>
          <cell r="H83">
            <v>132</v>
          </cell>
          <cell r="I83">
            <v>2.4</v>
          </cell>
        </row>
        <row r="84">
          <cell r="C84">
            <v>50</v>
          </cell>
          <cell r="D84" t="str">
            <v>BOSQUES - QUILMES 1 </v>
          </cell>
          <cell r="E84">
            <v>511</v>
          </cell>
          <cell r="F84" t="str">
            <v>L</v>
          </cell>
          <cell r="G84">
            <v>100</v>
          </cell>
          <cell r="H84">
            <v>132</v>
          </cell>
          <cell r="I84">
            <v>29.2</v>
          </cell>
        </row>
        <row r="85">
          <cell r="C85">
            <v>51</v>
          </cell>
          <cell r="D85" t="str">
            <v>BOSQUES - QUILMES 2 </v>
          </cell>
          <cell r="E85">
            <v>512</v>
          </cell>
          <cell r="F85" t="str">
            <v>L</v>
          </cell>
          <cell r="G85">
            <v>100</v>
          </cell>
          <cell r="H85">
            <v>132</v>
          </cell>
          <cell r="I85">
            <v>28.6</v>
          </cell>
        </row>
        <row r="86">
          <cell r="C86">
            <v>92</v>
          </cell>
          <cell r="D86" t="str">
            <v>BOSQUES - QUILMES 1 </v>
          </cell>
          <cell r="E86">
            <v>511</v>
          </cell>
          <cell r="F86" t="str">
            <v>L</v>
          </cell>
          <cell r="G86">
            <v>100</v>
          </cell>
          <cell r="H86">
            <v>132</v>
          </cell>
          <cell r="I86">
            <v>17.4</v>
          </cell>
        </row>
        <row r="87">
          <cell r="C87">
            <v>93</v>
          </cell>
          <cell r="D87" t="str">
            <v>BOSQUES - QUILMES 2 </v>
          </cell>
          <cell r="E87">
            <v>512</v>
          </cell>
          <cell r="F87" t="str">
            <v>L</v>
          </cell>
          <cell r="G87">
            <v>100</v>
          </cell>
          <cell r="H87">
            <v>132</v>
          </cell>
          <cell r="I87">
            <v>16.8</v>
          </cell>
        </row>
        <row r="88">
          <cell r="C88">
            <v>74</v>
          </cell>
          <cell r="D88" t="str">
            <v>EZEIZA - SPEGAZZINI 1</v>
          </cell>
          <cell r="E88">
            <v>545</v>
          </cell>
          <cell r="F88" t="str">
            <v>L</v>
          </cell>
          <cell r="G88">
            <v>100</v>
          </cell>
          <cell r="H88">
            <v>132</v>
          </cell>
          <cell r="I88">
            <v>12.6</v>
          </cell>
        </row>
        <row r="89">
          <cell r="C89">
            <v>75</v>
          </cell>
          <cell r="D89" t="str">
            <v>EZEIZA - SPEGAZZINI 2</v>
          </cell>
          <cell r="E89">
            <v>546</v>
          </cell>
          <cell r="F89" t="str">
            <v>L</v>
          </cell>
          <cell r="G89">
            <v>100</v>
          </cell>
          <cell r="H89">
            <v>132</v>
          </cell>
          <cell r="I89">
            <v>12.6</v>
          </cell>
        </row>
        <row r="90">
          <cell r="C90">
            <v>94</v>
          </cell>
          <cell r="D90" t="str">
            <v>ALTE. BROWN - GLEW 1 </v>
          </cell>
          <cell r="E90">
            <v>547</v>
          </cell>
          <cell r="F90" t="str">
            <v>C</v>
          </cell>
          <cell r="G90">
            <v>0</v>
          </cell>
          <cell r="H90">
            <v>132</v>
          </cell>
          <cell r="I90">
            <v>7.5</v>
          </cell>
        </row>
        <row r="91">
          <cell r="C91">
            <v>95</v>
          </cell>
          <cell r="D91" t="str">
            <v>ALTE. BROWN - GLEW 2 </v>
          </cell>
          <cell r="E91">
            <v>548</v>
          </cell>
          <cell r="F91" t="str">
            <v>C</v>
          </cell>
          <cell r="G91">
            <v>0</v>
          </cell>
          <cell r="H91">
            <v>132</v>
          </cell>
          <cell r="I91">
            <v>7.5</v>
          </cell>
        </row>
        <row r="92">
          <cell r="C92">
            <v>52</v>
          </cell>
          <cell r="D92" t="str">
            <v>BOSQUES - MONTE CHINGOLO 1 </v>
          </cell>
          <cell r="E92">
            <v>553</v>
          </cell>
          <cell r="F92" t="str">
            <v>L</v>
          </cell>
          <cell r="G92">
            <v>100</v>
          </cell>
          <cell r="H92">
            <v>132</v>
          </cell>
          <cell r="I92">
            <v>20.6</v>
          </cell>
        </row>
        <row r="93">
          <cell r="C93">
            <v>53</v>
          </cell>
          <cell r="D93" t="str">
            <v>BOSQUES - MONTE CHINGOLO 2 </v>
          </cell>
          <cell r="E93">
            <v>554</v>
          </cell>
          <cell r="F93" t="str">
            <v>L</v>
          </cell>
          <cell r="G93">
            <v>100</v>
          </cell>
          <cell r="H93">
            <v>132</v>
          </cell>
          <cell r="I93">
            <v>20.4</v>
          </cell>
        </row>
        <row r="94">
          <cell r="C94">
            <v>54</v>
          </cell>
          <cell r="D94" t="str">
            <v>ESCALADA - GERLI 1</v>
          </cell>
          <cell r="E94">
            <v>555</v>
          </cell>
          <cell r="F94" t="str">
            <v>C</v>
          </cell>
          <cell r="G94">
            <v>0</v>
          </cell>
          <cell r="H94">
            <v>132</v>
          </cell>
          <cell r="I94">
            <v>4.8</v>
          </cell>
        </row>
        <row r="95">
          <cell r="C95">
            <v>55</v>
          </cell>
          <cell r="D95" t="str">
            <v>ESCALADA - GERLI 2 </v>
          </cell>
          <cell r="E95">
            <v>556</v>
          </cell>
          <cell r="F95" t="str">
            <v>C</v>
          </cell>
          <cell r="G95">
            <v>0</v>
          </cell>
          <cell r="H95">
            <v>132</v>
          </cell>
          <cell r="I95">
            <v>4.8</v>
          </cell>
        </row>
        <row r="96">
          <cell r="C96">
            <v>56</v>
          </cell>
          <cell r="D96" t="str">
            <v>CORINA - ESCALADA </v>
          </cell>
          <cell r="E96">
            <v>574</v>
          </cell>
          <cell r="F96" t="str">
            <v>C</v>
          </cell>
          <cell r="G96">
            <v>0</v>
          </cell>
          <cell r="H96">
            <v>132</v>
          </cell>
          <cell r="I96">
            <v>3.6</v>
          </cell>
        </row>
        <row r="97">
          <cell r="C97">
            <v>57</v>
          </cell>
          <cell r="D97" t="str">
            <v>V. ALSINA - 9 DE JULIO </v>
          </cell>
          <cell r="E97">
            <v>577</v>
          </cell>
          <cell r="F97" t="str">
            <v>C</v>
          </cell>
          <cell r="G97">
            <v>0</v>
          </cell>
          <cell r="H97">
            <v>132</v>
          </cell>
          <cell r="I97">
            <v>8.1</v>
          </cell>
        </row>
        <row r="98">
          <cell r="C98">
            <v>58</v>
          </cell>
          <cell r="D98" t="str">
            <v>V. ALSINA - ESCALADA </v>
          </cell>
          <cell r="E98">
            <v>578</v>
          </cell>
          <cell r="F98" t="str">
            <v>C</v>
          </cell>
          <cell r="G98">
            <v>0</v>
          </cell>
          <cell r="H98">
            <v>132</v>
          </cell>
          <cell r="I98">
            <v>6.6</v>
          </cell>
        </row>
        <row r="99">
          <cell r="C99">
            <v>59</v>
          </cell>
          <cell r="D99" t="str">
            <v>ALTE. BROWN - ESCALADA 1 </v>
          </cell>
          <cell r="E99">
            <v>579</v>
          </cell>
          <cell r="F99" t="str">
            <v>C</v>
          </cell>
          <cell r="G99">
            <v>0</v>
          </cell>
          <cell r="H99">
            <v>132</v>
          </cell>
          <cell r="I99">
            <v>16.7</v>
          </cell>
        </row>
        <row r="100">
          <cell r="C100">
            <v>60</v>
          </cell>
          <cell r="D100" t="str">
            <v>ALTE. BROWN - ESCALADA 2 </v>
          </cell>
          <cell r="E100">
            <v>580</v>
          </cell>
          <cell r="F100" t="str">
            <v>C</v>
          </cell>
          <cell r="G100">
            <v>0</v>
          </cell>
          <cell r="H100">
            <v>132</v>
          </cell>
          <cell r="I100">
            <v>16.6</v>
          </cell>
        </row>
        <row r="101">
          <cell r="C101">
            <v>61</v>
          </cell>
          <cell r="D101" t="str">
            <v>ALTE. BROWN - ECHEVERRÍA 1 </v>
          </cell>
          <cell r="E101">
            <v>581</v>
          </cell>
          <cell r="F101" t="str">
            <v>LC</v>
          </cell>
          <cell r="G101">
            <v>70.23</v>
          </cell>
          <cell r="H101">
            <v>132</v>
          </cell>
          <cell r="I101">
            <v>8.4</v>
          </cell>
        </row>
        <row r="102">
          <cell r="C102">
            <v>62</v>
          </cell>
          <cell r="D102" t="str">
            <v>ALTE. BROWN - ECHEVERRÍA 2 </v>
          </cell>
          <cell r="E102">
            <v>582</v>
          </cell>
          <cell r="F102" t="str">
            <v>LC</v>
          </cell>
          <cell r="G102">
            <v>88.46153846153845</v>
          </cell>
          <cell r="H102">
            <v>132</v>
          </cell>
          <cell r="I102">
            <v>7.800000000000001</v>
          </cell>
        </row>
        <row r="103">
          <cell r="C103">
            <v>98</v>
          </cell>
          <cell r="D103" t="str">
            <v>CALZADA - ALTE BROWN 1</v>
          </cell>
          <cell r="E103">
            <v>581</v>
          </cell>
          <cell r="F103" t="str">
            <v>LC</v>
          </cell>
          <cell r="G103">
            <v>84.52</v>
          </cell>
          <cell r="H103">
            <v>132</v>
          </cell>
          <cell r="I103">
            <v>8.4</v>
          </cell>
        </row>
        <row r="104">
          <cell r="C104">
            <v>99</v>
          </cell>
          <cell r="D104" t="str">
            <v>CALZADA - ALTE BROWN 2</v>
          </cell>
          <cell r="E104">
            <v>582</v>
          </cell>
          <cell r="F104" t="str">
            <v>LC</v>
          </cell>
          <cell r="G104">
            <v>88.46</v>
          </cell>
          <cell r="H104">
            <v>132</v>
          </cell>
          <cell r="I104">
            <v>7.8</v>
          </cell>
        </row>
        <row r="105">
          <cell r="C105">
            <v>63</v>
          </cell>
          <cell r="D105" t="str">
            <v>ALTE. BROWN - SANTA CATALINA 1 </v>
          </cell>
          <cell r="E105">
            <v>585</v>
          </cell>
          <cell r="F105" t="str">
            <v>L</v>
          </cell>
          <cell r="G105">
            <v>100</v>
          </cell>
          <cell r="H105">
            <v>132</v>
          </cell>
          <cell r="I105">
            <v>19.5</v>
          </cell>
        </row>
        <row r="106">
          <cell r="C106">
            <v>64</v>
          </cell>
          <cell r="D106" t="str">
            <v>ALTE. BROWN - SANTA CATALINA 2 </v>
          </cell>
          <cell r="E106">
            <v>586</v>
          </cell>
          <cell r="F106" t="str">
            <v>L</v>
          </cell>
          <cell r="G106">
            <v>100</v>
          </cell>
          <cell r="H106">
            <v>132</v>
          </cell>
          <cell r="I106">
            <v>20.6</v>
          </cell>
        </row>
        <row r="107">
          <cell r="C107">
            <v>96</v>
          </cell>
          <cell r="D107" t="str">
            <v>ALTE. BROWN - TRANSRADIO 1 </v>
          </cell>
          <cell r="E107">
            <v>585</v>
          </cell>
          <cell r="F107" t="str">
            <v>LC</v>
          </cell>
          <cell r="G107">
            <v>79.59183673469387</v>
          </cell>
          <cell r="H107">
            <v>132</v>
          </cell>
          <cell r="I107">
            <v>24.5</v>
          </cell>
        </row>
        <row r="108">
          <cell r="C108">
            <v>97</v>
          </cell>
          <cell r="D108" t="str">
            <v>ALTE. BROWN - TRANSRADIO 2 </v>
          </cell>
          <cell r="E108">
            <v>586</v>
          </cell>
          <cell r="F108" t="str">
            <v>LC</v>
          </cell>
          <cell r="G108">
            <v>80.47</v>
          </cell>
          <cell r="H108">
            <v>132</v>
          </cell>
          <cell r="I108">
            <v>25.6</v>
          </cell>
        </row>
        <row r="109">
          <cell r="C109">
            <v>65</v>
          </cell>
          <cell r="D109" t="str">
            <v>BOSQUES - SOBRAL 1 </v>
          </cell>
          <cell r="E109">
            <v>587</v>
          </cell>
          <cell r="F109" t="str">
            <v>L</v>
          </cell>
          <cell r="G109">
            <v>100</v>
          </cell>
          <cell r="H109">
            <v>132</v>
          </cell>
          <cell r="I109">
            <v>17.4</v>
          </cell>
        </row>
        <row r="110">
          <cell r="C110">
            <v>66</v>
          </cell>
          <cell r="D110" t="str">
            <v>BOSQUES - SOBRAL 2 </v>
          </cell>
          <cell r="E110">
            <v>588</v>
          </cell>
          <cell r="F110" t="str">
            <v>L</v>
          </cell>
          <cell r="G110">
            <v>100</v>
          </cell>
          <cell r="H110">
            <v>132</v>
          </cell>
          <cell r="I110">
            <v>17.4</v>
          </cell>
        </row>
        <row r="111">
          <cell r="C111">
            <v>67</v>
          </cell>
          <cell r="D111" t="str">
            <v>PERITO MORENO - AUTODROMO 1</v>
          </cell>
          <cell r="E111">
            <v>648</v>
          </cell>
          <cell r="F111" t="str">
            <v>C</v>
          </cell>
          <cell r="G111">
            <v>0</v>
          </cell>
          <cell r="H111">
            <v>132</v>
          </cell>
          <cell r="I111">
            <v>5.4</v>
          </cell>
        </row>
        <row r="112">
          <cell r="C112">
            <v>68</v>
          </cell>
          <cell r="D112" t="str">
            <v>PERITO MORENO - AUTODROMO 2 </v>
          </cell>
          <cell r="E112">
            <v>649</v>
          </cell>
          <cell r="F112" t="str">
            <v>C</v>
          </cell>
          <cell r="G112">
            <v>0</v>
          </cell>
          <cell r="H112">
            <v>132</v>
          </cell>
          <cell r="I112">
            <v>5.5</v>
          </cell>
        </row>
        <row r="113">
          <cell r="C113">
            <v>100</v>
          </cell>
          <cell r="D113" t="str">
            <v>PERITO MORENO - MATANZA 1</v>
          </cell>
          <cell r="E113">
            <v>648</v>
          </cell>
          <cell r="F113" t="str">
            <v>C</v>
          </cell>
          <cell r="G113">
            <v>0</v>
          </cell>
          <cell r="H113">
            <v>132</v>
          </cell>
          <cell r="I113">
            <v>10.2</v>
          </cell>
        </row>
        <row r="114">
          <cell r="C114">
            <v>101</v>
          </cell>
          <cell r="D114" t="str">
            <v>PERITO MORENO - MATANZA 2 </v>
          </cell>
          <cell r="E114">
            <v>649</v>
          </cell>
          <cell r="F114" t="str">
            <v>C</v>
          </cell>
          <cell r="G114">
            <v>0</v>
          </cell>
          <cell r="H114">
            <v>132</v>
          </cell>
          <cell r="I114">
            <v>10.32</v>
          </cell>
        </row>
        <row r="115">
          <cell r="C115">
            <v>69</v>
          </cell>
          <cell r="D115" t="str">
            <v>NUEVO PUERTO - GALDOS 1</v>
          </cell>
          <cell r="E115">
            <v>727</v>
          </cell>
          <cell r="F115" t="str">
            <v>C</v>
          </cell>
          <cell r="G115">
            <v>0</v>
          </cell>
          <cell r="H115">
            <v>28</v>
          </cell>
          <cell r="I115">
            <v>7.7</v>
          </cell>
        </row>
        <row r="116">
          <cell r="C116">
            <v>70</v>
          </cell>
          <cell r="D116" t="str">
            <v>NUEVO PUERTO - GALDOS 2 </v>
          </cell>
          <cell r="E116">
            <v>729</v>
          </cell>
          <cell r="F116" t="str">
            <v>C</v>
          </cell>
          <cell r="G116">
            <v>0</v>
          </cell>
          <cell r="H116">
            <v>28</v>
          </cell>
          <cell r="I116">
            <v>7.8</v>
          </cell>
        </row>
        <row r="117">
          <cell r="C117">
            <v>71</v>
          </cell>
          <cell r="D117" t="str">
            <v>NUEVO PUERTO - GALDOS 3 </v>
          </cell>
          <cell r="E117">
            <v>731</v>
          </cell>
          <cell r="F117" t="str">
            <v>C</v>
          </cell>
          <cell r="G117">
            <v>0</v>
          </cell>
          <cell r="H117">
            <v>37.4</v>
          </cell>
          <cell r="I117">
            <v>7.4</v>
          </cell>
        </row>
        <row r="118">
          <cell r="C118">
            <v>102</v>
          </cell>
          <cell r="D118" t="str">
            <v>BOSQUES - SOBRAL 1 </v>
          </cell>
          <cell r="E118">
            <v>587</v>
          </cell>
          <cell r="F118" t="str">
            <v>LC</v>
          </cell>
          <cell r="G118">
            <v>88.16</v>
          </cell>
          <cell r="H118">
            <v>132</v>
          </cell>
          <cell r="I118">
            <v>16.9</v>
          </cell>
        </row>
        <row r="119">
          <cell r="C119">
            <v>103</v>
          </cell>
          <cell r="D119" t="str">
            <v>BOSQUES - SOBRAL 2 </v>
          </cell>
          <cell r="E119">
            <v>588</v>
          </cell>
          <cell r="F119" t="str">
            <v>LC</v>
          </cell>
          <cell r="G119">
            <v>88.16</v>
          </cell>
          <cell r="H119">
            <v>132</v>
          </cell>
          <cell r="I119">
            <v>16.9</v>
          </cell>
        </row>
        <row r="120">
          <cell r="C120">
            <v>104</v>
          </cell>
          <cell r="D120" t="str">
            <v>BOSQUES - HUDSON 1 </v>
          </cell>
          <cell r="E120">
            <v>30</v>
          </cell>
          <cell r="F120" t="str">
            <v>L</v>
          </cell>
          <cell r="G120">
            <v>100</v>
          </cell>
          <cell r="H120">
            <v>220</v>
          </cell>
          <cell r="I120">
            <v>10</v>
          </cell>
        </row>
        <row r="121">
          <cell r="C121">
            <v>105</v>
          </cell>
          <cell r="D121" t="str">
            <v>BOSQUES - HUDSON 2 </v>
          </cell>
          <cell r="E121">
            <v>31</v>
          </cell>
          <cell r="F121" t="str">
            <v>L</v>
          </cell>
          <cell r="H121">
            <v>220</v>
          </cell>
          <cell r="I121">
            <v>10</v>
          </cell>
        </row>
        <row r="122">
          <cell r="C122">
            <v>106</v>
          </cell>
          <cell r="D122" t="str">
            <v>HUDSON - COSTANERA 1</v>
          </cell>
          <cell r="E122">
            <v>50</v>
          </cell>
          <cell r="F122" t="str">
            <v>L</v>
          </cell>
          <cell r="H122">
            <v>220</v>
          </cell>
          <cell r="I122">
            <v>22.6</v>
          </cell>
        </row>
        <row r="123">
          <cell r="C123">
            <v>107</v>
          </cell>
          <cell r="D123" t="str">
            <v>HUDSON - COSTANERA 2</v>
          </cell>
          <cell r="E123">
            <v>51</v>
          </cell>
          <cell r="F123" t="str">
            <v>L</v>
          </cell>
          <cell r="H123">
            <v>220</v>
          </cell>
          <cell r="I123">
            <v>22.6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tasa"/>
    </sheetNames>
    <sheetDataSet>
      <sheetData sheetId="0">
        <row r="17">
          <cell r="C17">
            <v>1</v>
          </cell>
          <cell r="D17" t="str">
            <v>GALDOS - P. DE MENDOZA 1</v>
          </cell>
          <cell r="E17">
            <v>1</v>
          </cell>
          <cell r="F17" t="str">
            <v>C</v>
          </cell>
          <cell r="G17">
            <v>0</v>
          </cell>
          <cell r="H17">
            <v>13.2</v>
          </cell>
          <cell r="I17">
            <v>1</v>
          </cell>
          <cell r="HS17" t="str">
            <v>XXXX</v>
          </cell>
          <cell r="HT17" t="str">
            <v>XXXX</v>
          </cell>
          <cell r="HU17" t="str">
            <v>XXXX</v>
          </cell>
          <cell r="HV17" t="str">
            <v>XXXX</v>
          </cell>
          <cell r="HW17" t="str">
            <v>XXXX</v>
          </cell>
          <cell r="HX17" t="str">
            <v>XXXX</v>
          </cell>
          <cell r="HY17" t="str">
            <v>XXXX</v>
          </cell>
          <cell r="HZ17" t="str">
            <v>XXXX</v>
          </cell>
          <cell r="IA17" t="str">
            <v>XXXX</v>
          </cell>
          <cell r="IB17" t="str">
            <v>XXXX</v>
          </cell>
          <cell r="IC17" t="str">
            <v>XXXX</v>
          </cell>
          <cell r="ID17" t="str">
            <v>XXXX</v>
          </cell>
        </row>
        <row r="18">
          <cell r="C18">
            <v>2</v>
          </cell>
          <cell r="D18" t="str">
            <v>GALDOS - P. DE MENDOZA 2</v>
          </cell>
          <cell r="E18">
            <v>2</v>
          </cell>
          <cell r="F18" t="str">
            <v>C</v>
          </cell>
          <cell r="G18">
            <v>0</v>
          </cell>
          <cell r="H18">
            <v>13.2</v>
          </cell>
          <cell r="I18">
            <v>1</v>
          </cell>
          <cell r="HS18" t="str">
            <v>XXXX</v>
          </cell>
          <cell r="HT18" t="str">
            <v>XXXX</v>
          </cell>
          <cell r="HU18" t="str">
            <v>XXXX</v>
          </cell>
          <cell r="HV18" t="str">
            <v>XXXX</v>
          </cell>
          <cell r="HW18" t="str">
            <v>XXXX</v>
          </cell>
          <cell r="HX18" t="str">
            <v>XXXX</v>
          </cell>
          <cell r="HY18" t="str">
            <v>XXXX</v>
          </cell>
          <cell r="HZ18" t="str">
            <v>XXXX</v>
          </cell>
          <cell r="IA18" t="str">
            <v>XXXX</v>
          </cell>
          <cell r="IB18" t="str">
            <v>XXXX</v>
          </cell>
          <cell r="IC18" t="str">
            <v>XXXX</v>
          </cell>
          <cell r="ID18" t="str">
            <v>XXXX</v>
          </cell>
        </row>
        <row r="19">
          <cell r="C19">
            <v>3</v>
          </cell>
          <cell r="D19" t="str">
            <v>EZEIZA - ALTE. BROWN 1 </v>
          </cell>
          <cell r="E19">
            <v>33</v>
          </cell>
          <cell r="F19" t="str">
            <v>L</v>
          </cell>
          <cell r="G19">
            <v>100</v>
          </cell>
          <cell r="H19">
            <v>220</v>
          </cell>
          <cell r="I19">
            <v>36.6</v>
          </cell>
          <cell r="IB19">
            <v>2</v>
          </cell>
          <cell r="IC19">
            <v>1</v>
          </cell>
        </row>
        <row r="20">
          <cell r="C20">
            <v>4</v>
          </cell>
          <cell r="D20" t="str">
            <v>EZEIZA - ALTE. BROWN 2 </v>
          </cell>
          <cell r="E20">
            <v>34</v>
          </cell>
          <cell r="F20" t="str">
            <v>L</v>
          </cell>
          <cell r="G20">
            <v>100</v>
          </cell>
          <cell r="H20">
            <v>220</v>
          </cell>
          <cell r="I20">
            <v>36.6</v>
          </cell>
          <cell r="IB20">
            <v>1</v>
          </cell>
        </row>
        <row r="21">
          <cell r="C21">
            <v>5</v>
          </cell>
          <cell r="D21" t="str">
            <v>BOSQUES - COSTANERA 1</v>
          </cell>
          <cell r="E21">
            <v>50</v>
          </cell>
          <cell r="F21" t="str">
            <v>L</v>
          </cell>
          <cell r="G21">
            <v>100</v>
          </cell>
          <cell r="H21">
            <v>220</v>
          </cell>
          <cell r="I21">
            <v>32.6</v>
          </cell>
          <cell r="HS21" t="str">
            <v>XXXX</v>
          </cell>
          <cell r="HT21" t="str">
            <v>XXXX</v>
          </cell>
          <cell r="HU21" t="str">
            <v>XXXX</v>
          </cell>
          <cell r="HV21" t="str">
            <v>XXXX</v>
          </cell>
          <cell r="HW21" t="str">
            <v>XXXX</v>
          </cell>
          <cell r="HX21" t="str">
            <v>XXXX</v>
          </cell>
          <cell r="HY21" t="str">
            <v>XXXX</v>
          </cell>
          <cell r="HZ21" t="str">
            <v>XXXX</v>
          </cell>
          <cell r="IA21" t="str">
            <v>XXXX</v>
          </cell>
          <cell r="IB21" t="str">
            <v>XXXX</v>
          </cell>
          <cell r="IC21" t="str">
            <v>XXXX</v>
          </cell>
          <cell r="ID21" t="str">
            <v>XXXX</v>
          </cell>
        </row>
        <row r="22">
          <cell r="C22">
            <v>6</v>
          </cell>
          <cell r="D22" t="str">
            <v>BOSQUES - COSTANERA 2</v>
          </cell>
          <cell r="E22">
            <v>51</v>
          </cell>
          <cell r="F22" t="str">
            <v>L</v>
          </cell>
          <cell r="G22">
            <v>100</v>
          </cell>
          <cell r="H22">
            <v>220</v>
          </cell>
          <cell r="I22">
            <v>32.6</v>
          </cell>
          <cell r="HS22" t="str">
            <v>XXXX</v>
          </cell>
          <cell r="HT22" t="str">
            <v>XXXX</v>
          </cell>
          <cell r="HU22" t="str">
            <v>XXXX</v>
          </cell>
          <cell r="HV22" t="str">
            <v>XXXX</v>
          </cell>
          <cell r="HW22" t="str">
            <v>XXXX</v>
          </cell>
          <cell r="HX22" t="str">
            <v>XXXX</v>
          </cell>
          <cell r="HY22" t="str">
            <v>XXXX</v>
          </cell>
          <cell r="HZ22" t="str">
            <v>XXXX</v>
          </cell>
          <cell r="IA22" t="str">
            <v>XXXX</v>
          </cell>
          <cell r="IB22" t="str">
            <v>XXXX</v>
          </cell>
          <cell r="IC22" t="str">
            <v>XXXX</v>
          </cell>
          <cell r="ID22" t="str">
            <v>XXXX</v>
          </cell>
        </row>
        <row r="23">
          <cell r="C23">
            <v>7</v>
          </cell>
          <cell r="D23" t="str">
            <v>COSTANERA - AZOPARDO II 1</v>
          </cell>
          <cell r="E23">
            <v>52</v>
          </cell>
          <cell r="F23" t="str">
            <v>C</v>
          </cell>
          <cell r="G23">
            <v>0</v>
          </cell>
          <cell r="H23">
            <v>220</v>
          </cell>
          <cell r="I23">
            <v>4.2</v>
          </cell>
          <cell r="HT23">
            <v>1</v>
          </cell>
          <cell r="IB23">
            <v>1</v>
          </cell>
          <cell r="IC23">
            <v>1</v>
          </cell>
        </row>
        <row r="24">
          <cell r="C24">
            <v>8</v>
          </cell>
          <cell r="D24" t="str">
            <v>COSTANERA - AZOPARDO II 2</v>
          </cell>
          <cell r="E24">
            <v>53</v>
          </cell>
          <cell r="F24" t="str">
            <v>C</v>
          </cell>
          <cell r="G24">
            <v>0</v>
          </cell>
          <cell r="H24">
            <v>220</v>
          </cell>
          <cell r="I24">
            <v>4.2</v>
          </cell>
          <cell r="IB24">
            <v>1</v>
          </cell>
        </row>
        <row r="25">
          <cell r="C25">
            <v>9</v>
          </cell>
          <cell r="D25" t="str">
            <v>BOSQUES - ABASTO 1 </v>
          </cell>
          <cell r="E25">
            <v>58</v>
          </cell>
          <cell r="F25" t="str">
            <v>L</v>
          </cell>
          <cell r="G25">
            <v>100</v>
          </cell>
          <cell r="H25">
            <v>220</v>
          </cell>
          <cell r="I25">
            <v>16.3</v>
          </cell>
          <cell r="HS25">
            <v>1</v>
          </cell>
          <cell r="HT25">
            <v>1</v>
          </cell>
          <cell r="HW25">
            <v>1</v>
          </cell>
          <cell r="HY25">
            <v>1</v>
          </cell>
          <cell r="HZ25">
            <v>1</v>
          </cell>
          <cell r="IA25">
            <v>1</v>
          </cell>
          <cell r="IB25">
            <v>1</v>
          </cell>
          <cell r="ID25">
            <v>1</v>
          </cell>
        </row>
        <row r="26">
          <cell r="C26">
            <v>10</v>
          </cell>
          <cell r="D26" t="str">
            <v>BOSQUES - ABASTO 2 </v>
          </cell>
          <cell r="E26">
            <v>59</v>
          </cell>
          <cell r="F26" t="str">
            <v>L</v>
          </cell>
          <cell r="G26">
            <v>100</v>
          </cell>
          <cell r="H26">
            <v>220</v>
          </cell>
          <cell r="I26">
            <v>16.3</v>
          </cell>
          <cell r="HW26">
            <v>1</v>
          </cell>
        </row>
        <row r="27">
          <cell r="C27">
            <v>11</v>
          </cell>
          <cell r="D27" t="str">
            <v>EZEIZA - PERITO MORENO 1</v>
          </cell>
          <cell r="E27">
            <v>61</v>
          </cell>
          <cell r="F27" t="str">
            <v>LC</v>
          </cell>
          <cell r="G27">
            <v>90.23</v>
          </cell>
          <cell r="H27">
            <v>220</v>
          </cell>
          <cell r="I27">
            <v>57.3</v>
          </cell>
        </row>
        <row r="28">
          <cell r="C28">
            <v>12</v>
          </cell>
          <cell r="D28" t="str">
            <v>EZEIZA - PERITO MORENO 2 </v>
          </cell>
          <cell r="E28">
            <v>62</v>
          </cell>
          <cell r="F28" t="str">
            <v>LC</v>
          </cell>
          <cell r="G28">
            <v>89.76</v>
          </cell>
          <cell r="H28">
            <v>220</v>
          </cell>
          <cell r="I28">
            <v>57.6</v>
          </cell>
          <cell r="HT28">
            <v>1</v>
          </cell>
          <cell r="HW28">
            <v>1</v>
          </cell>
          <cell r="HX28">
            <v>2</v>
          </cell>
          <cell r="HY28">
            <v>1</v>
          </cell>
          <cell r="ID28">
            <v>1</v>
          </cell>
        </row>
        <row r="29">
          <cell r="C29">
            <v>13</v>
          </cell>
          <cell r="D29" t="str">
            <v>NUEVO PUERTO - RIVADAVIA 1</v>
          </cell>
          <cell r="E29">
            <v>103</v>
          </cell>
          <cell r="F29" t="str">
            <v>C</v>
          </cell>
          <cell r="G29">
            <v>0</v>
          </cell>
          <cell r="H29">
            <v>132</v>
          </cell>
          <cell r="I29">
            <v>5.2</v>
          </cell>
          <cell r="HS29" t="str">
            <v>XXXX</v>
          </cell>
          <cell r="HT29" t="str">
            <v>XXXX</v>
          </cell>
          <cell r="HU29" t="str">
            <v>XXXX</v>
          </cell>
          <cell r="HV29" t="str">
            <v>XXXX</v>
          </cell>
          <cell r="HW29" t="str">
            <v>XXXX</v>
          </cell>
          <cell r="HX29" t="str">
            <v>XXXX</v>
          </cell>
          <cell r="HY29" t="str">
            <v>XXXX</v>
          </cell>
          <cell r="HZ29" t="str">
            <v>XXXX</v>
          </cell>
          <cell r="IA29" t="str">
            <v>XXXX</v>
          </cell>
          <cell r="IB29" t="str">
            <v>XXXX</v>
          </cell>
          <cell r="IC29" t="str">
            <v>XXXX</v>
          </cell>
          <cell r="ID29" t="str">
            <v>XXXX</v>
          </cell>
        </row>
        <row r="30">
          <cell r="C30">
            <v>79</v>
          </cell>
          <cell r="D30" t="str">
            <v>NUEVO PUERTO - AZOPARDO 1</v>
          </cell>
          <cell r="E30">
            <v>103</v>
          </cell>
          <cell r="F30" t="str">
            <v>C</v>
          </cell>
          <cell r="G30">
            <v>0</v>
          </cell>
          <cell r="H30">
            <v>132</v>
          </cell>
          <cell r="I30">
            <v>6.7</v>
          </cell>
        </row>
        <row r="31">
          <cell r="C31">
            <v>14</v>
          </cell>
          <cell r="D31" t="str">
            <v>NUEVO PUERTO - PELLEGRINI 2 </v>
          </cell>
          <cell r="E31">
            <v>104</v>
          </cell>
          <cell r="F31" t="str">
            <v>C</v>
          </cell>
          <cell r="G31">
            <v>0</v>
          </cell>
          <cell r="H31">
            <v>132</v>
          </cell>
          <cell r="I31">
            <v>5.8</v>
          </cell>
          <cell r="HS31" t="str">
            <v>XXXX</v>
          </cell>
          <cell r="HT31" t="str">
            <v>XXXX</v>
          </cell>
          <cell r="HU31" t="str">
            <v>XXXX</v>
          </cell>
          <cell r="HV31" t="str">
            <v>XXXX</v>
          </cell>
          <cell r="HW31" t="str">
            <v>XXXX</v>
          </cell>
          <cell r="HX31" t="str">
            <v>XXXX</v>
          </cell>
          <cell r="HY31" t="str">
            <v>XXXX</v>
          </cell>
          <cell r="HZ31" t="str">
            <v>XXXX</v>
          </cell>
          <cell r="IA31" t="str">
            <v>XXXX</v>
          </cell>
          <cell r="IB31" t="str">
            <v>XXXX</v>
          </cell>
          <cell r="IC31" t="str">
            <v>XXXX</v>
          </cell>
          <cell r="ID31" t="str">
            <v>XXXX</v>
          </cell>
        </row>
        <row r="32">
          <cell r="C32">
            <v>80</v>
          </cell>
          <cell r="D32" t="str">
            <v>NUEVO PUERTO - AZOPARDO 2</v>
          </cell>
          <cell r="E32">
            <v>104</v>
          </cell>
          <cell r="F32" t="str">
            <v>C</v>
          </cell>
          <cell r="G32">
            <v>0</v>
          </cell>
          <cell r="H32">
            <v>132</v>
          </cell>
          <cell r="I32">
            <v>7.3</v>
          </cell>
          <cell r="IA32">
            <v>1</v>
          </cell>
        </row>
        <row r="33">
          <cell r="C33">
            <v>15</v>
          </cell>
          <cell r="D33" t="str">
            <v>NUEVO PUERTO - PELLEGRINI 3</v>
          </cell>
          <cell r="E33">
            <v>105</v>
          </cell>
          <cell r="F33" t="str">
            <v>C</v>
          </cell>
          <cell r="G33">
            <v>0</v>
          </cell>
          <cell r="H33">
            <v>132</v>
          </cell>
          <cell r="I33">
            <v>5.8</v>
          </cell>
          <cell r="HS33" t="str">
            <v>XXXX</v>
          </cell>
          <cell r="HT33" t="str">
            <v>XXXX</v>
          </cell>
          <cell r="HU33" t="str">
            <v>XXXX</v>
          </cell>
          <cell r="HV33" t="str">
            <v>XXXX</v>
          </cell>
          <cell r="HW33" t="str">
            <v>XXXX</v>
          </cell>
          <cell r="HX33" t="str">
            <v>XXXX</v>
          </cell>
          <cell r="HY33" t="str">
            <v>XXXX</v>
          </cell>
          <cell r="HZ33" t="str">
            <v>XXXX</v>
          </cell>
          <cell r="IA33" t="str">
            <v>XXXX</v>
          </cell>
          <cell r="IB33" t="str">
            <v>XXXX</v>
          </cell>
          <cell r="IC33" t="str">
            <v>XXXX</v>
          </cell>
          <cell r="ID33" t="str">
            <v>XXXX</v>
          </cell>
        </row>
        <row r="34">
          <cell r="C34">
            <v>81</v>
          </cell>
          <cell r="D34" t="str">
            <v>NUEVO PUERTO - AZOPARDO 3</v>
          </cell>
          <cell r="E34">
            <v>105</v>
          </cell>
          <cell r="F34" t="str">
            <v>C</v>
          </cell>
          <cell r="G34">
            <v>0</v>
          </cell>
          <cell r="H34">
            <v>132</v>
          </cell>
          <cell r="I34">
            <v>7.3</v>
          </cell>
        </row>
        <row r="35">
          <cell r="C35">
            <v>16</v>
          </cell>
          <cell r="D35" t="str">
            <v>NUEVO PUERTO - AZCUENAGA 1</v>
          </cell>
          <cell r="E35">
            <v>106</v>
          </cell>
          <cell r="F35" t="str">
            <v>C</v>
          </cell>
          <cell r="G35">
            <v>0</v>
          </cell>
          <cell r="H35">
            <v>132</v>
          </cell>
          <cell r="I35">
            <v>5</v>
          </cell>
        </row>
        <row r="36">
          <cell r="C36">
            <v>17</v>
          </cell>
          <cell r="D36" t="str">
            <v>NUEVO PUERTO - AZCUENAGA 2 </v>
          </cell>
          <cell r="E36">
            <v>107</v>
          </cell>
          <cell r="F36" t="str">
            <v>C</v>
          </cell>
          <cell r="G36">
            <v>0</v>
          </cell>
          <cell r="H36">
            <v>132</v>
          </cell>
          <cell r="I36">
            <v>5</v>
          </cell>
        </row>
        <row r="37">
          <cell r="C37">
            <v>18</v>
          </cell>
          <cell r="D37" t="str">
            <v>PUERTO NUEVO - COSTANERA </v>
          </cell>
          <cell r="E37">
            <v>111</v>
          </cell>
          <cell r="F37" t="str">
            <v>C</v>
          </cell>
          <cell r="G37">
            <v>0</v>
          </cell>
          <cell r="H37">
            <v>132</v>
          </cell>
          <cell r="I37">
            <v>5.78</v>
          </cell>
          <cell r="HS37">
            <v>1</v>
          </cell>
          <cell r="HY37">
            <v>1</v>
          </cell>
          <cell r="IC37">
            <v>1</v>
          </cell>
        </row>
        <row r="38">
          <cell r="C38">
            <v>19</v>
          </cell>
          <cell r="D38" t="str">
            <v>PUERTO NUEVO - COSTANERA 2 </v>
          </cell>
          <cell r="E38">
            <v>112</v>
          </cell>
          <cell r="F38" t="str">
            <v>C</v>
          </cell>
          <cell r="G38">
            <v>0</v>
          </cell>
          <cell r="H38">
            <v>132</v>
          </cell>
          <cell r="I38">
            <v>7.4</v>
          </cell>
          <cell r="HS38" t="str">
            <v>XXXX</v>
          </cell>
          <cell r="HT38" t="str">
            <v>XXXX</v>
          </cell>
          <cell r="HU38" t="str">
            <v>XXXX</v>
          </cell>
          <cell r="HV38" t="str">
            <v>XXXX</v>
          </cell>
          <cell r="HW38" t="str">
            <v>XXXX</v>
          </cell>
          <cell r="HX38" t="str">
            <v>XXXX</v>
          </cell>
          <cell r="HY38" t="str">
            <v>XXXX</v>
          </cell>
          <cell r="HZ38" t="str">
            <v>XXXX</v>
          </cell>
          <cell r="IA38" t="str">
            <v>XXXX</v>
          </cell>
          <cell r="IB38" t="str">
            <v>XXXX</v>
          </cell>
          <cell r="IC38" t="str">
            <v>XXXX</v>
          </cell>
          <cell r="ID38" t="str">
            <v>XXXX</v>
          </cell>
        </row>
        <row r="39">
          <cell r="C39">
            <v>72</v>
          </cell>
          <cell r="D39" t="str">
            <v>AZOPARDO - PUERTO NUEVO 2</v>
          </cell>
          <cell r="E39">
            <v>112</v>
          </cell>
          <cell r="F39" t="str">
            <v>C</v>
          </cell>
          <cell r="G39">
            <v>0</v>
          </cell>
          <cell r="H39">
            <v>132</v>
          </cell>
          <cell r="I39">
            <v>5.8</v>
          </cell>
        </row>
        <row r="40">
          <cell r="C40">
            <v>20</v>
          </cell>
          <cell r="D40" t="str">
            <v>PUERTO NUEVO - COSTANERA 3 </v>
          </cell>
          <cell r="E40">
            <v>113</v>
          </cell>
          <cell r="F40" t="str">
            <v>C</v>
          </cell>
          <cell r="G40">
            <v>0</v>
          </cell>
          <cell r="H40">
            <v>132</v>
          </cell>
          <cell r="I40">
            <v>5.8</v>
          </cell>
          <cell r="IA40">
            <v>1</v>
          </cell>
        </row>
        <row r="41">
          <cell r="C41">
            <v>21</v>
          </cell>
          <cell r="D41" t="str">
            <v>PUERTO NUEVO - AZOPARDO 1</v>
          </cell>
          <cell r="E41">
            <v>135</v>
          </cell>
          <cell r="F41" t="str">
            <v>C</v>
          </cell>
          <cell r="G41">
            <v>0</v>
          </cell>
          <cell r="H41">
            <v>132</v>
          </cell>
          <cell r="I41">
            <v>16.7</v>
          </cell>
          <cell r="HY41">
            <v>1</v>
          </cell>
          <cell r="IB41">
            <v>1</v>
          </cell>
        </row>
        <row r="42">
          <cell r="C42">
            <v>22</v>
          </cell>
          <cell r="D42" t="str">
            <v>PUERTO NUEVO - AZOPARDO 2 </v>
          </cell>
          <cell r="E42">
            <v>136</v>
          </cell>
          <cell r="F42" t="str">
            <v>C</v>
          </cell>
          <cell r="G42">
            <v>0</v>
          </cell>
          <cell r="H42">
            <v>132</v>
          </cell>
          <cell r="I42">
            <v>16.7</v>
          </cell>
          <cell r="IB42">
            <v>1</v>
          </cell>
        </row>
        <row r="43">
          <cell r="C43">
            <v>86</v>
          </cell>
          <cell r="D43" t="str">
            <v>DOCK SUD - SOBRAL 1</v>
          </cell>
          <cell r="E43">
            <v>201</v>
          </cell>
          <cell r="F43" t="str">
            <v>L/C</v>
          </cell>
          <cell r="G43">
            <v>79.44</v>
          </cell>
          <cell r="H43">
            <v>132</v>
          </cell>
          <cell r="I43">
            <v>18</v>
          </cell>
          <cell r="HZ43">
            <v>1</v>
          </cell>
          <cell r="IC43">
            <v>1</v>
          </cell>
        </row>
        <row r="44">
          <cell r="C44">
            <v>87</v>
          </cell>
          <cell r="D44" t="str">
            <v>DOCK SUD - SOBRAL 2</v>
          </cell>
          <cell r="E44">
            <v>202</v>
          </cell>
          <cell r="F44" t="str">
            <v>L/C</v>
          </cell>
          <cell r="G44">
            <v>79.44</v>
          </cell>
          <cell r="H44">
            <v>132</v>
          </cell>
          <cell r="I44">
            <v>18</v>
          </cell>
          <cell r="HZ44">
            <v>1</v>
          </cell>
        </row>
        <row r="45">
          <cell r="C45">
            <v>88</v>
          </cell>
          <cell r="D45" t="str">
            <v>DOCK SUD - QUILMES 1</v>
          </cell>
          <cell r="E45">
            <v>203</v>
          </cell>
          <cell r="F45" t="str">
            <v>L/C</v>
          </cell>
          <cell r="G45">
            <v>85.89</v>
          </cell>
          <cell r="H45">
            <v>132</v>
          </cell>
          <cell r="I45">
            <v>15.6</v>
          </cell>
          <cell r="HX45">
            <v>1</v>
          </cell>
          <cell r="HY45">
            <v>1</v>
          </cell>
        </row>
        <row r="46">
          <cell r="C46">
            <v>89</v>
          </cell>
          <cell r="D46" t="str">
            <v>DOCK SUD - QUILMES 2</v>
          </cell>
          <cell r="E46">
            <v>204</v>
          </cell>
          <cell r="F46" t="str">
            <v>L/C</v>
          </cell>
          <cell r="G46">
            <v>85.89</v>
          </cell>
          <cell r="H46">
            <v>132</v>
          </cell>
          <cell r="I46">
            <v>15.6</v>
          </cell>
          <cell r="HS46">
            <v>1</v>
          </cell>
          <cell r="HU46">
            <v>3</v>
          </cell>
          <cell r="ID46">
            <v>1</v>
          </cell>
        </row>
        <row r="47">
          <cell r="C47">
            <v>23</v>
          </cell>
          <cell r="D47" t="str">
            <v>DOCK SUD - ESCALADA </v>
          </cell>
          <cell r="E47">
            <v>225</v>
          </cell>
          <cell r="F47" t="str">
            <v>C</v>
          </cell>
          <cell r="G47">
            <v>0</v>
          </cell>
          <cell r="H47">
            <v>132</v>
          </cell>
          <cell r="I47">
            <v>10</v>
          </cell>
        </row>
        <row r="48">
          <cell r="C48">
            <v>24</v>
          </cell>
          <cell r="D48" t="str">
            <v>DOCK SUD - CORINA </v>
          </cell>
          <cell r="E48">
            <v>226</v>
          </cell>
          <cell r="F48" t="str">
            <v>C</v>
          </cell>
          <cell r="G48">
            <v>0</v>
          </cell>
          <cell r="H48">
            <v>132</v>
          </cell>
          <cell r="I48">
            <v>6.5</v>
          </cell>
          <cell r="HS48">
            <v>1</v>
          </cell>
        </row>
        <row r="49">
          <cell r="C49">
            <v>25</v>
          </cell>
          <cell r="D49" t="str">
            <v>DOCK SUD - CITY BELL </v>
          </cell>
          <cell r="E49">
            <v>230</v>
          </cell>
          <cell r="F49" t="str">
            <v>C</v>
          </cell>
          <cell r="G49">
            <v>0</v>
          </cell>
          <cell r="H49">
            <v>132</v>
          </cell>
          <cell r="I49">
            <v>42.2</v>
          </cell>
          <cell r="IC49">
            <v>1</v>
          </cell>
        </row>
        <row r="50">
          <cell r="C50">
            <v>26</v>
          </cell>
          <cell r="D50" t="str">
            <v>DOCK SUD - DON BOSCO 1</v>
          </cell>
          <cell r="E50">
            <v>231</v>
          </cell>
          <cell r="F50" t="str">
            <v>LC</v>
          </cell>
          <cell r="G50">
            <v>63.72549019607844</v>
          </cell>
          <cell r="H50">
            <v>132</v>
          </cell>
          <cell r="I50">
            <v>10.2</v>
          </cell>
          <cell r="HS50">
            <v>1</v>
          </cell>
          <cell r="HU50">
            <v>1</v>
          </cell>
          <cell r="IA50">
            <v>1</v>
          </cell>
        </row>
        <row r="51">
          <cell r="C51">
            <v>27</v>
          </cell>
          <cell r="D51" t="str">
            <v>DOCK SUD - DON BOSCO 2 </v>
          </cell>
          <cell r="E51">
            <v>232</v>
          </cell>
          <cell r="F51" t="str">
            <v>LC</v>
          </cell>
          <cell r="G51">
            <v>63.72549019607844</v>
          </cell>
          <cell r="H51">
            <v>132</v>
          </cell>
          <cell r="I51">
            <v>10.2</v>
          </cell>
          <cell r="HS51">
            <v>1</v>
          </cell>
          <cell r="HW51">
            <v>2</v>
          </cell>
          <cell r="IB51">
            <v>1</v>
          </cell>
        </row>
        <row r="52">
          <cell r="C52">
            <v>28</v>
          </cell>
          <cell r="D52" t="str">
            <v>DOCK SUD - 9 DE JULIO </v>
          </cell>
          <cell r="E52">
            <v>233</v>
          </cell>
          <cell r="F52" t="str">
            <v>C</v>
          </cell>
          <cell r="G52">
            <v>0</v>
          </cell>
          <cell r="H52">
            <v>132</v>
          </cell>
          <cell r="I52">
            <v>3.5</v>
          </cell>
          <cell r="HY52">
            <v>1</v>
          </cell>
          <cell r="IC52">
            <v>1</v>
          </cell>
        </row>
        <row r="53">
          <cell r="C53">
            <v>29</v>
          </cell>
          <cell r="D53" t="str">
            <v>COSTANERA - DOCK SUD 1</v>
          </cell>
          <cell r="E53">
            <v>321</v>
          </cell>
          <cell r="F53" t="str">
            <v>C</v>
          </cell>
          <cell r="G53">
            <v>0</v>
          </cell>
          <cell r="H53">
            <v>132</v>
          </cell>
          <cell r="I53">
            <v>5.3</v>
          </cell>
        </row>
        <row r="54">
          <cell r="C54">
            <v>30</v>
          </cell>
          <cell r="D54" t="str">
            <v>COSTANERA - DOCK SUD 2 </v>
          </cell>
          <cell r="E54">
            <v>322</v>
          </cell>
          <cell r="F54" t="str">
            <v>C</v>
          </cell>
          <cell r="G54">
            <v>0</v>
          </cell>
          <cell r="H54">
            <v>132</v>
          </cell>
          <cell r="I54">
            <v>5.3</v>
          </cell>
          <cell r="HU54">
            <v>1</v>
          </cell>
        </row>
        <row r="55">
          <cell r="C55">
            <v>31</v>
          </cell>
          <cell r="D55" t="str">
            <v>COSTANERA - DOCK SUD 3</v>
          </cell>
          <cell r="E55">
            <v>323</v>
          </cell>
          <cell r="F55" t="str">
            <v>C</v>
          </cell>
          <cell r="G55">
            <v>0</v>
          </cell>
          <cell r="H55">
            <v>132</v>
          </cell>
          <cell r="I55">
            <v>5.4</v>
          </cell>
          <cell r="HW55">
            <v>1</v>
          </cell>
        </row>
        <row r="56">
          <cell r="C56">
            <v>32</v>
          </cell>
          <cell r="D56" t="str">
            <v>COSTANERA - DOCK SUD 4</v>
          </cell>
          <cell r="E56">
            <v>324</v>
          </cell>
          <cell r="F56" t="str">
            <v>C</v>
          </cell>
          <cell r="G56">
            <v>0</v>
          </cell>
          <cell r="H56">
            <v>132</v>
          </cell>
          <cell r="I56">
            <v>5.4</v>
          </cell>
          <cell r="HS56">
            <v>1</v>
          </cell>
          <cell r="HU56">
            <v>1</v>
          </cell>
          <cell r="HV56">
            <v>1</v>
          </cell>
          <cell r="IC56">
            <v>1</v>
          </cell>
        </row>
        <row r="57">
          <cell r="C57">
            <v>33</v>
          </cell>
          <cell r="D57" t="str">
            <v>COSTANERA - CENTENARIO 1</v>
          </cell>
          <cell r="E57">
            <v>331</v>
          </cell>
          <cell r="F57" t="str">
            <v>C</v>
          </cell>
          <cell r="G57">
            <v>0</v>
          </cell>
          <cell r="H57">
            <v>132</v>
          </cell>
          <cell r="I57">
            <v>11.3</v>
          </cell>
        </row>
        <row r="58">
          <cell r="C58">
            <v>90</v>
          </cell>
          <cell r="D58" t="str">
            <v>COSTANERA - PERITO MORENO 1</v>
          </cell>
          <cell r="E58">
            <v>333</v>
          </cell>
          <cell r="F58" t="str">
            <v>C</v>
          </cell>
          <cell r="G58">
            <v>0</v>
          </cell>
          <cell r="H58">
            <v>132</v>
          </cell>
          <cell r="I58">
            <v>14.9</v>
          </cell>
          <cell r="HT58">
            <v>1</v>
          </cell>
          <cell r="ID58">
            <v>1</v>
          </cell>
        </row>
        <row r="59">
          <cell r="C59">
            <v>34</v>
          </cell>
          <cell r="D59" t="str">
            <v>COSTANERA - PERITO MORENO 2</v>
          </cell>
          <cell r="E59">
            <v>334</v>
          </cell>
          <cell r="F59" t="str">
            <v>C</v>
          </cell>
          <cell r="G59">
            <v>0</v>
          </cell>
          <cell r="H59">
            <v>132</v>
          </cell>
          <cell r="I59">
            <v>14.9</v>
          </cell>
          <cell r="HT59">
            <v>1</v>
          </cell>
          <cell r="IC59">
            <v>1</v>
          </cell>
        </row>
        <row r="60">
          <cell r="C60">
            <v>35</v>
          </cell>
          <cell r="D60" t="str">
            <v>COSTANERA - P. PATRICIOS </v>
          </cell>
          <cell r="E60">
            <v>335</v>
          </cell>
          <cell r="F60" t="str">
            <v>C</v>
          </cell>
          <cell r="G60">
            <v>0</v>
          </cell>
          <cell r="H60">
            <v>132</v>
          </cell>
          <cell r="I60">
            <v>8.5</v>
          </cell>
        </row>
        <row r="61">
          <cell r="C61">
            <v>36</v>
          </cell>
          <cell r="D61" t="str">
            <v>COSTANERA - GURMENDI 1</v>
          </cell>
          <cell r="E61">
            <v>338</v>
          </cell>
          <cell r="F61" t="str">
            <v>C</v>
          </cell>
          <cell r="G61">
            <v>0</v>
          </cell>
          <cell r="H61">
            <v>132</v>
          </cell>
          <cell r="I61">
            <v>10</v>
          </cell>
          <cell r="HW61">
            <v>1</v>
          </cell>
          <cell r="ID61">
            <v>1</v>
          </cell>
        </row>
        <row r="62">
          <cell r="C62">
            <v>37</v>
          </cell>
          <cell r="D62" t="str">
            <v>COSTANERA - HERNANDARIAS 2 </v>
          </cell>
          <cell r="E62">
            <v>339</v>
          </cell>
          <cell r="F62" t="str">
            <v>C</v>
          </cell>
          <cell r="G62">
            <v>0</v>
          </cell>
          <cell r="H62">
            <v>132</v>
          </cell>
          <cell r="I62">
            <v>11</v>
          </cell>
          <cell r="ID62">
            <v>1</v>
          </cell>
        </row>
        <row r="63">
          <cell r="C63">
            <v>73</v>
          </cell>
          <cell r="D63" t="str">
            <v>AZOPARDO - COSTANERA 1</v>
          </cell>
          <cell r="E63">
            <v>341</v>
          </cell>
          <cell r="F63" t="str">
            <v>C</v>
          </cell>
          <cell r="G63">
            <v>0</v>
          </cell>
          <cell r="H63">
            <v>132</v>
          </cell>
          <cell r="I63">
            <v>3.6</v>
          </cell>
        </row>
        <row r="64">
          <cell r="C64">
            <v>82</v>
          </cell>
          <cell r="D64" t="str">
            <v>AZOPARDO - COSTANERA 2</v>
          </cell>
          <cell r="E64">
            <v>342</v>
          </cell>
          <cell r="F64" t="str">
            <v>C</v>
          </cell>
          <cell r="G64">
            <v>0</v>
          </cell>
          <cell r="H64">
            <v>132</v>
          </cell>
          <cell r="I64">
            <v>3.6</v>
          </cell>
        </row>
        <row r="65">
          <cell r="C65">
            <v>83</v>
          </cell>
          <cell r="D65" t="str">
            <v>AZOPARDO - COSTANERA 3</v>
          </cell>
          <cell r="E65">
            <v>343</v>
          </cell>
          <cell r="F65" t="str">
            <v>C</v>
          </cell>
          <cell r="G65">
            <v>0</v>
          </cell>
          <cell r="H65">
            <v>132</v>
          </cell>
          <cell r="I65">
            <v>3.6</v>
          </cell>
          <cell r="HS65">
            <v>1</v>
          </cell>
          <cell r="HU65">
            <v>1</v>
          </cell>
          <cell r="HW65">
            <v>1</v>
          </cell>
          <cell r="HX65">
            <v>1</v>
          </cell>
          <cell r="HZ65">
            <v>1</v>
          </cell>
          <cell r="IC65">
            <v>1</v>
          </cell>
        </row>
        <row r="66">
          <cell r="C66">
            <v>84</v>
          </cell>
          <cell r="D66" t="str">
            <v>AZOPARDO - COSTANERA</v>
          </cell>
          <cell r="E66">
            <v>351</v>
          </cell>
          <cell r="F66" t="str">
            <v>C</v>
          </cell>
          <cell r="G66">
            <v>0</v>
          </cell>
          <cell r="H66">
            <v>132</v>
          </cell>
          <cell r="I66">
            <v>4.2</v>
          </cell>
        </row>
        <row r="67">
          <cell r="C67">
            <v>85</v>
          </cell>
          <cell r="D67" t="str">
            <v>AZOPARDO - COSTANERA</v>
          </cell>
          <cell r="E67">
            <v>352</v>
          </cell>
          <cell r="F67" t="str">
            <v>C</v>
          </cell>
          <cell r="G67">
            <v>0</v>
          </cell>
          <cell r="H67">
            <v>132</v>
          </cell>
          <cell r="I67">
            <v>4.2</v>
          </cell>
        </row>
        <row r="68">
          <cell r="C68">
            <v>78</v>
          </cell>
          <cell r="D68" t="str">
            <v>PERITO MORENO - LURO GBA 2</v>
          </cell>
          <cell r="E68">
            <v>412</v>
          </cell>
          <cell r="F68" t="str">
            <v>C</v>
          </cell>
          <cell r="G68">
            <v>0</v>
          </cell>
          <cell r="H68">
            <v>132</v>
          </cell>
          <cell r="I68">
            <v>5.3</v>
          </cell>
        </row>
        <row r="69">
          <cell r="C69">
            <v>91</v>
          </cell>
          <cell r="D69" t="str">
            <v>PERITO MORENO - LURO GBA 1</v>
          </cell>
          <cell r="E69">
            <v>411</v>
          </cell>
          <cell r="F69" t="str">
            <v>C</v>
          </cell>
          <cell r="G69">
            <v>0</v>
          </cell>
          <cell r="H69">
            <v>132</v>
          </cell>
          <cell r="I69">
            <v>5.3</v>
          </cell>
        </row>
        <row r="70">
          <cell r="C70">
            <v>38</v>
          </cell>
          <cell r="D70" t="str">
            <v>CENTENARIO COLEGIALES</v>
          </cell>
          <cell r="E70">
            <v>433</v>
          </cell>
          <cell r="F70" t="str">
            <v>C</v>
          </cell>
          <cell r="G70">
            <v>0</v>
          </cell>
          <cell r="H70">
            <v>132</v>
          </cell>
          <cell r="I70">
            <v>4.8</v>
          </cell>
          <cell r="ID70">
            <v>1</v>
          </cell>
        </row>
        <row r="71">
          <cell r="C71">
            <v>39</v>
          </cell>
          <cell r="D71" t="str">
            <v>CENTENARIO COLEGIALES</v>
          </cell>
          <cell r="E71">
            <v>434</v>
          </cell>
          <cell r="F71" t="str">
            <v>C</v>
          </cell>
          <cell r="G71">
            <v>0</v>
          </cell>
          <cell r="H71">
            <v>132</v>
          </cell>
          <cell r="I71">
            <v>4.9</v>
          </cell>
          <cell r="HY71">
            <v>1</v>
          </cell>
        </row>
        <row r="72">
          <cell r="C72">
            <v>40</v>
          </cell>
          <cell r="D72" t="str">
            <v>PERITO MORENO - POMPEYA </v>
          </cell>
          <cell r="E72">
            <v>441</v>
          </cell>
          <cell r="F72" t="str">
            <v>C</v>
          </cell>
          <cell r="G72">
            <v>0</v>
          </cell>
          <cell r="H72">
            <v>132</v>
          </cell>
          <cell r="I72">
            <v>4.7</v>
          </cell>
        </row>
        <row r="73">
          <cell r="C73">
            <v>41</v>
          </cell>
          <cell r="D73" t="str">
            <v>POMPEYA - P. PATRICIOS </v>
          </cell>
          <cell r="E73">
            <v>442</v>
          </cell>
          <cell r="F73" t="str">
            <v>C</v>
          </cell>
          <cell r="G73">
            <v>0</v>
          </cell>
          <cell r="H73">
            <v>132</v>
          </cell>
          <cell r="I73">
            <v>3.9</v>
          </cell>
        </row>
        <row r="74">
          <cell r="C74">
            <v>42</v>
          </cell>
          <cell r="D74" t="str">
            <v>PERITO MORENO - CABALLITO 1 </v>
          </cell>
          <cell r="E74">
            <v>445</v>
          </cell>
          <cell r="F74" t="str">
            <v>C</v>
          </cell>
          <cell r="G74">
            <v>0</v>
          </cell>
          <cell r="H74">
            <v>132</v>
          </cell>
          <cell r="I74">
            <v>6.3</v>
          </cell>
        </row>
        <row r="75">
          <cell r="C75">
            <v>43</v>
          </cell>
          <cell r="D75" t="str">
            <v>PERITO MORENO - CABALLITO 2 </v>
          </cell>
          <cell r="E75">
            <v>446</v>
          </cell>
          <cell r="F75" t="str">
            <v>C</v>
          </cell>
          <cell r="G75">
            <v>0</v>
          </cell>
          <cell r="H75">
            <v>132</v>
          </cell>
          <cell r="I75">
            <v>6.3</v>
          </cell>
        </row>
        <row r="76">
          <cell r="C76">
            <v>44</v>
          </cell>
          <cell r="D76" t="str">
            <v>PERITO MORENO - LINIERS 1</v>
          </cell>
          <cell r="E76">
            <v>447</v>
          </cell>
          <cell r="F76" t="str">
            <v>C</v>
          </cell>
          <cell r="G76">
            <v>0</v>
          </cell>
          <cell r="H76">
            <v>132</v>
          </cell>
          <cell r="I76">
            <v>2.8</v>
          </cell>
        </row>
        <row r="77">
          <cell r="C77">
            <v>45</v>
          </cell>
          <cell r="D77" t="str">
            <v>PERITO MORENO - LINIERS 2</v>
          </cell>
          <cell r="E77">
            <v>448</v>
          </cell>
          <cell r="F77" t="str">
            <v>C</v>
          </cell>
          <cell r="G77">
            <v>0</v>
          </cell>
          <cell r="H77">
            <v>132</v>
          </cell>
          <cell r="I77">
            <v>2.8</v>
          </cell>
          <cell r="HS77">
            <v>1</v>
          </cell>
          <cell r="IC77">
            <v>1</v>
          </cell>
        </row>
        <row r="78">
          <cell r="C78">
            <v>76</v>
          </cell>
          <cell r="D78" t="str">
            <v>AZOPARDO II CHARCAS </v>
          </cell>
          <cell r="E78">
            <v>451</v>
          </cell>
          <cell r="F78" t="str">
            <v>C</v>
          </cell>
          <cell r="G78">
            <v>0</v>
          </cell>
          <cell r="H78">
            <v>132</v>
          </cell>
          <cell r="I78">
            <v>2.4</v>
          </cell>
          <cell r="HT78">
            <v>3</v>
          </cell>
          <cell r="HU78">
            <v>6</v>
          </cell>
          <cell r="HV78">
            <v>3</v>
          </cell>
          <cell r="HW78">
            <v>2</v>
          </cell>
          <cell r="HX78">
            <v>2</v>
          </cell>
          <cell r="HY78">
            <v>1</v>
          </cell>
          <cell r="HZ78">
            <v>2</v>
          </cell>
          <cell r="IA78">
            <v>3</v>
          </cell>
          <cell r="IB78">
            <v>1</v>
          </cell>
        </row>
        <row r="79">
          <cell r="C79">
            <v>77</v>
          </cell>
          <cell r="D79" t="str">
            <v>AZOPARDO II CHARCAS </v>
          </cell>
          <cell r="E79">
            <v>452</v>
          </cell>
          <cell r="F79" t="str">
            <v>C</v>
          </cell>
          <cell r="G79">
            <v>0</v>
          </cell>
          <cell r="H79">
            <v>132</v>
          </cell>
          <cell r="I79">
            <v>2.4</v>
          </cell>
          <cell r="HY79">
            <v>1</v>
          </cell>
          <cell r="HZ79">
            <v>1</v>
          </cell>
        </row>
        <row r="80">
          <cell r="C80">
            <v>46</v>
          </cell>
          <cell r="D80" t="str">
            <v>AZOPARDO II - PELLEGRINI 1</v>
          </cell>
          <cell r="E80">
            <v>457</v>
          </cell>
          <cell r="F80" t="str">
            <v>C</v>
          </cell>
          <cell r="G80">
            <v>0</v>
          </cell>
          <cell r="H80">
            <v>132</v>
          </cell>
          <cell r="I80">
            <v>2</v>
          </cell>
        </row>
        <row r="81">
          <cell r="C81">
            <v>47</v>
          </cell>
          <cell r="D81" t="str">
            <v>AZOPARDO II - PELLEGRINI 2</v>
          </cell>
          <cell r="E81">
            <v>458</v>
          </cell>
          <cell r="F81" t="str">
            <v>C</v>
          </cell>
          <cell r="G81">
            <v>0</v>
          </cell>
          <cell r="H81">
            <v>132</v>
          </cell>
          <cell r="I81">
            <v>2</v>
          </cell>
          <cell r="HW81">
            <v>1</v>
          </cell>
        </row>
        <row r="82">
          <cell r="C82">
            <v>48</v>
          </cell>
          <cell r="D82" t="str">
            <v>SANTA RITA - AGRONOMIA 1</v>
          </cell>
          <cell r="E82">
            <v>461</v>
          </cell>
          <cell r="F82" t="str">
            <v>C</v>
          </cell>
          <cell r="G82">
            <v>0</v>
          </cell>
          <cell r="H82">
            <v>132</v>
          </cell>
          <cell r="I82">
            <v>2.4</v>
          </cell>
          <cell r="HY82">
            <v>1</v>
          </cell>
        </row>
        <row r="83">
          <cell r="C83">
            <v>49</v>
          </cell>
          <cell r="D83" t="str">
            <v>SANTA RITA - AGRONOMIA 2 </v>
          </cell>
          <cell r="E83">
            <v>462</v>
          </cell>
          <cell r="F83" t="str">
            <v>C</v>
          </cell>
          <cell r="G83">
            <v>0</v>
          </cell>
          <cell r="H83">
            <v>132</v>
          </cell>
          <cell r="I83">
            <v>2.4</v>
          </cell>
        </row>
        <row r="84">
          <cell r="C84">
            <v>50</v>
          </cell>
          <cell r="D84" t="str">
            <v>BOSQUES - QUILMES 1 </v>
          </cell>
          <cell r="E84">
            <v>511</v>
          </cell>
          <cell r="F84" t="str">
            <v>L</v>
          </cell>
          <cell r="G84">
            <v>100</v>
          </cell>
          <cell r="H84">
            <v>132</v>
          </cell>
          <cell r="I84">
            <v>29.2</v>
          </cell>
          <cell r="HS84" t="str">
            <v>XXXX</v>
          </cell>
          <cell r="HT84" t="str">
            <v>XXXX</v>
          </cell>
          <cell r="HU84" t="str">
            <v>XXXX</v>
          </cell>
          <cell r="HV84" t="str">
            <v>XXXX</v>
          </cell>
          <cell r="HW84" t="str">
            <v>XXXX</v>
          </cell>
          <cell r="HX84" t="str">
            <v>XXXX</v>
          </cell>
          <cell r="HY84" t="str">
            <v>XXXX</v>
          </cell>
          <cell r="HZ84" t="str">
            <v>XXXX</v>
          </cell>
          <cell r="IA84" t="str">
            <v>XXXX</v>
          </cell>
          <cell r="IB84" t="str">
            <v>XXXX</v>
          </cell>
          <cell r="IC84" t="str">
            <v>XXXX</v>
          </cell>
          <cell r="ID84" t="str">
            <v>XXXX</v>
          </cell>
        </row>
        <row r="85">
          <cell r="C85">
            <v>51</v>
          </cell>
          <cell r="D85" t="str">
            <v>BOSQUES - QUILMES 2 </v>
          </cell>
          <cell r="E85">
            <v>512</v>
          </cell>
          <cell r="F85" t="str">
            <v>L</v>
          </cell>
          <cell r="G85">
            <v>100</v>
          </cell>
          <cell r="H85">
            <v>132</v>
          </cell>
          <cell r="I85">
            <v>28.6</v>
          </cell>
          <cell r="HS85" t="str">
            <v>XXXX</v>
          </cell>
          <cell r="HT85" t="str">
            <v>XXXX</v>
          </cell>
          <cell r="HU85" t="str">
            <v>XXXX</v>
          </cell>
          <cell r="HV85" t="str">
            <v>XXXX</v>
          </cell>
          <cell r="HW85" t="str">
            <v>XXXX</v>
          </cell>
          <cell r="HX85" t="str">
            <v>XXXX</v>
          </cell>
          <cell r="HY85" t="str">
            <v>XXXX</v>
          </cell>
          <cell r="HZ85" t="str">
            <v>XXXX</v>
          </cell>
          <cell r="IA85" t="str">
            <v>XXXX</v>
          </cell>
          <cell r="IB85" t="str">
            <v>XXXX</v>
          </cell>
          <cell r="IC85" t="str">
            <v>XXXX</v>
          </cell>
          <cell r="ID85" t="str">
            <v>XXXX</v>
          </cell>
        </row>
        <row r="86">
          <cell r="C86">
            <v>92</v>
          </cell>
          <cell r="D86" t="str">
            <v>BOSQUES - QUILMES 1 </v>
          </cell>
          <cell r="E86">
            <v>511</v>
          </cell>
          <cell r="F86" t="str">
            <v>L</v>
          </cell>
          <cell r="G86">
            <v>100</v>
          </cell>
          <cell r="H86">
            <v>132</v>
          </cell>
          <cell r="I86">
            <v>17.4</v>
          </cell>
          <cell r="HS86">
            <v>1</v>
          </cell>
          <cell r="HW86">
            <v>1</v>
          </cell>
          <cell r="HX86">
            <v>1</v>
          </cell>
          <cell r="HY86">
            <v>1</v>
          </cell>
          <cell r="HZ86">
            <v>1</v>
          </cell>
        </row>
        <row r="87">
          <cell r="C87">
            <v>93</v>
          </cell>
          <cell r="D87" t="str">
            <v>BOSQUES - QUILMES 2 </v>
          </cell>
          <cell r="E87">
            <v>512</v>
          </cell>
          <cell r="F87" t="str">
            <v>L</v>
          </cell>
          <cell r="G87">
            <v>100</v>
          </cell>
          <cell r="H87">
            <v>132</v>
          </cell>
          <cell r="I87">
            <v>16.8</v>
          </cell>
          <cell r="HS87">
            <v>1</v>
          </cell>
          <cell r="HW87">
            <v>1</v>
          </cell>
          <cell r="IA87">
            <v>1</v>
          </cell>
          <cell r="ID87">
            <v>1</v>
          </cell>
        </row>
        <row r="88">
          <cell r="C88">
            <v>74</v>
          </cell>
          <cell r="D88" t="str">
            <v>EZEIZA - SPEGAZZINI 1</v>
          </cell>
          <cell r="E88">
            <v>545</v>
          </cell>
          <cell r="F88" t="str">
            <v>L</v>
          </cell>
          <cell r="G88">
            <v>100</v>
          </cell>
          <cell r="H88">
            <v>132</v>
          </cell>
          <cell r="I88">
            <v>12.6</v>
          </cell>
          <cell r="HS88">
            <v>1</v>
          </cell>
          <cell r="IA88">
            <v>1</v>
          </cell>
        </row>
        <row r="89">
          <cell r="C89">
            <v>75</v>
          </cell>
          <cell r="D89" t="str">
            <v>EZEIZA - SPEGAZZINI 2</v>
          </cell>
          <cell r="E89">
            <v>546</v>
          </cell>
          <cell r="F89" t="str">
            <v>L</v>
          </cell>
          <cell r="G89">
            <v>100</v>
          </cell>
          <cell r="H89">
            <v>132</v>
          </cell>
          <cell r="I89">
            <v>12.6</v>
          </cell>
          <cell r="HU89">
            <v>1</v>
          </cell>
          <cell r="IA89">
            <v>1</v>
          </cell>
          <cell r="IB89">
            <v>1</v>
          </cell>
          <cell r="IC89">
            <v>1</v>
          </cell>
          <cell r="ID89">
            <v>1</v>
          </cell>
        </row>
        <row r="90">
          <cell r="C90">
            <v>94</v>
          </cell>
          <cell r="D90" t="str">
            <v>ALTE. BROWN - GLEW 1 </v>
          </cell>
          <cell r="E90">
            <v>547</v>
          </cell>
          <cell r="F90" t="str">
            <v>C</v>
          </cell>
          <cell r="G90">
            <v>0</v>
          </cell>
          <cell r="H90">
            <v>132</v>
          </cell>
          <cell r="I90">
            <v>7.5</v>
          </cell>
        </row>
        <row r="91">
          <cell r="C91">
            <v>95</v>
          </cell>
          <cell r="D91" t="str">
            <v>ALTE. BROWN - GLEW 2 </v>
          </cell>
          <cell r="E91">
            <v>548</v>
          </cell>
          <cell r="F91" t="str">
            <v>C</v>
          </cell>
          <cell r="G91">
            <v>0</v>
          </cell>
          <cell r="H91">
            <v>132</v>
          </cell>
          <cell r="I91">
            <v>7.5</v>
          </cell>
        </row>
        <row r="92">
          <cell r="C92">
            <v>52</v>
          </cell>
          <cell r="D92" t="str">
            <v>BOSQUES - MONTE CHINGOLO 1 </v>
          </cell>
          <cell r="E92">
            <v>553</v>
          </cell>
          <cell r="F92" t="str">
            <v>L</v>
          </cell>
          <cell r="G92">
            <v>100</v>
          </cell>
          <cell r="H92">
            <v>132</v>
          </cell>
          <cell r="I92">
            <v>20.6</v>
          </cell>
          <cell r="HW92">
            <v>1</v>
          </cell>
        </row>
        <row r="93">
          <cell r="C93">
            <v>53</v>
          </cell>
          <cell r="D93" t="str">
            <v>BOSQUES - MONTE CHINGOLO 2 </v>
          </cell>
          <cell r="E93">
            <v>554</v>
          </cell>
          <cell r="F93" t="str">
            <v>L</v>
          </cell>
          <cell r="G93">
            <v>100</v>
          </cell>
          <cell r="H93">
            <v>132</v>
          </cell>
          <cell r="I93">
            <v>20.4</v>
          </cell>
          <cell r="HW93">
            <v>1</v>
          </cell>
        </row>
        <row r="94">
          <cell r="C94">
            <v>54</v>
          </cell>
          <cell r="D94" t="str">
            <v>ESCALADA - GERLI 1</v>
          </cell>
          <cell r="E94">
            <v>555</v>
          </cell>
          <cell r="F94" t="str">
            <v>C</v>
          </cell>
          <cell r="G94">
            <v>0</v>
          </cell>
          <cell r="H94">
            <v>132</v>
          </cell>
          <cell r="I94">
            <v>4.8</v>
          </cell>
          <cell r="ID94">
            <v>1</v>
          </cell>
        </row>
        <row r="95">
          <cell r="C95">
            <v>55</v>
          </cell>
          <cell r="D95" t="str">
            <v>ESCALADA - GERLI 2 </v>
          </cell>
          <cell r="E95">
            <v>556</v>
          </cell>
          <cell r="F95" t="str">
            <v>C</v>
          </cell>
          <cell r="G95">
            <v>0</v>
          </cell>
          <cell r="H95">
            <v>132</v>
          </cell>
          <cell r="I95">
            <v>4.8</v>
          </cell>
          <cell r="IB95">
            <v>1</v>
          </cell>
          <cell r="ID95">
            <v>1</v>
          </cell>
        </row>
        <row r="96">
          <cell r="C96">
            <v>56</v>
          </cell>
          <cell r="D96" t="str">
            <v>CORINA - ESCALADA </v>
          </cell>
          <cell r="E96">
            <v>574</v>
          </cell>
          <cell r="F96" t="str">
            <v>C</v>
          </cell>
          <cell r="G96">
            <v>0</v>
          </cell>
          <cell r="H96">
            <v>132</v>
          </cell>
          <cell r="I96">
            <v>3.6</v>
          </cell>
        </row>
        <row r="97">
          <cell r="C97">
            <v>57</v>
          </cell>
          <cell r="D97" t="str">
            <v>V. ALSINA - 9 DE JULIO </v>
          </cell>
          <cell r="E97">
            <v>577</v>
          </cell>
          <cell r="F97" t="str">
            <v>C</v>
          </cell>
          <cell r="G97">
            <v>0</v>
          </cell>
          <cell r="H97">
            <v>132</v>
          </cell>
          <cell r="I97">
            <v>8.1</v>
          </cell>
          <cell r="HY97">
            <v>1</v>
          </cell>
        </row>
        <row r="98">
          <cell r="C98">
            <v>58</v>
          </cell>
          <cell r="D98" t="str">
            <v>V. ALSINA - ESCALADA </v>
          </cell>
          <cell r="E98">
            <v>578</v>
          </cell>
          <cell r="F98" t="str">
            <v>C</v>
          </cell>
          <cell r="G98">
            <v>0</v>
          </cell>
          <cell r="H98">
            <v>132</v>
          </cell>
          <cell r="I98">
            <v>6.6</v>
          </cell>
        </row>
        <row r="99">
          <cell r="C99">
            <v>59</v>
          </cell>
          <cell r="D99" t="str">
            <v>ALTE. BROWN - ESCALADA 1 </v>
          </cell>
          <cell r="E99">
            <v>579</v>
          </cell>
          <cell r="F99" t="str">
            <v>C</v>
          </cell>
          <cell r="G99">
            <v>0</v>
          </cell>
          <cell r="H99">
            <v>132</v>
          </cell>
          <cell r="I99">
            <v>16.7</v>
          </cell>
          <cell r="HT99">
            <v>1</v>
          </cell>
          <cell r="HV99">
            <v>1</v>
          </cell>
          <cell r="ID99">
            <v>1</v>
          </cell>
        </row>
        <row r="100">
          <cell r="C100">
            <v>60</v>
          </cell>
          <cell r="D100" t="str">
            <v>ALTE. BROWN - ESCALADA 2 </v>
          </cell>
          <cell r="E100">
            <v>580</v>
          </cell>
          <cell r="F100" t="str">
            <v>C</v>
          </cell>
          <cell r="G100">
            <v>0</v>
          </cell>
          <cell r="H100">
            <v>132</v>
          </cell>
          <cell r="I100">
            <v>16.6</v>
          </cell>
          <cell r="HX100">
            <v>1</v>
          </cell>
        </row>
        <row r="101">
          <cell r="C101">
            <v>61</v>
          </cell>
          <cell r="D101" t="str">
            <v>ALTE. BROWN - ECHEVERRÍA 1 </v>
          </cell>
          <cell r="E101">
            <v>581</v>
          </cell>
          <cell r="F101" t="str">
            <v>LC</v>
          </cell>
          <cell r="G101">
            <v>70.23</v>
          </cell>
          <cell r="H101">
            <v>132</v>
          </cell>
          <cell r="I101">
            <v>8.4</v>
          </cell>
          <cell r="HS101" t="str">
            <v>XXXX</v>
          </cell>
          <cell r="HT101" t="str">
            <v>XXXX</v>
          </cell>
          <cell r="HU101" t="str">
            <v>XXXX</v>
          </cell>
          <cell r="HV101" t="str">
            <v>XXXX</v>
          </cell>
          <cell r="HW101" t="str">
            <v>XXXX</v>
          </cell>
          <cell r="HX101" t="str">
            <v>XXXX</v>
          </cell>
          <cell r="HY101" t="str">
            <v>XXXX</v>
          </cell>
          <cell r="HZ101" t="str">
            <v>XXXX</v>
          </cell>
          <cell r="IA101" t="str">
            <v>XXXX</v>
          </cell>
          <cell r="IB101" t="str">
            <v>XXXX</v>
          </cell>
          <cell r="IC101" t="str">
            <v>XXXX</v>
          </cell>
          <cell r="ID101" t="str">
            <v>XXXX</v>
          </cell>
        </row>
        <row r="102">
          <cell r="C102">
            <v>62</v>
          </cell>
          <cell r="D102" t="str">
            <v>ALTE. BROWN - ECHEVERRÍA 2 </v>
          </cell>
          <cell r="E102">
            <v>582</v>
          </cell>
          <cell r="F102" t="str">
            <v>LC</v>
          </cell>
          <cell r="G102">
            <v>88.46153846153845</v>
          </cell>
          <cell r="H102">
            <v>132</v>
          </cell>
          <cell r="I102">
            <v>7.800000000000001</v>
          </cell>
          <cell r="HS102" t="str">
            <v>XXXX</v>
          </cell>
          <cell r="HT102" t="str">
            <v>XXXX</v>
          </cell>
          <cell r="HU102" t="str">
            <v>XXXX</v>
          </cell>
          <cell r="HV102" t="str">
            <v>XXXX</v>
          </cell>
          <cell r="HW102" t="str">
            <v>XXXX</v>
          </cell>
          <cell r="HX102" t="str">
            <v>XXXX</v>
          </cell>
          <cell r="HY102" t="str">
            <v>XXXX</v>
          </cell>
          <cell r="HZ102" t="str">
            <v>XXXX</v>
          </cell>
          <cell r="IA102" t="str">
            <v>XXXX</v>
          </cell>
          <cell r="IB102" t="str">
            <v>XXXX</v>
          </cell>
          <cell r="IC102" t="str">
            <v>XXXX</v>
          </cell>
          <cell r="ID102" t="str">
            <v>XXXX</v>
          </cell>
        </row>
        <row r="103">
          <cell r="C103">
            <v>98</v>
          </cell>
          <cell r="D103" t="str">
            <v>CALZADA - ALTE BROWN 1</v>
          </cell>
          <cell r="E103">
            <v>581</v>
          </cell>
          <cell r="F103" t="str">
            <v>LC</v>
          </cell>
          <cell r="G103">
            <v>84.52</v>
          </cell>
          <cell r="H103">
            <v>132</v>
          </cell>
          <cell r="I103">
            <v>8.4</v>
          </cell>
        </row>
        <row r="104">
          <cell r="C104">
            <v>99</v>
          </cell>
          <cell r="D104" t="str">
            <v>CALZADA - ALTE BROWN 2</v>
          </cell>
          <cell r="E104">
            <v>582</v>
          </cell>
          <cell r="F104" t="str">
            <v>LC</v>
          </cell>
          <cell r="G104">
            <v>88.46</v>
          </cell>
          <cell r="H104">
            <v>132</v>
          </cell>
          <cell r="I104">
            <v>7.8</v>
          </cell>
        </row>
        <row r="105">
          <cell r="C105">
            <v>63</v>
          </cell>
          <cell r="D105" t="str">
            <v>ALTE. BROWN - SANTA CATALINA 1 </v>
          </cell>
          <cell r="E105">
            <v>585</v>
          </cell>
          <cell r="F105" t="str">
            <v>L</v>
          </cell>
          <cell r="G105">
            <v>100</v>
          </cell>
          <cell r="H105">
            <v>132</v>
          </cell>
          <cell r="I105">
            <v>19.5</v>
          </cell>
          <cell r="HS105" t="str">
            <v>XXXX</v>
          </cell>
          <cell r="HT105" t="str">
            <v>XXXX</v>
          </cell>
          <cell r="HU105" t="str">
            <v>XXXX</v>
          </cell>
          <cell r="HV105" t="str">
            <v>XXXX</v>
          </cell>
          <cell r="HW105" t="str">
            <v>XXXX</v>
          </cell>
          <cell r="HX105" t="str">
            <v>XXXX</v>
          </cell>
          <cell r="HY105" t="str">
            <v>XXXX</v>
          </cell>
          <cell r="HZ105" t="str">
            <v>XXXX</v>
          </cell>
          <cell r="IA105" t="str">
            <v>XXXX</v>
          </cell>
          <cell r="IB105" t="str">
            <v>XXXX</v>
          </cell>
          <cell r="IC105" t="str">
            <v>XXXX</v>
          </cell>
          <cell r="ID105" t="str">
            <v>XXXX</v>
          </cell>
        </row>
        <row r="106">
          <cell r="C106">
            <v>64</v>
          </cell>
          <cell r="D106" t="str">
            <v>ALTE. BROWN - SANTA CATALINA 2 </v>
          </cell>
          <cell r="E106">
            <v>586</v>
          </cell>
          <cell r="F106" t="str">
            <v>L</v>
          </cell>
          <cell r="G106">
            <v>100</v>
          </cell>
          <cell r="H106">
            <v>132</v>
          </cell>
          <cell r="I106">
            <v>20.6</v>
          </cell>
          <cell r="HS106" t="str">
            <v>XXXX</v>
          </cell>
          <cell r="HT106" t="str">
            <v>XXXX</v>
          </cell>
          <cell r="HU106" t="str">
            <v>XXXX</v>
          </cell>
          <cell r="HV106" t="str">
            <v>XXXX</v>
          </cell>
          <cell r="HW106" t="str">
            <v>XXXX</v>
          </cell>
          <cell r="HX106" t="str">
            <v>XXXX</v>
          </cell>
          <cell r="HY106" t="str">
            <v>XXXX</v>
          </cell>
          <cell r="HZ106" t="str">
            <v>XXXX</v>
          </cell>
          <cell r="IA106" t="str">
            <v>XXXX</v>
          </cell>
          <cell r="IB106" t="str">
            <v>XXXX</v>
          </cell>
          <cell r="IC106" t="str">
            <v>XXXX</v>
          </cell>
          <cell r="ID106" t="str">
            <v>XXXX</v>
          </cell>
        </row>
        <row r="107">
          <cell r="C107">
            <v>96</v>
          </cell>
          <cell r="D107" t="str">
            <v>ALTE. BROWN - TRANSRADIO 1 </v>
          </cell>
          <cell r="E107">
            <v>585</v>
          </cell>
          <cell r="F107" t="str">
            <v>LC</v>
          </cell>
          <cell r="G107">
            <v>79.59183673469387</v>
          </cell>
          <cell r="H107">
            <v>132</v>
          </cell>
          <cell r="I107">
            <v>24.5</v>
          </cell>
          <cell r="IB107">
            <v>1</v>
          </cell>
          <cell r="IC107">
            <v>1</v>
          </cell>
        </row>
        <row r="108">
          <cell r="C108">
            <v>97</v>
          </cell>
          <cell r="D108" t="str">
            <v>ALTE. BROWN - TRANSRADIO 2 </v>
          </cell>
          <cell r="E108">
            <v>586</v>
          </cell>
          <cell r="F108" t="str">
            <v>LC</v>
          </cell>
          <cell r="G108">
            <v>80.47</v>
          </cell>
          <cell r="H108">
            <v>132</v>
          </cell>
          <cell r="I108">
            <v>25.6</v>
          </cell>
          <cell r="HX108">
            <v>1</v>
          </cell>
          <cell r="IB108">
            <v>2</v>
          </cell>
          <cell r="IC108">
            <v>2</v>
          </cell>
        </row>
        <row r="109">
          <cell r="C109">
            <v>65</v>
          </cell>
          <cell r="D109" t="str">
            <v>BOSQUES - SOBRAL 1 </v>
          </cell>
          <cell r="E109">
            <v>587</v>
          </cell>
          <cell r="F109" t="str">
            <v>L</v>
          </cell>
          <cell r="G109">
            <v>100</v>
          </cell>
          <cell r="H109">
            <v>132</v>
          </cell>
          <cell r="I109">
            <v>17.4</v>
          </cell>
          <cell r="HS109" t="str">
            <v>XXXX</v>
          </cell>
          <cell r="HT109" t="str">
            <v>XXXX</v>
          </cell>
          <cell r="HU109" t="str">
            <v>XXXX</v>
          </cell>
          <cell r="HV109" t="str">
            <v>XXXX</v>
          </cell>
          <cell r="HW109" t="str">
            <v>XXXX</v>
          </cell>
          <cell r="HX109" t="str">
            <v>XXXX</v>
          </cell>
          <cell r="HY109" t="str">
            <v>XXXX</v>
          </cell>
          <cell r="HZ109" t="str">
            <v>XXXX</v>
          </cell>
          <cell r="IA109" t="str">
            <v>XXXX</v>
          </cell>
          <cell r="IB109" t="str">
            <v>XXXX</v>
          </cell>
          <cell r="IC109" t="str">
            <v>XXXX</v>
          </cell>
          <cell r="ID109" t="str">
            <v>XXXX</v>
          </cell>
        </row>
        <row r="110">
          <cell r="C110">
            <v>66</v>
          </cell>
          <cell r="D110" t="str">
            <v>BOSQUES - SOBRAL 2 </v>
          </cell>
          <cell r="E110">
            <v>588</v>
          </cell>
          <cell r="F110" t="str">
            <v>L</v>
          </cell>
          <cell r="G110">
            <v>100</v>
          </cell>
          <cell r="H110">
            <v>132</v>
          </cell>
          <cell r="I110">
            <v>17.4</v>
          </cell>
          <cell r="HS110" t="str">
            <v>XXXX</v>
          </cell>
          <cell r="HT110" t="str">
            <v>XXXX</v>
          </cell>
          <cell r="HU110" t="str">
            <v>XXXX</v>
          </cell>
          <cell r="HV110" t="str">
            <v>XXXX</v>
          </cell>
          <cell r="HW110" t="str">
            <v>XXXX</v>
          </cell>
          <cell r="HX110" t="str">
            <v>XXXX</v>
          </cell>
          <cell r="HY110" t="str">
            <v>XXXX</v>
          </cell>
          <cell r="HZ110" t="str">
            <v>XXXX</v>
          </cell>
          <cell r="IA110" t="str">
            <v>XXXX</v>
          </cell>
          <cell r="IB110" t="str">
            <v>XXXX</v>
          </cell>
          <cell r="IC110" t="str">
            <v>XXXX</v>
          </cell>
          <cell r="ID110" t="str">
            <v>XXXX</v>
          </cell>
        </row>
        <row r="111">
          <cell r="C111">
            <v>67</v>
          </cell>
          <cell r="D111" t="str">
            <v>PERITO MORENO - AUTODROMO 1</v>
          </cell>
          <cell r="E111">
            <v>648</v>
          </cell>
          <cell r="F111" t="str">
            <v>C</v>
          </cell>
          <cell r="G111">
            <v>0</v>
          </cell>
          <cell r="H111">
            <v>132</v>
          </cell>
          <cell r="I111">
            <v>5.4</v>
          </cell>
          <cell r="HS111" t="str">
            <v>XXXX</v>
          </cell>
          <cell r="HT111" t="str">
            <v>XXXX</v>
          </cell>
          <cell r="HU111" t="str">
            <v>XXXX</v>
          </cell>
          <cell r="HV111" t="str">
            <v>XXXX</v>
          </cell>
          <cell r="HW111" t="str">
            <v>XXXX</v>
          </cell>
          <cell r="HX111" t="str">
            <v>XXXX</v>
          </cell>
          <cell r="HY111" t="str">
            <v>XXXX</v>
          </cell>
          <cell r="HZ111" t="str">
            <v>XXXX</v>
          </cell>
          <cell r="IA111" t="str">
            <v>XXXX</v>
          </cell>
          <cell r="IB111" t="str">
            <v>XXXX</v>
          </cell>
          <cell r="IC111" t="str">
            <v>XXXX</v>
          </cell>
          <cell r="ID111" t="str">
            <v>XXXX</v>
          </cell>
        </row>
        <row r="112">
          <cell r="C112">
            <v>68</v>
          </cell>
          <cell r="D112" t="str">
            <v>PERITO MORENO - AUTODROMO 2 </v>
          </cell>
          <cell r="E112">
            <v>649</v>
          </cell>
          <cell r="F112" t="str">
            <v>C</v>
          </cell>
          <cell r="G112">
            <v>0</v>
          </cell>
          <cell r="H112">
            <v>132</v>
          </cell>
          <cell r="I112">
            <v>5.5</v>
          </cell>
          <cell r="HS112" t="str">
            <v>XXXX</v>
          </cell>
          <cell r="HT112" t="str">
            <v>XXXX</v>
          </cell>
          <cell r="HU112" t="str">
            <v>XXXX</v>
          </cell>
          <cell r="HV112" t="str">
            <v>XXXX</v>
          </cell>
          <cell r="HW112" t="str">
            <v>XXXX</v>
          </cell>
          <cell r="HX112" t="str">
            <v>XXXX</v>
          </cell>
          <cell r="HY112" t="str">
            <v>XXXX</v>
          </cell>
          <cell r="HZ112" t="str">
            <v>XXXX</v>
          </cell>
          <cell r="IA112" t="str">
            <v>XXXX</v>
          </cell>
          <cell r="IB112" t="str">
            <v>XXXX</v>
          </cell>
          <cell r="IC112" t="str">
            <v>XXXX</v>
          </cell>
          <cell r="ID112" t="str">
            <v>XXXX</v>
          </cell>
        </row>
        <row r="113">
          <cell r="C113">
            <v>100</v>
          </cell>
          <cell r="D113" t="str">
            <v>PERITO MORENO - MATANZA 1</v>
          </cell>
          <cell r="E113">
            <v>648</v>
          </cell>
          <cell r="F113" t="str">
            <v>C</v>
          </cell>
          <cell r="G113">
            <v>0</v>
          </cell>
          <cell r="H113">
            <v>132</v>
          </cell>
          <cell r="I113">
            <v>10.2</v>
          </cell>
        </row>
        <row r="114">
          <cell r="C114">
            <v>101</v>
          </cell>
          <cell r="D114" t="str">
            <v>PERITO MORENO - MATANZA 2 </v>
          </cell>
          <cell r="E114">
            <v>649</v>
          </cell>
          <cell r="F114" t="str">
            <v>C</v>
          </cell>
          <cell r="G114">
            <v>0</v>
          </cell>
          <cell r="H114">
            <v>132</v>
          </cell>
          <cell r="I114">
            <v>10.32</v>
          </cell>
        </row>
        <row r="115">
          <cell r="C115">
            <v>69</v>
          </cell>
          <cell r="D115" t="str">
            <v>NUEVO PUERTO - GALDOS 1</v>
          </cell>
          <cell r="E115">
            <v>727</v>
          </cell>
          <cell r="F115" t="str">
            <v>C</v>
          </cell>
          <cell r="G115">
            <v>0</v>
          </cell>
          <cell r="H115">
            <v>28</v>
          </cell>
          <cell r="I115">
            <v>7.7</v>
          </cell>
          <cell r="HS115" t="str">
            <v>XXXX</v>
          </cell>
          <cell r="HT115" t="str">
            <v>XXXX</v>
          </cell>
          <cell r="HU115" t="str">
            <v>XXXX</v>
          </cell>
          <cell r="HV115" t="str">
            <v>XXXX</v>
          </cell>
          <cell r="HW115" t="str">
            <v>XXXX</v>
          </cell>
          <cell r="HX115" t="str">
            <v>XXXX</v>
          </cell>
          <cell r="HY115" t="str">
            <v>XXXX</v>
          </cell>
          <cell r="HZ115" t="str">
            <v>XXXX</v>
          </cell>
          <cell r="IA115" t="str">
            <v>XXXX</v>
          </cell>
          <cell r="IB115" t="str">
            <v>XXXX</v>
          </cell>
          <cell r="IC115" t="str">
            <v>XXXX</v>
          </cell>
          <cell r="ID115" t="str">
            <v>XXXX</v>
          </cell>
        </row>
        <row r="116">
          <cell r="C116">
            <v>70</v>
          </cell>
          <cell r="D116" t="str">
            <v>NUEVO PUERTO - GALDOS 2 </v>
          </cell>
          <cell r="E116">
            <v>729</v>
          </cell>
          <cell r="F116" t="str">
            <v>C</v>
          </cell>
          <cell r="G116">
            <v>0</v>
          </cell>
          <cell r="H116">
            <v>28</v>
          </cell>
          <cell r="I116">
            <v>7.8</v>
          </cell>
          <cell r="HS116" t="str">
            <v>XXXX</v>
          </cell>
          <cell r="HT116" t="str">
            <v>XXXX</v>
          </cell>
          <cell r="HU116" t="str">
            <v>XXXX</v>
          </cell>
          <cell r="HV116" t="str">
            <v>XXXX</v>
          </cell>
          <cell r="HW116" t="str">
            <v>XXXX</v>
          </cell>
          <cell r="HX116" t="str">
            <v>XXXX</v>
          </cell>
          <cell r="HY116" t="str">
            <v>XXXX</v>
          </cell>
          <cell r="HZ116" t="str">
            <v>XXXX</v>
          </cell>
          <cell r="IA116" t="str">
            <v>XXXX</v>
          </cell>
          <cell r="IB116" t="str">
            <v>XXXX</v>
          </cell>
          <cell r="IC116" t="str">
            <v>XXXX</v>
          </cell>
          <cell r="ID116" t="str">
            <v>XXXX</v>
          </cell>
        </row>
        <row r="117">
          <cell r="C117">
            <v>71</v>
          </cell>
          <cell r="D117" t="str">
            <v>NUEVO PUERTO - GALDOS 3 </v>
          </cell>
          <cell r="E117">
            <v>731</v>
          </cell>
          <cell r="F117" t="str">
            <v>C</v>
          </cell>
          <cell r="G117">
            <v>0</v>
          </cell>
          <cell r="H117">
            <v>37.4</v>
          </cell>
          <cell r="I117">
            <v>7.4</v>
          </cell>
          <cell r="HS117" t="str">
            <v>XXXX</v>
          </cell>
          <cell r="HT117" t="str">
            <v>XXXX</v>
          </cell>
          <cell r="HU117" t="str">
            <v>XXXX</v>
          </cell>
          <cell r="HV117" t="str">
            <v>XXXX</v>
          </cell>
          <cell r="HW117" t="str">
            <v>XXXX</v>
          </cell>
          <cell r="HX117" t="str">
            <v>XXXX</v>
          </cell>
          <cell r="HY117" t="str">
            <v>XXXX</v>
          </cell>
          <cell r="HZ117" t="str">
            <v>XXXX</v>
          </cell>
          <cell r="IA117" t="str">
            <v>XXXX</v>
          </cell>
          <cell r="IB117" t="str">
            <v>XXXX</v>
          </cell>
          <cell r="IC117" t="str">
            <v>XXXX</v>
          </cell>
          <cell r="ID117" t="str">
            <v>XXXX</v>
          </cell>
        </row>
        <row r="118">
          <cell r="C118">
            <v>102</v>
          </cell>
          <cell r="D118" t="str">
            <v>BOSQUES - SOBRAL 1 </v>
          </cell>
          <cell r="E118">
            <v>587</v>
          </cell>
          <cell r="F118" t="str">
            <v>LC</v>
          </cell>
          <cell r="G118">
            <v>88.16</v>
          </cell>
          <cell r="H118">
            <v>132</v>
          </cell>
          <cell r="I118">
            <v>16.9</v>
          </cell>
          <cell r="IC118">
            <v>1</v>
          </cell>
        </row>
        <row r="119">
          <cell r="C119">
            <v>103</v>
          </cell>
          <cell r="D119" t="str">
            <v>BOSQUES - SOBRAL 2 </v>
          </cell>
          <cell r="E119">
            <v>588</v>
          </cell>
          <cell r="F119" t="str">
            <v>LC</v>
          </cell>
          <cell r="G119">
            <v>88.16</v>
          </cell>
          <cell r="H119">
            <v>132</v>
          </cell>
          <cell r="I119">
            <v>16.9</v>
          </cell>
        </row>
        <row r="120">
          <cell r="C120">
            <v>104</v>
          </cell>
          <cell r="D120" t="str">
            <v>BOSQUES - HUDSON 1 </v>
          </cell>
          <cell r="E120">
            <v>30</v>
          </cell>
          <cell r="F120" t="str">
            <v>L</v>
          </cell>
          <cell r="G120">
            <v>100</v>
          </cell>
          <cell r="H120">
            <v>220</v>
          </cell>
          <cell r="I120">
            <v>10</v>
          </cell>
        </row>
        <row r="121">
          <cell r="C121">
            <v>105</v>
          </cell>
          <cell r="D121" t="str">
            <v>BOSQUES - HUDSON 2 </v>
          </cell>
          <cell r="E121">
            <v>31</v>
          </cell>
          <cell r="F121" t="str">
            <v>L</v>
          </cell>
          <cell r="H121">
            <v>220</v>
          </cell>
          <cell r="I121">
            <v>10</v>
          </cell>
          <cell r="HU121">
            <v>1</v>
          </cell>
          <cell r="HY121">
            <v>1</v>
          </cell>
          <cell r="IC121">
            <v>1</v>
          </cell>
          <cell r="ID121">
            <v>1</v>
          </cell>
        </row>
        <row r="122">
          <cell r="C122">
            <v>106</v>
          </cell>
          <cell r="D122" t="str">
            <v>HUDSON - COSTANERA 1</v>
          </cell>
          <cell r="E122">
            <v>50</v>
          </cell>
          <cell r="F122" t="str">
            <v>L</v>
          </cell>
          <cell r="H122">
            <v>220</v>
          </cell>
          <cell r="I122">
            <v>22.6</v>
          </cell>
        </row>
        <row r="123">
          <cell r="C123">
            <v>107</v>
          </cell>
          <cell r="D123" t="str">
            <v>HUDSON - COSTANERA 2</v>
          </cell>
          <cell r="E123">
            <v>51</v>
          </cell>
          <cell r="F123" t="str">
            <v>L</v>
          </cell>
          <cell r="H123">
            <v>220</v>
          </cell>
          <cell r="I123">
            <v>22.6</v>
          </cell>
        </row>
        <row r="127">
          <cell r="HS127">
            <v>14.769416256405107</v>
          </cell>
          <cell r="HT127">
            <v>15.07083291469909</v>
          </cell>
          <cell r="HU127">
            <v>13.764694062091834</v>
          </cell>
          <cell r="HV127">
            <v>14.367527378679798</v>
          </cell>
          <cell r="HW127">
            <v>14.568471817542452</v>
          </cell>
          <cell r="HX127">
            <v>15.874610670149705</v>
          </cell>
          <cell r="HY127">
            <v>15.975082889581033</v>
          </cell>
          <cell r="HZ127">
            <v>15.171305134130417</v>
          </cell>
          <cell r="IA127">
            <v>13.362805184366525</v>
          </cell>
          <cell r="IB127">
            <v>13.56374962322918</v>
          </cell>
          <cell r="IC127">
            <v>13.56374962322918</v>
          </cell>
          <cell r="ID127">
            <v>13.965638500954489</v>
          </cell>
          <cell r="IE127">
            <v>14.066110720385815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T-0313"/>
      <sheetName val="LI-03 (1)"/>
      <sheetName val="LI-03 (2)"/>
      <sheetName val="LI-03 (3)"/>
      <sheetName val="LI-03 (4)"/>
      <sheetName val="LI-03 (5)"/>
      <sheetName val="SA-03 (1)"/>
      <sheetName val="TASA FALLA (2)"/>
      <sheetName val="DA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files\Transporte\Transporte\AA%20PROCESO%20AUT\EXCEL\DISTROCUYO\FABIAN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L31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8515625" style="4" customWidth="1"/>
    <col min="4" max="4" width="6.7109375" style="4" customWidth="1"/>
    <col min="5" max="5" width="11.28125" style="4" customWidth="1"/>
    <col min="6" max="6" width="6.00390625" style="4" customWidth="1"/>
    <col min="7" max="8" width="16.7109375" style="4" customWidth="1"/>
    <col min="9" max="9" width="6.28125" style="4" customWidth="1"/>
    <col min="10" max="10" width="19.8515625" style="4" customWidth="1"/>
    <col min="11" max="11" width="14.28125" style="4" customWidth="1"/>
    <col min="12" max="12" width="15.7109375" style="4" customWidth="1"/>
    <col min="13" max="16384" width="11.421875" style="4" customWidth="1"/>
  </cols>
  <sheetData>
    <row r="1" spans="2:12" s="17" customFormat="1" ht="26.25">
      <c r="B1" s="18"/>
      <c r="L1" s="59"/>
    </row>
    <row r="2" spans="2:11" s="17" customFormat="1" ht="26.25">
      <c r="B2" s="18" t="s">
        <v>193</v>
      </c>
      <c r="C2" s="26"/>
      <c r="D2" s="20"/>
      <c r="E2" s="20"/>
      <c r="F2" s="20"/>
      <c r="G2" s="20"/>
      <c r="H2" s="20"/>
      <c r="I2" s="20"/>
      <c r="J2" s="20"/>
      <c r="K2" s="20"/>
    </row>
    <row r="3" spans="3:11" ht="12.75">
      <c r="C3"/>
      <c r="D3" s="12"/>
      <c r="E3" s="12"/>
      <c r="F3" s="12"/>
      <c r="G3" s="12"/>
      <c r="H3" s="12"/>
      <c r="I3" s="12"/>
      <c r="J3" s="12"/>
      <c r="K3" s="12"/>
    </row>
    <row r="4" spans="1:12" s="19" customFormat="1" ht="11.25">
      <c r="A4" s="25" t="s">
        <v>2</v>
      </c>
      <c r="B4" s="27"/>
      <c r="D4" s="28"/>
      <c r="E4" s="28"/>
      <c r="F4" s="28"/>
      <c r="G4" s="28"/>
      <c r="H4" s="28"/>
      <c r="I4" s="28"/>
      <c r="J4" s="28"/>
      <c r="K4" s="28"/>
      <c r="L4" s="28"/>
    </row>
    <row r="5" spans="1:12" s="19" customFormat="1" ht="11.25">
      <c r="A5" s="25" t="s">
        <v>3</v>
      </c>
      <c r="B5" s="27"/>
      <c r="D5" s="28"/>
      <c r="E5" s="28"/>
      <c r="F5" s="28"/>
      <c r="G5" s="28"/>
      <c r="H5" s="28"/>
      <c r="I5" s="28"/>
      <c r="J5" s="28"/>
      <c r="K5" s="28"/>
      <c r="L5" s="28"/>
    </row>
    <row r="6" spans="2:12" s="17" customFormat="1" ht="11.25" customHeight="1">
      <c r="B6" s="29"/>
      <c r="D6" s="30"/>
      <c r="E6" s="30"/>
      <c r="F6" s="30"/>
      <c r="G6" s="30"/>
      <c r="H6" s="30"/>
      <c r="I6" s="30"/>
      <c r="J6" s="30"/>
      <c r="K6" s="30"/>
      <c r="L6" s="30"/>
    </row>
    <row r="7" spans="2:12" s="21" customFormat="1" ht="20.25">
      <c r="B7" s="56" t="s">
        <v>0</v>
      </c>
      <c r="C7" s="31"/>
      <c r="D7" s="32"/>
      <c r="E7" s="32"/>
      <c r="F7" s="32"/>
      <c r="G7" s="32"/>
      <c r="H7" s="33"/>
      <c r="I7" s="33"/>
      <c r="J7" s="33"/>
      <c r="K7" s="33"/>
      <c r="L7" s="11"/>
    </row>
    <row r="8" spans="10:12" ht="12.75">
      <c r="J8" s="2"/>
      <c r="K8" s="2"/>
      <c r="L8" s="2"/>
    </row>
    <row r="9" spans="2:12" s="21" customFormat="1" ht="20.25">
      <c r="B9" s="56" t="str">
        <f>DATO!F5</f>
        <v>EDESUR S.A.</v>
      </c>
      <c r="C9" s="31"/>
      <c r="D9" s="32"/>
      <c r="E9" s="32"/>
      <c r="F9" s="32"/>
      <c r="G9" s="32"/>
      <c r="H9" s="32"/>
      <c r="I9" s="32"/>
      <c r="J9" s="33"/>
      <c r="K9" s="33"/>
      <c r="L9" s="11"/>
    </row>
    <row r="10" spans="4:12" ht="12.75">
      <c r="D10" s="35"/>
      <c r="E10" s="35"/>
      <c r="F10" s="35"/>
      <c r="G10" s="35"/>
      <c r="J10" s="2"/>
      <c r="K10" s="2"/>
      <c r="L10" s="2"/>
    </row>
    <row r="11" spans="2:12" s="21" customFormat="1" ht="20.25">
      <c r="B11" s="56" t="s">
        <v>4</v>
      </c>
      <c r="C11" s="34"/>
      <c r="D11" s="34"/>
      <c r="E11" s="34"/>
      <c r="F11" s="34"/>
      <c r="G11" s="34"/>
      <c r="H11" s="32"/>
      <c r="I11" s="32"/>
      <c r="J11" s="33"/>
      <c r="K11" s="33"/>
      <c r="L11" s="11"/>
    </row>
    <row r="12" spans="4:12" s="36" customFormat="1" ht="16.5" thickBot="1">
      <c r="D12" s="1"/>
      <c r="E12" s="1"/>
      <c r="F12" s="1"/>
      <c r="G12" s="1"/>
      <c r="J12" s="37"/>
      <c r="K12" s="37"/>
      <c r="L12" s="37"/>
    </row>
    <row r="13" spans="2:12" s="36" customFormat="1" ht="16.5" thickTop="1">
      <c r="B13" s="58">
        <v>2</v>
      </c>
      <c r="C13" s="62"/>
      <c r="D13" s="38"/>
      <c r="E13" s="38"/>
      <c r="F13" s="38"/>
      <c r="G13" s="38"/>
      <c r="H13" s="38"/>
      <c r="I13" s="38"/>
      <c r="J13" s="38"/>
      <c r="K13" s="39"/>
      <c r="L13" s="37"/>
    </row>
    <row r="14" spans="2:12" s="15" customFormat="1" ht="19.5">
      <c r="B14" s="40" t="s">
        <v>133</v>
      </c>
      <c r="C14" s="41"/>
      <c r="D14" s="42"/>
      <c r="E14" s="14"/>
      <c r="F14" s="14"/>
      <c r="G14" s="14"/>
      <c r="H14" s="14"/>
      <c r="I14" s="14"/>
      <c r="J14" s="23"/>
      <c r="K14" s="43"/>
      <c r="L14" s="7"/>
    </row>
    <row r="15" spans="2:12" s="15" customFormat="1" ht="19.5">
      <c r="B15" s="22"/>
      <c r="C15" s="44"/>
      <c r="D15" s="44"/>
      <c r="E15" s="7"/>
      <c r="F15" s="7"/>
      <c r="G15" s="7"/>
      <c r="H15" s="8"/>
      <c r="I15" s="8"/>
      <c r="J15" s="7"/>
      <c r="K15" s="24"/>
      <c r="L15" s="7"/>
    </row>
    <row r="16" spans="2:12" s="15" customFormat="1" ht="19.5">
      <c r="B16" s="40" t="str">
        <f>IF(B13=2,"Sanciones duplicadas por tasa de falla &gt; 4 Sal. x año/100km.","")</f>
        <v>Sanciones duplicadas por tasa de falla &gt; 4 Sal. x año/100km.</v>
      </c>
      <c r="C16" s="57"/>
      <c r="D16" s="57"/>
      <c r="E16" s="23"/>
      <c r="F16" s="23"/>
      <c r="G16" s="14"/>
      <c r="H16" s="14"/>
      <c r="I16" s="23"/>
      <c r="J16" s="13"/>
      <c r="K16" s="43"/>
      <c r="L16" s="7"/>
    </row>
    <row r="17" spans="2:12" s="15" customFormat="1" ht="19.5">
      <c r="B17" s="22"/>
      <c r="C17" s="44"/>
      <c r="D17" s="44"/>
      <c r="E17" s="7"/>
      <c r="F17" s="7"/>
      <c r="G17" s="8"/>
      <c r="H17" s="8"/>
      <c r="I17" s="7"/>
      <c r="J17"/>
      <c r="K17" s="24"/>
      <c r="L17" s="7"/>
    </row>
    <row r="18" spans="2:12" s="15" customFormat="1" ht="19.5">
      <c r="B18" s="22"/>
      <c r="C18" s="45" t="s">
        <v>5</v>
      </c>
      <c r="D18" s="46" t="s">
        <v>6</v>
      </c>
      <c r="E18" s="7"/>
      <c r="F18" s="7"/>
      <c r="G18" s="7"/>
      <c r="H18" s="8"/>
      <c r="I18" s="8"/>
      <c r="J18" s="9">
        <f>'LI-03 (3)'!AD42</f>
        <v>342584.4072391208</v>
      </c>
      <c r="K18" s="24"/>
      <c r="L18" s="7"/>
    </row>
    <row r="19" spans="2:12" ht="13.5">
      <c r="B19" s="6"/>
      <c r="C19" s="47"/>
      <c r="D19" s="48"/>
      <c r="E19" s="2"/>
      <c r="F19" s="2"/>
      <c r="G19" s="2"/>
      <c r="H19" s="49"/>
      <c r="I19" s="49"/>
      <c r="J19" s="50"/>
      <c r="K19" s="5"/>
      <c r="L19" s="2"/>
    </row>
    <row r="20" spans="2:12" s="15" customFormat="1" ht="19.5">
      <c r="B20" s="22"/>
      <c r="C20" s="45" t="s">
        <v>7</v>
      </c>
      <c r="D20" s="46" t="s">
        <v>8</v>
      </c>
      <c r="E20" s="7"/>
      <c r="F20" s="7"/>
      <c r="G20" s="7"/>
      <c r="H20" s="8"/>
      <c r="I20" s="8"/>
      <c r="J20" s="9"/>
      <c r="K20" s="24"/>
      <c r="L20" s="7"/>
    </row>
    <row r="21" spans="2:12" ht="13.5">
      <c r="B21" s="6"/>
      <c r="C21" s="47"/>
      <c r="D21" s="47"/>
      <c r="E21" s="2"/>
      <c r="F21" s="2"/>
      <c r="G21" s="2"/>
      <c r="H21" s="49"/>
      <c r="I21" s="49"/>
      <c r="J21" s="16"/>
      <c r="K21" s="5"/>
      <c r="L21" s="2"/>
    </row>
    <row r="22" spans="2:12" s="15" customFormat="1" ht="19.5">
      <c r="B22" s="22"/>
      <c r="C22" s="45"/>
      <c r="D22" s="45" t="s">
        <v>9</v>
      </c>
      <c r="E22" s="3" t="s">
        <v>10</v>
      </c>
      <c r="F22" s="3"/>
      <c r="G22" s="3"/>
      <c r="H22" s="8"/>
      <c r="I22" s="8"/>
      <c r="J22" s="9">
        <f>'T-03 (1)'!AC44</f>
        <v>1144.2240000000002</v>
      </c>
      <c r="K22" s="24"/>
      <c r="L22" s="7"/>
    </row>
    <row r="23" spans="2:12" ht="13.5">
      <c r="B23" s="6"/>
      <c r="C23" s="47"/>
      <c r="D23" s="47"/>
      <c r="E23" s="2"/>
      <c r="F23" s="2"/>
      <c r="G23" s="2"/>
      <c r="H23" s="49"/>
      <c r="I23" s="49"/>
      <c r="J23" s="16"/>
      <c r="K23" s="5"/>
      <c r="L23" s="2"/>
    </row>
    <row r="24" spans="2:12" s="15" customFormat="1" ht="19.5">
      <c r="B24" s="22"/>
      <c r="C24" s="45"/>
      <c r="D24" s="45" t="s">
        <v>11</v>
      </c>
      <c r="E24" s="3" t="s">
        <v>12</v>
      </c>
      <c r="F24" s="3"/>
      <c r="G24" s="3"/>
      <c r="H24" s="8"/>
      <c r="I24" s="8"/>
      <c r="J24" s="9">
        <f>'SA-03 (1)'!V44</f>
        <v>2214.6312</v>
      </c>
      <c r="K24" s="24"/>
      <c r="L24" s="7"/>
    </row>
    <row r="25" spans="2:12" s="15" customFormat="1" ht="19.5">
      <c r="B25" s="22"/>
      <c r="C25" s="44"/>
      <c r="D25" s="44"/>
      <c r="E25" s="3"/>
      <c r="F25" s="3"/>
      <c r="G25" s="3"/>
      <c r="H25" s="8"/>
      <c r="I25" s="8"/>
      <c r="J25" s="9"/>
      <c r="K25" s="24"/>
      <c r="L25" s="7"/>
    </row>
    <row r="26" spans="2:12" s="15" customFormat="1" ht="19.5">
      <c r="B26" s="22"/>
      <c r="C26" s="44"/>
      <c r="D26" s="44"/>
      <c r="E26" s="7"/>
      <c r="F26" s="7"/>
      <c r="G26" s="7"/>
      <c r="H26" s="8"/>
      <c r="I26" s="8"/>
      <c r="J26" s="10"/>
      <c r="K26" s="24"/>
      <c r="L26" s="7"/>
    </row>
    <row r="27" spans="2:12" s="15" customFormat="1" ht="20.25" thickBot="1">
      <c r="B27" s="22"/>
      <c r="C27" s="44"/>
      <c r="D27" s="44"/>
      <c r="E27" s="7"/>
      <c r="F27" s="7"/>
      <c r="G27" s="7"/>
      <c r="H27" s="8"/>
      <c r="I27" s="8"/>
      <c r="J27" s="7"/>
      <c r="K27" s="24"/>
      <c r="L27" s="7"/>
    </row>
    <row r="28" spans="2:12" s="15" customFormat="1" ht="20.25" thickBot="1" thickTop="1">
      <c r="B28" s="22"/>
      <c r="C28" s="45"/>
      <c r="D28" s="45"/>
      <c r="E28"/>
      <c r="F28"/>
      <c r="G28" s="51" t="s">
        <v>13</v>
      </c>
      <c r="H28" s="52">
        <f>ROUND(SUM(J18:J26),2)</f>
        <v>345943.26</v>
      </c>
      <c r="I28"/>
      <c r="K28" s="24"/>
      <c r="L28" s="7"/>
    </row>
    <row r="29" spans="2:12" s="15" customFormat="1" ht="9" customHeight="1" thickTop="1">
      <c r="B29" s="22"/>
      <c r="C29" s="45"/>
      <c r="D29" s="45"/>
      <c r="E29"/>
      <c r="F29"/>
      <c r="G29" s="418"/>
      <c r="H29" s="419"/>
      <c r="I29"/>
      <c r="K29" s="24"/>
      <c r="L29" s="7"/>
    </row>
    <row r="30" spans="2:12" s="15" customFormat="1" ht="18.75">
      <c r="B30" s="22"/>
      <c r="C30" s="420" t="s">
        <v>76</v>
      </c>
      <c r="D30" s="45"/>
      <c r="E30"/>
      <c r="F30"/>
      <c r="G30" s="418"/>
      <c r="H30" s="419"/>
      <c r="I30"/>
      <c r="K30" s="24"/>
      <c r="L30" s="7"/>
    </row>
    <row r="31" spans="2:12" s="36" customFormat="1" ht="9" customHeight="1" thickBot="1">
      <c r="B31" s="53"/>
      <c r="C31" s="54"/>
      <c r="D31" s="54"/>
      <c r="E31" s="54"/>
      <c r="F31" s="54"/>
      <c r="G31" s="54"/>
      <c r="H31" s="54"/>
      <c r="I31" s="54"/>
      <c r="J31" s="54"/>
      <c r="K31" s="55"/>
      <c r="L31" s="37"/>
    </row>
    <row r="32" ht="13.5" thickTop="1"/>
  </sheetData>
  <sheetProtection/>
  <printOptions horizontalCentered="1" verticalCentered="1"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AE42"/>
  <sheetViews>
    <sheetView tabSelected="1" zoomScale="75" zoomScaleNormal="75" zoomScalePageLayoutView="0" workbookViewId="0" topLeftCell="E1">
      <selection activeCell="B3" sqref="B3"/>
    </sheetView>
  </sheetViews>
  <sheetFormatPr defaultColWidth="11.421875" defaultRowHeight="12.75"/>
  <cols>
    <col min="1" max="1" width="19.8515625" style="148" customWidth="1"/>
    <col min="2" max="2" width="4.00390625" style="148" customWidth="1"/>
    <col min="3" max="3" width="4.7109375" style="148" customWidth="1"/>
    <col min="4" max="4" width="22.7109375" style="148" customWidth="1"/>
    <col min="5" max="5" width="13.8515625" style="148" customWidth="1"/>
    <col min="6" max="6" width="45.7109375" style="148" customWidth="1"/>
    <col min="7" max="8" width="7.7109375" style="148" customWidth="1"/>
    <col min="9" max="9" width="6.57421875" style="148" customWidth="1"/>
    <col min="10" max="11" width="8.7109375" style="148" customWidth="1"/>
    <col min="12" max="12" width="13.7109375" style="148" hidden="1" customWidth="1"/>
    <col min="13" max="13" width="16.28125" style="148" customWidth="1"/>
    <col min="14" max="14" width="16.421875" style="148" customWidth="1"/>
    <col min="15" max="17" width="9.7109375" style="148" customWidth="1"/>
    <col min="18" max="18" width="8.57421875" style="148" customWidth="1"/>
    <col min="19" max="20" width="16.00390625" style="148" hidden="1" customWidth="1"/>
    <col min="21" max="21" width="12.7109375" style="148" hidden="1" customWidth="1"/>
    <col min="22" max="22" width="15.421875" style="148" hidden="1" customWidth="1"/>
    <col min="23" max="28" width="14.28125" style="148" hidden="1" customWidth="1"/>
    <col min="29" max="29" width="9.7109375" style="148" customWidth="1"/>
    <col min="30" max="30" width="15.7109375" style="148" customWidth="1"/>
    <col min="31" max="31" width="4.00390625" style="148" customWidth="1"/>
    <col min="32" max="16384" width="11.421875" style="148" customWidth="1"/>
  </cols>
  <sheetData>
    <row r="1" ht="16.5" customHeight="1">
      <c r="AE1" s="149"/>
    </row>
    <row r="2" ht="16.5" customHeight="1">
      <c r="B2" s="148" t="s">
        <v>193</v>
      </c>
    </row>
    <row r="3" ht="16.5" customHeight="1"/>
    <row r="4" spans="2:31" s="150" customFormat="1" ht="26.25">
      <c r="B4" s="151" t="str">
        <f>+'TOT-0314'!B2</f>
        <v>ANEXO III a la Resolución AAANR N°  179 / 2016</v>
      </c>
      <c r="C4" s="152"/>
      <c r="D4" s="152"/>
      <c r="E4" s="152"/>
      <c r="F4" s="152"/>
      <c r="G4" s="152"/>
      <c r="H4" s="151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</row>
    <row r="5" spans="1:2" s="153" customFormat="1" ht="11.25">
      <c r="A5" s="63" t="s">
        <v>2</v>
      </c>
      <c r="B5" s="63"/>
    </row>
    <row r="6" spans="1:2" s="153" customFormat="1" ht="11.25">
      <c r="A6" s="63" t="s">
        <v>3</v>
      </c>
      <c r="B6" s="63"/>
    </row>
    <row r="7" ht="16.5" customHeight="1" thickBot="1"/>
    <row r="8" spans="2:31" ht="16.5" customHeight="1" thickTop="1">
      <c r="B8" s="154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6"/>
    </row>
    <row r="9" spans="2:31" s="157" customFormat="1" ht="20.25">
      <c r="B9" s="158"/>
      <c r="C9" s="64"/>
      <c r="D9" s="64"/>
      <c r="E9" s="64"/>
      <c r="F9" s="159" t="str">
        <f>CONCATENATE("FUNCIÓN TÉCNICA DE TRANSPORTE DE ENERGÍA ELÉCTRICA - ",'TOT-0314'!B9)</f>
        <v>FUNCIÓN TÉCNICA DE TRANSPORTE DE ENERGÍA ELÉCTRICA - EDESUR S.A.</v>
      </c>
      <c r="G9" s="159"/>
      <c r="H9" s="159"/>
      <c r="I9" s="159"/>
      <c r="J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160"/>
    </row>
    <row r="10" spans="2:31" ht="16.5" customHeight="1">
      <c r="B10" s="161"/>
      <c r="C10" s="65"/>
      <c r="D10" s="65"/>
      <c r="E10" s="65"/>
      <c r="F10" s="67"/>
      <c r="G10" s="67"/>
      <c r="H10" s="67"/>
      <c r="I10" s="67"/>
      <c r="J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162"/>
    </row>
    <row r="11" spans="2:31" s="157" customFormat="1" ht="20.25">
      <c r="B11" s="158"/>
      <c r="C11" s="64"/>
      <c r="D11" s="64"/>
      <c r="E11" s="64"/>
      <c r="F11" s="159" t="s">
        <v>14</v>
      </c>
      <c r="G11" s="163"/>
      <c r="H11" s="163"/>
      <c r="I11" s="163"/>
      <c r="J11" s="159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160"/>
    </row>
    <row r="12" spans="2:31" ht="16.5" customHeight="1">
      <c r="B12" s="161"/>
      <c r="C12" s="65"/>
      <c r="D12" s="65"/>
      <c r="E12" s="65"/>
      <c r="F12" s="164"/>
      <c r="G12" s="164"/>
      <c r="H12" s="164"/>
      <c r="I12" s="164"/>
      <c r="J12" s="1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62"/>
    </row>
    <row r="13" spans="2:31" s="166" customFormat="1" ht="19.5">
      <c r="B13" s="167" t="str">
        <f>+'TOT-0314'!B14</f>
        <v>Desde el 01 al 31 de marzo de 2014</v>
      </c>
      <c r="C13" s="168"/>
      <c r="D13" s="168"/>
      <c r="E13" s="168"/>
      <c r="F13" s="66"/>
      <c r="G13" s="66"/>
      <c r="H13" s="66"/>
      <c r="I13" s="66"/>
      <c r="J13" s="169"/>
      <c r="K13" s="170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171"/>
    </row>
    <row r="14" spans="2:31" ht="16.5" customHeight="1" thickBot="1">
      <c r="B14" s="161"/>
      <c r="C14" s="65"/>
      <c r="D14" s="65"/>
      <c r="E14" s="65"/>
      <c r="F14" s="65"/>
      <c r="G14" s="65"/>
      <c r="H14" s="65"/>
      <c r="I14" s="65"/>
      <c r="J14" s="172"/>
      <c r="K14" s="67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162"/>
    </row>
    <row r="15" spans="2:31" ht="16.5" customHeight="1" thickBot="1" thickTop="1">
      <c r="B15" s="161"/>
      <c r="C15" s="65"/>
      <c r="D15" s="65"/>
      <c r="E15" s="65"/>
      <c r="F15" s="374" t="s">
        <v>15</v>
      </c>
      <c r="G15" s="373">
        <v>52.166</v>
      </c>
      <c r="H15" s="375"/>
      <c r="I15" s="68"/>
      <c r="K15" s="67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162"/>
    </row>
    <row r="16" spans="2:31" ht="16.5" customHeight="1" thickBot="1" thickTop="1">
      <c r="B16" s="161"/>
      <c r="C16" s="65"/>
      <c r="D16" s="65"/>
      <c r="E16" s="65"/>
      <c r="F16" s="374" t="s">
        <v>16</v>
      </c>
      <c r="G16" s="373">
        <v>49.847</v>
      </c>
      <c r="H16" s="375"/>
      <c r="I16" s="68"/>
      <c r="K16" s="173"/>
      <c r="L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162"/>
    </row>
    <row r="17" spans="2:31" ht="16.5" customHeight="1" thickBot="1" thickTop="1">
      <c r="B17" s="161"/>
      <c r="C17" s="65"/>
      <c r="D17" s="65"/>
      <c r="E17" s="65"/>
      <c r="F17" s="374" t="s">
        <v>17</v>
      </c>
      <c r="G17" s="373">
        <v>104.331</v>
      </c>
      <c r="H17" s="375"/>
      <c r="I17" s="68"/>
      <c r="K17" s="173"/>
      <c r="L17" s="65"/>
      <c r="M17" s="174" t="s">
        <v>18</v>
      </c>
      <c r="N17" s="175">
        <f>30*'TOT-0314'!B13</f>
        <v>60</v>
      </c>
      <c r="O17" s="69" t="str">
        <f>IF(N17=30," ",IF(N17=60,"Coeficiente duplicado por tasa de falla &gt;4 Sal. x año/100 km.","REVISAR COEFICIENTE"))</f>
        <v>Coeficiente duplicado por tasa de falla &gt;4 Sal. x año/100 km.</v>
      </c>
      <c r="P17" s="17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162"/>
    </row>
    <row r="18" spans="2:31" ht="16.5" customHeight="1" thickBot="1" thickTop="1">
      <c r="B18" s="161"/>
      <c r="C18" s="65"/>
      <c r="D18" s="65"/>
      <c r="E18" s="65"/>
      <c r="F18" s="374" t="s">
        <v>19</v>
      </c>
      <c r="G18" s="373">
        <v>98.535</v>
      </c>
      <c r="H18" s="375"/>
      <c r="I18" s="68"/>
      <c r="K18" s="173"/>
      <c r="L18" s="65"/>
      <c r="M18" s="65"/>
      <c r="N18" s="65"/>
      <c r="O18" s="174"/>
      <c r="P18" s="17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162"/>
    </row>
    <row r="19" spans="2:31" ht="16.5" customHeight="1" thickBot="1" thickTop="1">
      <c r="B19" s="161"/>
      <c r="C19" s="450">
        <v>3</v>
      </c>
      <c r="D19" s="450">
        <v>4</v>
      </c>
      <c r="E19" s="450">
        <v>5</v>
      </c>
      <c r="F19" s="450">
        <v>6</v>
      </c>
      <c r="G19" s="450">
        <v>7</v>
      </c>
      <c r="H19" s="450">
        <v>8</v>
      </c>
      <c r="I19" s="450">
        <v>9</v>
      </c>
      <c r="J19" s="450">
        <v>10</v>
      </c>
      <c r="K19" s="450">
        <v>11</v>
      </c>
      <c r="L19" s="450">
        <v>12</v>
      </c>
      <c r="M19" s="450">
        <v>13</v>
      </c>
      <c r="N19" s="450">
        <v>14</v>
      </c>
      <c r="O19" s="450">
        <v>15</v>
      </c>
      <c r="P19" s="450">
        <v>16</v>
      </c>
      <c r="Q19" s="450">
        <v>17</v>
      </c>
      <c r="R19" s="450">
        <v>18</v>
      </c>
      <c r="S19" s="450">
        <v>19</v>
      </c>
      <c r="T19" s="450">
        <v>20</v>
      </c>
      <c r="U19" s="450">
        <v>21</v>
      </c>
      <c r="V19" s="450">
        <v>22</v>
      </c>
      <c r="W19" s="450">
        <v>23</v>
      </c>
      <c r="X19" s="450">
        <v>24</v>
      </c>
      <c r="Y19" s="450">
        <v>25</v>
      </c>
      <c r="Z19" s="450">
        <v>26</v>
      </c>
      <c r="AA19" s="450">
        <v>27</v>
      </c>
      <c r="AB19" s="450">
        <v>28</v>
      </c>
      <c r="AC19" s="450">
        <v>29</v>
      </c>
      <c r="AD19" s="450">
        <v>30</v>
      </c>
      <c r="AE19" s="162"/>
    </row>
    <row r="20" spans="2:31" ht="34.5" customHeight="1" thickBot="1" thickTop="1">
      <c r="B20" s="161"/>
      <c r="C20" s="426" t="s">
        <v>20</v>
      </c>
      <c r="D20" s="426" t="s">
        <v>79</v>
      </c>
      <c r="E20" s="426" t="s">
        <v>80</v>
      </c>
      <c r="F20" s="70" t="s">
        <v>6</v>
      </c>
      <c r="G20" s="70" t="s">
        <v>132</v>
      </c>
      <c r="H20" s="70" t="s">
        <v>1</v>
      </c>
      <c r="I20" s="71" t="s">
        <v>49</v>
      </c>
      <c r="J20" s="71" t="s">
        <v>21</v>
      </c>
      <c r="K20" s="71" t="s">
        <v>22</v>
      </c>
      <c r="L20" s="72" t="s">
        <v>23</v>
      </c>
      <c r="M20" s="70" t="s">
        <v>24</v>
      </c>
      <c r="N20" s="70" t="s">
        <v>25</v>
      </c>
      <c r="O20" s="71" t="s">
        <v>50</v>
      </c>
      <c r="P20" s="71" t="s">
        <v>26</v>
      </c>
      <c r="Q20" s="71" t="s">
        <v>27</v>
      </c>
      <c r="R20" s="71" t="s">
        <v>51</v>
      </c>
      <c r="S20" s="176" t="s">
        <v>52</v>
      </c>
      <c r="T20" s="177" t="s">
        <v>29</v>
      </c>
      <c r="U20" s="73" t="s">
        <v>53</v>
      </c>
      <c r="V20" s="178"/>
      <c r="W20" s="179"/>
      <c r="X20" s="74" t="s">
        <v>54</v>
      </c>
      <c r="Y20" s="180"/>
      <c r="Z20" s="181"/>
      <c r="AA20" s="182" t="s">
        <v>30</v>
      </c>
      <c r="AB20" s="183" t="s">
        <v>31</v>
      </c>
      <c r="AC20" s="71" t="s">
        <v>32</v>
      </c>
      <c r="AD20" s="71" t="s">
        <v>33</v>
      </c>
      <c r="AE20" s="162"/>
    </row>
    <row r="21" spans="2:31" ht="16.5" customHeight="1" thickTop="1">
      <c r="B21" s="161"/>
      <c r="C21" s="184"/>
      <c r="D21" s="184"/>
      <c r="E21" s="184"/>
      <c r="F21" s="185"/>
      <c r="G21" s="184"/>
      <c r="H21" s="184"/>
      <c r="I21" s="184"/>
      <c r="J21" s="186"/>
      <c r="K21" s="186"/>
      <c r="L21" s="187">
        <v>5</v>
      </c>
      <c r="M21" s="421"/>
      <c r="N21" s="422"/>
      <c r="O21" s="185"/>
      <c r="P21" s="185"/>
      <c r="Q21" s="185"/>
      <c r="R21" s="185"/>
      <c r="S21" s="188"/>
      <c r="T21" s="189"/>
      <c r="U21" s="190"/>
      <c r="V21" s="191"/>
      <c r="W21" s="192"/>
      <c r="X21" s="193"/>
      <c r="Y21" s="194"/>
      <c r="Z21" s="195"/>
      <c r="AA21" s="196"/>
      <c r="AB21" s="197"/>
      <c r="AC21" s="198"/>
      <c r="AD21" s="199"/>
      <c r="AE21" s="162"/>
    </row>
    <row r="22" spans="2:31" ht="16.5" customHeight="1">
      <c r="B22" s="161"/>
      <c r="C22" s="200"/>
      <c r="D22" s="200"/>
      <c r="E22" s="200"/>
      <c r="F22" s="200"/>
      <c r="G22" s="200"/>
      <c r="H22" s="200"/>
      <c r="I22" s="200"/>
      <c r="J22" s="200"/>
      <c r="K22" s="200"/>
      <c r="L22" s="201">
        <v>2005</v>
      </c>
      <c r="M22" s="423"/>
      <c r="N22" s="424"/>
      <c r="O22" s="202"/>
      <c r="P22" s="202"/>
      <c r="Q22" s="200"/>
      <c r="R22" s="200"/>
      <c r="S22" s="203"/>
      <c r="T22" s="204"/>
      <c r="U22" s="205"/>
      <c r="V22" s="206"/>
      <c r="W22" s="207"/>
      <c r="X22" s="208"/>
      <c r="Y22" s="209"/>
      <c r="Z22" s="210"/>
      <c r="AA22" s="211"/>
      <c r="AB22" s="212"/>
      <c r="AC22" s="200"/>
      <c r="AD22" s="213"/>
      <c r="AE22" s="162"/>
    </row>
    <row r="23" spans="2:31" ht="16.5" customHeight="1">
      <c r="B23" s="161"/>
      <c r="C23" s="376">
        <v>1</v>
      </c>
      <c r="D23" s="376">
        <v>272638</v>
      </c>
      <c r="E23" s="376">
        <v>1968</v>
      </c>
      <c r="F23" s="377" t="s">
        <v>134</v>
      </c>
      <c r="G23" s="378">
        <v>580</v>
      </c>
      <c r="H23" s="377" t="s">
        <v>135</v>
      </c>
      <c r="I23" s="378" t="s">
        <v>136</v>
      </c>
      <c r="J23" s="378">
        <v>132</v>
      </c>
      <c r="K23" s="378">
        <v>16.6</v>
      </c>
      <c r="L23" s="201">
        <f aca="true" t="shared" si="0" ref="L23:L38">IF(K23&gt;25,K23,25)*IF(J23=220,(I23*$G$15/100)+(100-I23)/100*$G$17,(I23*$G$16/100)+(100-I23)/100*$G$18)/100</f>
        <v>24.63375</v>
      </c>
      <c r="M23" s="454">
        <v>41699.36111111111</v>
      </c>
      <c r="N23" s="454">
        <v>41699.5875</v>
      </c>
      <c r="O23" s="75">
        <f aca="true" t="shared" si="1" ref="O23:O38">IF(F23="","",(N23-M23)*24)</f>
        <v>5.433333333407063</v>
      </c>
      <c r="P23" s="76">
        <f aca="true" t="shared" si="2" ref="P23:P38">IF(F23="","",ROUND((N23-M23)*24*60,0))</f>
        <v>326</v>
      </c>
      <c r="Q23" s="77" t="s">
        <v>137</v>
      </c>
      <c r="R23" s="78" t="str">
        <f aca="true" t="shared" si="3" ref="R23:R38">IF(F23="","","--")</f>
        <v>--</v>
      </c>
      <c r="S23" s="79">
        <f aca="true" t="shared" si="4" ref="S23:S38">IF(Q23="P",ROUND(P23/60,2)*L23*$N$17*0.01,"--")</f>
        <v>80.25675749999999</v>
      </c>
      <c r="T23" s="80" t="str">
        <f aca="true" t="shared" si="5" ref="T23:T38">IF(Q23="RP",$N$17*L23*R23/100*ROUND(P23/60,2)*0.01,"--")</f>
        <v>--</v>
      </c>
      <c r="U23" s="81" t="str">
        <f aca="true" t="shared" si="6" ref="U23:U38">IF(Q23="F",L23*$N$17,"--")</f>
        <v>--</v>
      </c>
      <c r="V23" s="82" t="str">
        <f aca="true" t="shared" si="7" ref="V23:V38">IF(AND(P23&gt;10,Q23="F"),IF(P23&gt;180,3,ROUND(P23/60,2))*L23*$N$17,"--")</f>
        <v>--</v>
      </c>
      <c r="W23" s="83" t="str">
        <f aca="true" t="shared" si="8" ref="W23:W38">IF(AND(P23&gt;180,Q23="F"),(ROUND(P23/60,2)-3)*L23*$N$17*0.1,"--")</f>
        <v>--</v>
      </c>
      <c r="X23" s="84" t="str">
        <f aca="true" t="shared" si="9" ref="X23:X38">IF(Q23="R",L23*$N$17*R23/100,"--")</f>
        <v>--</v>
      </c>
      <c r="Y23" s="85" t="str">
        <f aca="true" t="shared" si="10" ref="Y23:Y38">IF(AND(P23&gt;10,Q23="R"),IF(P23&gt;180,3,ROUND(P23/60,2))*L23*$N$17*R23/100,"--")</f>
        <v>--</v>
      </c>
      <c r="Z23" s="86" t="str">
        <f aca="true" t="shared" si="11" ref="Z23:Z38">IF(AND(P23&gt;180,Q23="R"),(ROUND(P23/60,2)-3)*L23*$N$17*0.1*R23/100,"--")</f>
        <v>--</v>
      </c>
      <c r="AA23" s="87" t="str">
        <f aca="true" t="shared" si="12" ref="AA23:AA38">IF(Q23="RF",ROUND(P23/60,2)*L23*$N$17*0.1,"--")</f>
        <v>--</v>
      </c>
      <c r="AB23" s="88" t="str">
        <f aca="true" t="shared" si="13" ref="AB23:AB38">IF(Q23="RR",ROUND(P23/60,2)*L23*$N$17*0.1*R23/100,"--")</f>
        <v>--</v>
      </c>
      <c r="AC23" s="370" t="s">
        <v>138</v>
      </c>
      <c r="AD23" s="214">
        <f aca="true" t="shared" si="14" ref="AD23:AD38">IF(F23="","",SUM(S23:AB23)*IF(AC23="SI",1,2))</f>
        <v>80.25675749999999</v>
      </c>
      <c r="AE23" s="162"/>
    </row>
    <row r="24" spans="2:31" ht="16.5" customHeight="1">
      <c r="B24" s="161"/>
      <c r="C24" s="376">
        <v>2</v>
      </c>
      <c r="D24" s="376" t="s">
        <v>173</v>
      </c>
      <c r="E24" s="376">
        <v>4039</v>
      </c>
      <c r="F24" s="377" t="s">
        <v>139</v>
      </c>
      <c r="G24" s="378">
        <v>135</v>
      </c>
      <c r="H24" s="377" t="s">
        <v>135</v>
      </c>
      <c r="I24" s="378" t="s">
        <v>136</v>
      </c>
      <c r="J24" s="378">
        <v>132</v>
      </c>
      <c r="K24" s="378">
        <v>16.7</v>
      </c>
      <c r="L24" s="201">
        <f t="shared" si="0"/>
        <v>24.63375</v>
      </c>
      <c r="M24" s="454">
        <v>41700.058333333334</v>
      </c>
      <c r="N24" s="454">
        <v>41729.99930555555</v>
      </c>
      <c r="O24" s="75">
        <f t="shared" si="1"/>
        <v>718.5833333332557</v>
      </c>
      <c r="P24" s="76">
        <f t="shared" si="2"/>
        <v>43115</v>
      </c>
      <c r="Q24" s="77" t="s">
        <v>137</v>
      </c>
      <c r="R24" s="78" t="str">
        <f t="shared" si="3"/>
        <v>--</v>
      </c>
      <c r="S24" s="79">
        <f t="shared" si="4"/>
        <v>10620.792045</v>
      </c>
      <c r="T24" s="80" t="str">
        <f t="shared" si="5"/>
        <v>--</v>
      </c>
      <c r="U24" s="81" t="str">
        <f t="shared" si="6"/>
        <v>--</v>
      </c>
      <c r="V24" s="82" t="str">
        <f t="shared" si="7"/>
        <v>--</v>
      </c>
      <c r="W24" s="83" t="str">
        <f t="shared" si="8"/>
        <v>--</v>
      </c>
      <c r="X24" s="84" t="str">
        <f t="shared" si="9"/>
        <v>--</v>
      </c>
      <c r="Y24" s="85" t="str">
        <f t="shared" si="10"/>
        <v>--</v>
      </c>
      <c r="Z24" s="86" t="str">
        <f t="shared" si="11"/>
        <v>--</v>
      </c>
      <c r="AA24" s="87" t="str">
        <f t="shared" si="12"/>
        <v>--</v>
      </c>
      <c r="AB24" s="88" t="str">
        <f t="shared" si="13"/>
        <v>--</v>
      </c>
      <c r="AC24" s="370" t="s">
        <v>138</v>
      </c>
      <c r="AD24" s="214">
        <f t="shared" si="14"/>
        <v>10620.792045</v>
      </c>
      <c r="AE24" s="162"/>
    </row>
    <row r="25" spans="2:31" ht="16.5" customHeight="1">
      <c r="B25" s="161"/>
      <c r="C25" s="376">
        <v>3</v>
      </c>
      <c r="D25" s="376">
        <v>272645</v>
      </c>
      <c r="E25" s="376">
        <v>1964</v>
      </c>
      <c r="F25" s="377" t="s">
        <v>140</v>
      </c>
      <c r="G25" s="378">
        <v>512</v>
      </c>
      <c r="H25" s="377" t="s">
        <v>151</v>
      </c>
      <c r="I25" s="378">
        <v>100</v>
      </c>
      <c r="J25" s="378">
        <v>132</v>
      </c>
      <c r="K25" s="378">
        <v>16.8</v>
      </c>
      <c r="L25" s="201">
        <f t="shared" si="0"/>
        <v>12.46175</v>
      </c>
      <c r="M25" s="454">
        <v>41700.06319444445</v>
      </c>
      <c r="N25" s="454">
        <v>41700.69097222222</v>
      </c>
      <c r="O25" s="75">
        <f t="shared" si="1"/>
        <v>15.06666666653473</v>
      </c>
      <c r="P25" s="76">
        <f t="shared" si="2"/>
        <v>904</v>
      </c>
      <c r="Q25" s="77" t="s">
        <v>137</v>
      </c>
      <c r="R25" s="78" t="str">
        <f t="shared" si="3"/>
        <v>--</v>
      </c>
      <c r="S25" s="79">
        <f t="shared" si="4"/>
        <v>112.67914350000001</v>
      </c>
      <c r="T25" s="80" t="str">
        <f t="shared" si="5"/>
        <v>--</v>
      </c>
      <c r="U25" s="81" t="str">
        <f t="shared" si="6"/>
        <v>--</v>
      </c>
      <c r="V25" s="82" t="str">
        <f t="shared" si="7"/>
        <v>--</v>
      </c>
      <c r="W25" s="83" t="str">
        <f t="shared" si="8"/>
        <v>--</v>
      </c>
      <c r="X25" s="84" t="str">
        <f t="shared" si="9"/>
        <v>--</v>
      </c>
      <c r="Y25" s="85" t="str">
        <f t="shared" si="10"/>
        <v>--</v>
      </c>
      <c r="Z25" s="86" t="str">
        <f t="shared" si="11"/>
        <v>--</v>
      </c>
      <c r="AA25" s="87" t="str">
        <f t="shared" si="12"/>
        <v>--</v>
      </c>
      <c r="AB25" s="88" t="str">
        <f t="shared" si="13"/>
        <v>--</v>
      </c>
      <c r="AC25" s="370" t="s">
        <v>138</v>
      </c>
      <c r="AD25" s="214">
        <f t="shared" si="14"/>
        <v>112.67914350000001</v>
      </c>
      <c r="AE25" s="162"/>
    </row>
    <row r="26" spans="2:31" ht="16.5" customHeight="1">
      <c r="B26" s="161"/>
      <c r="C26" s="376">
        <v>4</v>
      </c>
      <c r="D26" s="376">
        <v>272646</v>
      </c>
      <c r="E26" s="376">
        <v>3643</v>
      </c>
      <c r="F26" s="377" t="s">
        <v>142</v>
      </c>
      <c r="G26" s="378">
        <v>204</v>
      </c>
      <c r="H26" s="377" t="s">
        <v>141</v>
      </c>
      <c r="I26" s="378">
        <v>85.89</v>
      </c>
      <c r="J26" s="378">
        <v>132</v>
      </c>
      <c r="K26" s="378">
        <v>15.6</v>
      </c>
      <c r="L26" s="201">
        <f t="shared" si="0"/>
        <v>14.1792192</v>
      </c>
      <c r="M26" s="454">
        <v>41700.06319444445</v>
      </c>
      <c r="N26" s="454">
        <v>41700.72430555556</v>
      </c>
      <c r="O26" s="75">
        <f t="shared" si="1"/>
        <v>15.86666666669771</v>
      </c>
      <c r="P26" s="76">
        <f t="shared" si="2"/>
        <v>952</v>
      </c>
      <c r="Q26" s="77" t="s">
        <v>137</v>
      </c>
      <c r="R26" s="78" t="str">
        <f t="shared" si="3"/>
        <v>--</v>
      </c>
      <c r="S26" s="79">
        <f t="shared" si="4"/>
        <v>135.01452522239998</v>
      </c>
      <c r="T26" s="80" t="str">
        <f t="shared" si="5"/>
        <v>--</v>
      </c>
      <c r="U26" s="81" t="str">
        <f t="shared" si="6"/>
        <v>--</v>
      </c>
      <c r="V26" s="82" t="str">
        <f t="shared" si="7"/>
        <v>--</v>
      </c>
      <c r="W26" s="83" t="str">
        <f t="shared" si="8"/>
        <v>--</v>
      </c>
      <c r="X26" s="84" t="str">
        <f t="shared" si="9"/>
        <v>--</v>
      </c>
      <c r="Y26" s="85" t="str">
        <f t="shared" si="10"/>
        <v>--</v>
      </c>
      <c r="Z26" s="86" t="str">
        <f t="shared" si="11"/>
        <v>--</v>
      </c>
      <c r="AA26" s="87" t="str">
        <f t="shared" si="12"/>
        <v>--</v>
      </c>
      <c r="AB26" s="88" t="str">
        <f t="shared" si="13"/>
        <v>--</v>
      </c>
      <c r="AC26" s="370" t="s">
        <v>138</v>
      </c>
      <c r="AD26" s="214">
        <f t="shared" si="14"/>
        <v>135.01452522239998</v>
      </c>
      <c r="AE26" s="162"/>
    </row>
    <row r="27" spans="2:31" ht="16.5" customHeight="1">
      <c r="B27" s="161"/>
      <c r="C27" s="376">
        <v>5</v>
      </c>
      <c r="D27" s="376">
        <v>272647</v>
      </c>
      <c r="E27" s="376">
        <v>1958</v>
      </c>
      <c r="F27" s="377" t="s">
        <v>143</v>
      </c>
      <c r="G27" s="378">
        <v>339</v>
      </c>
      <c r="H27" s="377" t="s">
        <v>135</v>
      </c>
      <c r="I27" s="378" t="s">
        <v>136</v>
      </c>
      <c r="J27" s="378">
        <v>132</v>
      </c>
      <c r="K27" s="378">
        <v>11</v>
      </c>
      <c r="L27" s="201">
        <f t="shared" si="0"/>
        <v>24.63375</v>
      </c>
      <c r="M27" s="454">
        <v>41700.3</v>
      </c>
      <c r="N27" s="454">
        <v>41700.67152777778</v>
      </c>
      <c r="O27" s="75">
        <f t="shared" si="1"/>
        <v>8.916666666569654</v>
      </c>
      <c r="P27" s="76">
        <f t="shared" si="2"/>
        <v>535</v>
      </c>
      <c r="Q27" s="77" t="s">
        <v>137</v>
      </c>
      <c r="R27" s="78" t="str">
        <f t="shared" si="3"/>
        <v>--</v>
      </c>
      <c r="S27" s="79">
        <f t="shared" si="4"/>
        <v>131.83983</v>
      </c>
      <c r="T27" s="80" t="str">
        <f t="shared" si="5"/>
        <v>--</v>
      </c>
      <c r="U27" s="81" t="str">
        <f t="shared" si="6"/>
        <v>--</v>
      </c>
      <c r="V27" s="82" t="str">
        <f t="shared" si="7"/>
        <v>--</v>
      </c>
      <c r="W27" s="83" t="str">
        <f t="shared" si="8"/>
        <v>--</v>
      </c>
      <c r="X27" s="84" t="str">
        <f t="shared" si="9"/>
        <v>--</v>
      </c>
      <c r="Y27" s="85" t="str">
        <f t="shared" si="10"/>
        <v>--</v>
      </c>
      <c r="Z27" s="86" t="str">
        <f t="shared" si="11"/>
        <v>--</v>
      </c>
      <c r="AA27" s="87" t="str">
        <f t="shared" si="12"/>
        <v>--</v>
      </c>
      <c r="AB27" s="88" t="str">
        <f t="shared" si="13"/>
        <v>--</v>
      </c>
      <c r="AC27" s="370" t="s">
        <v>138</v>
      </c>
      <c r="AD27" s="214">
        <f t="shared" si="14"/>
        <v>131.83983</v>
      </c>
      <c r="AE27" s="162"/>
    </row>
    <row r="28" spans="2:31" ht="16.5" customHeight="1">
      <c r="B28" s="161"/>
      <c r="C28" s="376">
        <v>6</v>
      </c>
      <c r="D28" s="376">
        <v>272648</v>
      </c>
      <c r="E28" s="376">
        <v>1964</v>
      </c>
      <c r="F28" s="377" t="s">
        <v>140</v>
      </c>
      <c r="G28" s="378">
        <v>512</v>
      </c>
      <c r="H28" s="377" t="s">
        <v>151</v>
      </c>
      <c r="I28" s="378">
        <v>100</v>
      </c>
      <c r="J28" s="378">
        <v>132</v>
      </c>
      <c r="K28" s="378">
        <v>16.8</v>
      </c>
      <c r="L28" s="201">
        <f t="shared" si="0"/>
        <v>12.46175</v>
      </c>
      <c r="M28" s="454">
        <v>41700.691666666666</v>
      </c>
      <c r="N28" s="454">
        <v>41700.71319444444</v>
      </c>
      <c r="O28" s="75">
        <f t="shared" si="1"/>
        <v>0.5166666666045785</v>
      </c>
      <c r="P28" s="76">
        <f t="shared" si="2"/>
        <v>31</v>
      </c>
      <c r="Q28" s="77" t="s">
        <v>144</v>
      </c>
      <c r="R28" s="78" t="str">
        <f t="shared" si="3"/>
        <v>--</v>
      </c>
      <c r="S28" s="79" t="str">
        <f t="shared" si="4"/>
        <v>--</v>
      </c>
      <c r="T28" s="80" t="str">
        <f t="shared" si="5"/>
        <v>--</v>
      </c>
      <c r="U28" s="81">
        <f t="shared" si="6"/>
        <v>747.705</v>
      </c>
      <c r="V28" s="82">
        <f t="shared" si="7"/>
        <v>388.80660000000006</v>
      </c>
      <c r="W28" s="83" t="str">
        <f t="shared" si="8"/>
        <v>--</v>
      </c>
      <c r="X28" s="84" t="str">
        <f t="shared" si="9"/>
        <v>--</v>
      </c>
      <c r="Y28" s="85" t="str">
        <f t="shared" si="10"/>
        <v>--</v>
      </c>
      <c r="Z28" s="86" t="str">
        <f t="shared" si="11"/>
        <v>--</v>
      </c>
      <c r="AA28" s="87" t="str">
        <f t="shared" si="12"/>
        <v>--</v>
      </c>
      <c r="AB28" s="88" t="str">
        <f t="shared" si="13"/>
        <v>--</v>
      </c>
      <c r="AC28" s="370" t="s">
        <v>138</v>
      </c>
      <c r="AD28" s="214">
        <f t="shared" si="14"/>
        <v>1136.5116</v>
      </c>
      <c r="AE28" s="162"/>
    </row>
    <row r="29" spans="2:31" ht="16.5" customHeight="1">
      <c r="B29" s="215"/>
      <c r="C29" s="376">
        <v>7</v>
      </c>
      <c r="D29" s="376" t="s">
        <v>174</v>
      </c>
      <c r="E29" s="376">
        <v>1968</v>
      </c>
      <c r="F29" s="377" t="s">
        <v>134</v>
      </c>
      <c r="G29" s="378">
        <v>580</v>
      </c>
      <c r="H29" s="377" t="s">
        <v>135</v>
      </c>
      <c r="I29" s="378" t="s">
        <v>136</v>
      </c>
      <c r="J29" s="378">
        <v>132</v>
      </c>
      <c r="K29" s="378">
        <v>18.47</v>
      </c>
      <c r="L29" s="201">
        <f t="shared" si="0"/>
        <v>24.63375</v>
      </c>
      <c r="M29" s="454">
        <v>41701.03125</v>
      </c>
      <c r="N29" s="454">
        <v>41711.74930555555</v>
      </c>
      <c r="O29" s="75">
        <f t="shared" si="1"/>
        <v>257.233333333279</v>
      </c>
      <c r="P29" s="76">
        <f t="shared" si="2"/>
        <v>15434</v>
      </c>
      <c r="Q29" s="77" t="s">
        <v>137</v>
      </c>
      <c r="R29" s="78" t="str">
        <f t="shared" si="3"/>
        <v>--</v>
      </c>
      <c r="S29" s="79">
        <f t="shared" si="4"/>
        <v>3801.9237075</v>
      </c>
      <c r="T29" s="80" t="str">
        <f t="shared" si="5"/>
        <v>--</v>
      </c>
      <c r="U29" s="81" t="str">
        <f t="shared" si="6"/>
        <v>--</v>
      </c>
      <c r="V29" s="82" t="str">
        <f t="shared" si="7"/>
        <v>--</v>
      </c>
      <c r="W29" s="83" t="str">
        <f t="shared" si="8"/>
        <v>--</v>
      </c>
      <c r="X29" s="84" t="str">
        <f t="shared" si="9"/>
        <v>--</v>
      </c>
      <c r="Y29" s="85" t="str">
        <f t="shared" si="10"/>
        <v>--</v>
      </c>
      <c r="Z29" s="86" t="str">
        <f t="shared" si="11"/>
        <v>--</v>
      </c>
      <c r="AA29" s="87" t="str">
        <f t="shared" si="12"/>
        <v>--</v>
      </c>
      <c r="AB29" s="88" t="str">
        <f t="shared" si="13"/>
        <v>--</v>
      </c>
      <c r="AC29" s="370" t="s">
        <v>138</v>
      </c>
      <c r="AD29" s="214">
        <f t="shared" si="14"/>
        <v>3801.9237075</v>
      </c>
      <c r="AE29" s="162"/>
    </row>
    <row r="30" spans="2:31" ht="16.5" customHeight="1">
      <c r="B30" s="215"/>
      <c r="C30" s="376"/>
      <c r="D30" s="376"/>
      <c r="E30" s="376"/>
      <c r="F30" s="377"/>
      <c r="G30" s="378"/>
      <c r="H30" s="377"/>
      <c r="I30" s="378"/>
      <c r="J30" s="378"/>
      <c r="K30" s="378"/>
      <c r="L30" s="201"/>
      <c r="M30" s="454"/>
      <c r="N30" s="454"/>
      <c r="O30" s="75">
        <f t="shared" si="1"/>
      </c>
      <c r="P30" s="76"/>
      <c r="Q30" s="77"/>
      <c r="R30" s="78">
        <f aca="true" t="shared" si="15" ref="R30:R37">IF(F30="","","--")</f>
      </c>
      <c r="S30" s="79" t="str">
        <f aca="true" t="shared" si="16" ref="S30:S37">IF(Q30="P",ROUND(P30/60,2)*L30*$N$17*0.01,"--")</f>
        <v>--</v>
      </c>
      <c r="T30" s="80" t="str">
        <f aca="true" t="shared" si="17" ref="T30:T37">IF(Q30="RP",$N$17*L30*R30/100*ROUND(P30/60,2)*0.01,"--")</f>
        <v>--</v>
      </c>
      <c r="U30" s="81" t="str">
        <f aca="true" t="shared" si="18" ref="U30:U37">IF(Q30="F",L30*$N$17,"--")</f>
        <v>--</v>
      </c>
      <c r="V30" s="82" t="str">
        <f aca="true" t="shared" si="19" ref="V30:V37">IF(AND(P30&gt;10,Q30="F"),IF(P30&gt;180,3,ROUND(P30/60,2))*L30*$N$17,"--")</f>
        <v>--</v>
      </c>
      <c r="W30" s="83" t="str">
        <f aca="true" t="shared" si="20" ref="W30:W37">IF(AND(P30&gt;180,Q30="F"),(ROUND(P30/60,2)-3)*L30*$N$17*0.1,"--")</f>
        <v>--</v>
      </c>
      <c r="X30" s="84" t="str">
        <f aca="true" t="shared" si="21" ref="X30:X37">IF(Q30="R",L30*$N$17*R30/100,"--")</f>
        <v>--</v>
      </c>
      <c r="Y30" s="85" t="str">
        <f aca="true" t="shared" si="22" ref="Y30:Y37">IF(AND(P30&gt;10,Q30="R"),IF(P30&gt;180,3,ROUND(P30/60,2))*L30*$N$17*R30/100,"--")</f>
        <v>--</v>
      </c>
      <c r="Z30" s="86" t="str">
        <f aca="true" t="shared" si="23" ref="Z30:Z37">IF(AND(P30&gt;180,Q30="R"),(ROUND(P30/60,2)-3)*L30*$N$17*0.1*R30/100,"--")</f>
        <v>--</v>
      </c>
      <c r="AA30" s="87" t="str">
        <f aca="true" t="shared" si="24" ref="AA30:AA37">IF(Q30="RF",ROUND(P30/60,2)*L30*$N$17*0.1,"--")</f>
        <v>--</v>
      </c>
      <c r="AB30" s="88" t="str">
        <f aca="true" t="shared" si="25" ref="AB30:AB37">IF(Q30="RR",ROUND(P30/60,2)*L30*$N$17*0.1*R30/100,"--")</f>
        <v>--</v>
      </c>
      <c r="AC30" s="370" t="str">
        <f aca="true" t="shared" si="26" ref="AC30:AC37">IF(F30=""," ","SI")</f>
        <v> </v>
      </c>
      <c r="AD30" s="214"/>
      <c r="AE30" s="162"/>
    </row>
    <row r="31" spans="2:31" ht="16.5" customHeight="1">
      <c r="B31" s="215"/>
      <c r="C31" s="376"/>
      <c r="D31" s="376"/>
      <c r="E31" s="376"/>
      <c r="F31" s="377"/>
      <c r="G31" s="378"/>
      <c r="H31" s="377"/>
      <c r="I31" s="378"/>
      <c r="J31" s="378"/>
      <c r="K31" s="378"/>
      <c r="L31" s="201"/>
      <c r="M31" s="454"/>
      <c r="N31" s="454"/>
      <c r="O31" s="75">
        <f t="shared" si="1"/>
      </c>
      <c r="P31" s="76"/>
      <c r="Q31" s="77"/>
      <c r="R31" s="78">
        <f t="shared" si="15"/>
      </c>
      <c r="S31" s="79" t="str">
        <f t="shared" si="16"/>
        <v>--</v>
      </c>
      <c r="T31" s="80" t="str">
        <f t="shared" si="17"/>
        <v>--</v>
      </c>
      <c r="U31" s="81" t="str">
        <f t="shared" si="18"/>
        <v>--</v>
      </c>
      <c r="V31" s="82" t="str">
        <f t="shared" si="19"/>
        <v>--</v>
      </c>
      <c r="W31" s="83" t="str">
        <f t="shared" si="20"/>
        <v>--</v>
      </c>
      <c r="X31" s="84" t="str">
        <f t="shared" si="21"/>
        <v>--</v>
      </c>
      <c r="Y31" s="85" t="str">
        <f t="shared" si="22"/>
        <v>--</v>
      </c>
      <c r="Z31" s="86" t="str">
        <f t="shared" si="23"/>
        <v>--</v>
      </c>
      <c r="AA31" s="87" t="str">
        <f t="shared" si="24"/>
        <v>--</v>
      </c>
      <c r="AB31" s="88" t="str">
        <f t="shared" si="25"/>
        <v>--</v>
      </c>
      <c r="AC31" s="370" t="str">
        <f t="shared" si="26"/>
        <v> </v>
      </c>
      <c r="AD31" s="214"/>
      <c r="AE31" s="162"/>
    </row>
    <row r="32" spans="2:31" ht="16.5" customHeight="1">
      <c r="B32" s="215"/>
      <c r="C32" s="376"/>
      <c r="D32" s="376"/>
      <c r="E32" s="376"/>
      <c r="F32" s="377"/>
      <c r="G32" s="378"/>
      <c r="H32" s="377"/>
      <c r="I32" s="378"/>
      <c r="J32" s="378"/>
      <c r="K32" s="378"/>
      <c r="L32" s="201"/>
      <c r="M32" s="454"/>
      <c r="N32" s="454"/>
      <c r="O32" s="75">
        <f t="shared" si="1"/>
      </c>
      <c r="P32" s="76"/>
      <c r="Q32" s="77"/>
      <c r="R32" s="78">
        <f t="shared" si="15"/>
      </c>
      <c r="S32" s="79" t="str">
        <f t="shared" si="16"/>
        <v>--</v>
      </c>
      <c r="T32" s="80" t="str">
        <f t="shared" si="17"/>
        <v>--</v>
      </c>
      <c r="U32" s="81" t="str">
        <f t="shared" si="18"/>
        <v>--</v>
      </c>
      <c r="V32" s="82" t="str">
        <f t="shared" si="19"/>
        <v>--</v>
      </c>
      <c r="W32" s="83" t="str">
        <f t="shared" si="20"/>
        <v>--</v>
      </c>
      <c r="X32" s="84" t="str">
        <f t="shared" si="21"/>
        <v>--</v>
      </c>
      <c r="Y32" s="85" t="str">
        <f t="shared" si="22"/>
        <v>--</v>
      </c>
      <c r="Z32" s="86" t="str">
        <f t="shared" si="23"/>
        <v>--</v>
      </c>
      <c r="AA32" s="87" t="str">
        <f t="shared" si="24"/>
        <v>--</v>
      </c>
      <c r="AB32" s="88" t="str">
        <f t="shared" si="25"/>
        <v>--</v>
      </c>
      <c r="AC32" s="370" t="str">
        <f t="shared" si="26"/>
        <v> </v>
      </c>
      <c r="AD32" s="214"/>
      <c r="AE32" s="162"/>
    </row>
    <row r="33" spans="2:31" ht="16.5" customHeight="1">
      <c r="B33" s="215"/>
      <c r="C33" s="376"/>
      <c r="D33" s="376"/>
      <c r="E33" s="376"/>
      <c r="F33" s="377"/>
      <c r="G33" s="378"/>
      <c r="H33" s="377"/>
      <c r="I33" s="378"/>
      <c r="J33" s="378"/>
      <c r="K33" s="378"/>
      <c r="L33" s="201"/>
      <c r="M33" s="454"/>
      <c r="N33" s="454"/>
      <c r="O33" s="75">
        <f t="shared" si="1"/>
      </c>
      <c r="P33" s="76"/>
      <c r="Q33" s="77"/>
      <c r="R33" s="78">
        <f t="shared" si="15"/>
      </c>
      <c r="S33" s="79" t="str">
        <f t="shared" si="16"/>
        <v>--</v>
      </c>
      <c r="T33" s="80" t="str">
        <f t="shared" si="17"/>
        <v>--</v>
      </c>
      <c r="U33" s="81" t="str">
        <f t="shared" si="18"/>
        <v>--</v>
      </c>
      <c r="V33" s="82" t="str">
        <f t="shared" si="19"/>
        <v>--</v>
      </c>
      <c r="W33" s="83" t="str">
        <f t="shared" si="20"/>
        <v>--</v>
      </c>
      <c r="X33" s="84" t="str">
        <f t="shared" si="21"/>
        <v>--</v>
      </c>
      <c r="Y33" s="85" t="str">
        <f t="shared" si="22"/>
        <v>--</v>
      </c>
      <c r="Z33" s="86" t="str">
        <f t="shared" si="23"/>
        <v>--</v>
      </c>
      <c r="AA33" s="87" t="str">
        <f t="shared" si="24"/>
        <v>--</v>
      </c>
      <c r="AB33" s="88" t="str">
        <f t="shared" si="25"/>
        <v>--</v>
      </c>
      <c r="AC33" s="370" t="str">
        <f t="shared" si="26"/>
        <v> </v>
      </c>
      <c r="AD33" s="214"/>
      <c r="AE33" s="162"/>
    </row>
    <row r="34" spans="2:31" ht="16.5" customHeight="1">
      <c r="B34" s="215"/>
      <c r="C34" s="376"/>
      <c r="D34" s="376"/>
      <c r="E34" s="376"/>
      <c r="F34" s="377"/>
      <c r="G34" s="378"/>
      <c r="H34" s="377"/>
      <c r="I34" s="378"/>
      <c r="J34" s="378"/>
      <c r="K34" s="378"/>
      <c r="L34" s="201"/>
      <c r="M34" s="454"/>
      <c r="N34" s="454"/>
      <c r="O34" s="75">
        <f t="shared" si="1"/>
      </c>
      <c r="P34" s="76"/>
      <c r="Q34" s="77"/>
      <c r="R34" s="78">
        <f t="shared" si="15"/>
      </c>
      <c r="S34" s="79" t="str">
        <f t="shared" si="16"/>
        <v>--</v>
      </c>
      <c r="T34" s="80" t="str">
        <f t="shared" si="17"/>
        <v>--</v>
      </c>
      <c r="U34" s="81" t="str">
        <f t="shared" si="18"/>
        <v>--</v>
      </c>
      <c r="V34" s="82" t="str">
        <f t="shared" si="19"/>
        <v>--</v>
      </c>
      <c r="W34" s="83" t="str">
        <f t="shared" si="20"/>
        <v>--</v>
      </c>
      <c r="X34" s="84" t="str">
        <f t="shared" si="21"/>
        <v>--</v>
      </c>
      <c r="Y34" s="85" t="str">
        <f t="shared" si="22"/>
        <v>--</v>
      </c>
      <c r="Z34" s="86" t="str">
        <f t="shared" si="23"/>
        <v>--</v>
      </c>
      <c r="AA34" s="87" t="str">
        <f t="shared" si="24"/>
        <v>--</v>
      </c>
      <c r="AB34" s="88" t="str">
        <f t="shared" si="25"/>
        <v>--</v>
      </c>
      <c r="AC34" s="370" t="str">
        <f t="shared" si="26"/>
        <v> </v>
      </c>
      <c r="AD34" s="214"/>
      <c r="AE34" s="162"/>
    </row>
    <row r="35" spans="2:31" ht="16.5" customHeight="1">
      <c r="B35" s="215"/>
      <c r="C35" s="376"/>
      <c r="D35" s="376"/>
      <c r="E35" s="376"/>
      <c r="F35" s="377"/>
      <c r="G35" s="378"/>
      <c r="H35" s="377"/>
      <c r="I35" s="378"/>
      <c r="J35" s="378"/>
      <c r="K35" s="378"/>
      <c r="L35" s="201"/>
      <c r="M35" s="454"/>
      <c r="N35" s="454"/>
      <c r="O35" s="75">
        <f t="shared" si="1"/>
      </c>
      <c r="P35" s="76"/>
      <c r="Q35" s="77"/>
      <c r="R35" s="78">
        <f t="shared" si="15"/>
      </c>
      <c r="S35" s="79" t="str">
        <f t="shared" si="16"/>
        <v>--</v>
      </c>
      <c r="T35" s="80" t="str">
        <f t="shared" si="17"/>
        <v>--</v>
      </c>
      <c r="U35" s="81" t="str">
        <f t="shared" si="18"/>
        <v>--</v>
      </c>
      <c r="V35" s="82" t="str">
        <f t="shared" si="19"/>
        <v>--</v>
      </c>
      <c r="W35" s="83" t="str">
        <f t="shared" si="20"/>
        <v>--</v>
      </c>
      <c r="X35" s="84" t="str">
        <f t="shared" si="21"/>
        <v>--</v>
      </c>
      <c r="Y35" s="85" t="str">
        <f t="shared" si="22"/>
        <v>--</v>
      </c>
      <c r="Z35" s="86" t="str">
        <f t="shared" si="23"/>
        <v>--</v>
      </c>
      <c r="AA35" s="87" t="str">
        <f t="shared" si="24"/>
        <v>--</v>
      </c>
      <c r="AB35" s="88" t="str">
        <f t="shared" si="25"/>
        <v>--</v>
      </c>
      <c r="AC35" s="370" t="str">
        <f t="shared" si="26"/>
        <v> </v>
      </c>
      <c r="AD35" s="214"/>
      <c r="AE35" s="162"/>
    </row>
    <row r="36" spans="2:31" ht="16.5" customHeight="1">
      <c r="B36" s="215"/>
      <c r="C36" s="376"/>
      <c r="D36" s="376"/>
      <c r="E36" s="376"/>
      <c r="F36" s="377"/>
      <c r="G36" s="378"/>
      <c r="H36" s="377"/>
      <c r="I36" s="378"/>
      <c r="J36" s="378"/>
      <c r="K36" s="378"/>
      <c r="L36" s="201"/>
      <c r="M36" s="454"/>
      <c r="N36" s="454"/>
      <c r="O36" s="75">
        <f t="shared" si="1"/>
      </c>
      <c r="P36" s="76"/>
      <c r="Q36" s="77"/>
      <c r="R36" s="78">
        <f t="shared" si="15"/>
      </c>
      <c r="S36" s="79" t="str">
        <f t="shared" si="16"/>
        <v>--</v>
      </c>
      <c r="T36" s="80" t="str">
        <f t="shared" si="17"/>
        <v>--</v>
      </c>
      <c r="U36" s="81" t="str">
        <f t="shared" si="18"/>
        <v>--</v>
      </c>
      <c r="V36" s="82" t="str">
        <f t="shared" si="19"/>
        <v>--</v>
      </c>
      <c r="W36" s="83" t="str">
        <f t="shared" si="20"/>
        <v>--</v>
      </c>
      <c r="X36" s="84" t="str">
        <f t="shared" si="21"/>
        <v>--</v>
      </c>
      <c r="Y36" s="85" t="str">
        <f t="shared" si="22"/>
        <v>--</v>
      </c>
      <c r="Z36" s="86" t="str">
        <f t="shared" si="23"/>
        <v>--</v>
      </c>
      <c r="AA36" s="87" t="str">
        <f t="shared" si="24"/>
        <v>--</v>
      </c>
      <c r="AB36" s="88" t="str">
        <f t="shared" si="25"/>
        <v>--</v>
      </c>
      <c r="AC36" s="370" t="str">
        <f t="shared" si="26"/>
        <v> </v>
      </c>
      <c r="AD36" s="214"/>
      <c r="AE36" s="162"/>
    </row>
    <row r="37" spans="2:31" ht="16.5" customHeight="1">
      <c r="B37" s="215"/>
      <c r="C37" s="376"/>
      <c r="D37" s="376"/>
      <c r="E37" s="376"/>
      <c r="F37" s="377"/>
      <c r="G37" s="378"/>
      <c r="H37" s="377"/>
      <c r="I37" s="378"/>
      <c r="J37" s="378"/>
      <c r="K37" s="378"/>
      <c r="L37" s="201"/>
      <c r="M37" s="454"/>
      <c r="N37" s="454"/>
      <c r="O37" s="75">
        <f t="shared" si="1"/>
      </c>
      <c r="P37" s="76"/>
      <c r="Q37" s="77"/>
      <c r="R37" s="78">
        <f t="shared" si="15"/>
      </c>
      <c r="S37" s="79" t="str">
        <f t="shared" si="16"/>
        <v>--</v>
      </c>
      <c r="T37" s="80" t="str">
        <f t="shared" si="17"/>
        <v>--</v>
      </c>
      <c r="U37" s="81" t="str">
        <f t="shared" si="18"/>
        <v>--</v>
      </c>
      <c r="V37" s="82" t="str">
        <f t="shared" si="19"/>
        <v>--</v>
      </c>
      <c r="W37" s="83" t="str">
        <f t="shared" si="20"/>
        <v>--</v>
      </c>
      <c r="X37" s="84" t="str">
        <f t="shared" si="21"/>
        <v>--</v>
      </c>
      <c r="Y37" s="85" t="str">
        <f t="shared" si="22"/>
        <v>--</v>
      </c>
      <c r="Z37" s="86" t="str">
        <f t="shared" si="23"/>
        <v>--</v>
      </c>
      <c r="AA37" s="87" t="str">
        <f t="shared" si="24"/>
        <v>--</v>
      </c>
      <c r="AB37" s="88" t="str">
        <f t="shared" si="25"/>
        <v>--</v>
      </c>
      <c r="AC37" s="370" t="str">
        <f t="shared" si="26"/>
        <v> </v>
      </c>
      <c r="AD37" s="214"/>
      <c r="AE37" s="162"/>
    </row>
    <row r="38" spans="2:31" ht="16.5" customHeight="1">
      <c r="B38" s="215"/>
      <c r="C38" s="376"/>
      <c r="D38" s="376"/>
      <c r="E38" s="376"/>
      <c r="F38" s="377"/>
      <c r="G38" s="378"/>
      <c r="H38" s="377"/>
      <c r="I38" s="378"/>
      <c r="J38" s="378"/>
      <c r="K38" s="383"/>
      <c r="L38" s="201">
        <f t="shared" si="0"/>
        <v>24.63375</v>
      </c>
      <c r="M38" s="454"/>
      <c r="N38" s="454"/>
      <c r="O38" s="75">
        <f t="shared" si="1"/>
      </c>
      <c r="P38" s="76">
        <f t="shared" si="2"/>
      </c>
      <c r="Q38" s="77"/>
      <c r="R38" s="78">
        <f t="shared" si="3"/>
      </c>
      <c r="S38" s="79" t="str">
        <f t="shared" si="4"/>
        <v>--</v>
      </c>
      <c r="T38" s="80" t="str">
        <f t="shared" si="5"/>
        <v>--</v>
      </c>
      <c r="U38" s="81" t="str">
        <f t="shared" si="6"/>
        <v>--</v>
      </c>
      <c r="V38" s="82" t="str">
        <f t="shared" si="7"/>
        <v>--</v>
      </c>
      <c r="W38" s="83" t="str">
        <f t="shared" si="8"/>
        <v>--</v>
      </c>
      <c r="X38" s="84" t="str">
        <f t="shared" si="9"/>
        <v>--</v>
      </c>
      <c r="Y38" s="85" t="str">
        <f t="shared" si="10"/>
        <v>--</v>
      </c>
      <c r="Z38" s="86" t="str">
        <f t="shared" si="11"/>
        <v>--</v>
      </c>
      <c r="AA38" s="87" t="str">
        <f t="shared" si="12"/>
        <v>--</v>
      </c>
      <c r="AB38" s="88" t="str">
        <f t="shared" si="13"/>
        <v>--</v>
      </c>
      <c r="AC38" s="370" t="str">
        <f>IF(F38=""," ","SI")</f>
        <v> </v>
      </c>
      <c r="AD38" s="214">
        <f t="shared" si="14"/>
      </c>
      <c r="AE38" s="162"/>
    </row>
    <row r="39" spans="2:31" ht="16.5" customHeight="1" thickBot="1">
      <c r="B39" s="161"/>
      <c r="C39" s="379"/>
      <c r="D39" s="379"/>
      <c r="E39" s="379"/>
      <c r="F39" s="380"/>
      <c r="G39" s="380"/>
      <c r="H39" s="380"/>
      <c r="I39" s="381"/>
      <c r="J39" s="382"/>
      <c r="K39" s="384"/>
      <c r="L39" s="89"/>
      <c r="M39" s="425"/>
      <c r="N39" s="425"/>
      <c r="O39" s="90"/>
      <c r="P39" s="90"/>
      <c r="Q39" s="385"/>
      <c r="R39" s="386"/>
      <c r="S39" s="387"/>
      <c r="T39" s="388"/>
      <c r="U39" s="389"/>
      <c r="V39" s="390"/>
      <c r="W39" s="391"/>
      <c r="X39" s="392"/>
      <c r="Y39" s="393"/>
      <c r="Z39" s="394"/>
      <c r="AA39" s="395"/>
      <c r="AB39" s="396"/>
      <c r="AC39" s="397"/>
      <c r="AD39" s="216"/>
      <c r="AE39" s="162"/>
    </row>
    <row r="40" spans="2:31" ht="16.5" customHeight="1" thickBot="1" thickTop="1">
      <c r="B40" s="161"/>
      <c r="C40" s="217" t="s">
        <v>34</v>
      </c>
      <c r="D40" s="456" t="s">
        <v>181</v>
      </c>
      <c r="E40" s="98"/>
      <c r="F40" s="91"/>
      <c r="G40" s="60"/>
      <c r="H40" s="60"/>
      <c r="I40" s="60"/>
      <c r="J40" s="60"/>
      <c r="K40" s="61"/>
      <c r="L40" s="92"/>
      <c r="M40" s="92"/>
      <c r="N40" s="92"/>
      <c r="O40" s="92"/>
      <c r="P40" s="92"/>
      <c r="Q40" s="93"/>
      <c r="R40" s="94"/>
      <c r="S40" s="218">
        <f aca="true" t="shared" si="27" ref="S40:AB40">SUM(S21:S39)</f>
        <v>14882.5060087224</v>
      </c>
      <c r="T40" s="219">
        <f t="shared" si="27"/>
        <v>0</v>
      </c>
      <c r="U40" s="95">
        <f t="shared" si="27"/>
        <v>747.705</v>
      </c>
      <c r="V40" s="95">
        <f t="shared" si="27"/>
        <v>388.80660000000006</v>
      </c>
      <c r="W40" s="220">
        <f t="shared" si="27"/>
        <v>0</v>
      </c>
      <c r="X40" s="96">
        <f t="shared" si="27"/>
        <v>0</v>
      </c>
      <c r="Y40" s="96">
        <f t="shared" si="27"/>
        <v>0</v>
      </c>
      <c r="Z40" s="221">
        <f t="shared" si="27"/>
        <v>0</v>
      </c>
      <c r="AA40" s="222">
        <f t="shared" si="27"/>
        <v>0</v>
      </c>
      <c r="AB40" s="223">
        <f t="shared" si="27"/>
        <v>0</v>
      </c>
      <c r="AC40" s="224"/>
      <c r="AD40" s="225">
        <f>SUM(AD21:AD39)</f>
        <v>16019.017608722399</v>
      </c>
      <c r="AE40" s="226"/>
    </row>
    <row r="41" spans="2:31" s="233" customFormat="1" ht="9.75" thickTop="1">
      <c r="B41" s="227"/>
      <c r="C41" s="228"/>
      <c r="D41" s="228"/>
      <c r="E41" s="228"/>
      <c r="F41" s="97"/>
      <c r="G41" s="98"/>
      <c r="H41" s="98"/>
      <c r="I41" s="98"/>
      <c r="J41" s="98"/>
      <c r="K41" s="99"/>
      <c r="L41" s="100"/>
      <c r="M41" s="100"/>
      <c r="N41" s="100"/>
      <c r="O41" s="100"/>
      <c r="P41" s="100"/>
      <c r="Q41" s="100"/>
      <c r="R41" s="101"/>
      <c r="S41" s="229"/>
      <c r="T41" s="229"/>
      <c r="U41" s="102"/>
      <c r="V41" s="102"/>
      <c r="W41" s="230"/>
      <c r="X41" s="230"/>
      <c r="Y41" s="230"/>
      <c r="Z41" s="230"/>
      <c r="AA41" s="230"/>
      <c r="AB41" s="230"/>
      <c r="AC41" s="230"/>
      <c r="AD41" s="231"/>
      <c r="AE41" s="232"/>
    </row>
    <row r="42" spans="2:31" ht="16.5" customHeight="1" thickBot="1">
      <c r="B42" s="234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6"/>
    </row>
    <row r="43" ht="13.5" thickTop="1"/>
  </sheetData>
  <sheetProtection/>
  <conditionalFormatting sqref="AC23:AC38">
    <cfRule type="cellIs" priority="5" dxfId="0" operator="equal" stopIfTrue="1">
      <formula>"SI"</formula>
    </cfRule>
    <cfRule type="cellIs" priority="6" dxfId="0" operator="equal" stopIfTrue="1">
      <formula>"NO"</formula>
    </cfRule>
    <cfRule type="cellIs" priority="7" dxfId="0" operator="equal" stopIfTrue="1">
      <formula>" "</formula>
    </cfRule>
  </conditionalFormatting>
  <conditionalFormatting sqref="O23:O38">
    <cfRule type="cellIs" priority="4" dxfId="3" operator="lessThanOrEqual" stopIfTrue="1">
      <formula>0</formula>
    </cfRule>
  </conditionalFormatting>
  <conditionalFormatting sqref="M23:N38">
    <cfRule type="expression" priority="1" dxfId="1" stopIfTrue="1">
      <formula>MONTH(M23)&lt;&gt;$L$21</formula>
    </cfRule>
    <cfRule type="expression" priority="2" dxfId="1" stopIfTrue="1">
      <formula>YEAR(M23)&lt;&gt;$L$22</formula>
    </cfRule>
    <cfRule type="expression" priority="3" dxfId="0" stopIfTrue="1">
      <formula>""""""</formula>
    </cfRule>
  </conditionalFormatting>
  <printOptions horizontalCentered="1" vertic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57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AE40"/>
  <sheetViews>
    <sheetView tabSelected="1" zoomScale="75" zoomScaleNormal="75" zoomScalePageLayoutView="0" workbookViewId="0" topLeftCell="C9">
      <selection activeCell="B3" sqref="B3"/>
    </sheetView>
  </sheetViews>
  <sheetFormatPr defaultColWidth="11.421875" defaultRowHeight="12.75"/>
  <cols>
    <col min="1" max="1" width="19.28125" style="148" customWidth="1"/>
    <col min="2" max="2" width="4.00390625" style="148" customWidth="1"/>
    <col min="3" max="3" width="4.7109375" style="148" customWidth="1"/>
    <col min="4" max="5" width="13.8515625" style="148" customWidth="1"/>
    <col min="6" max="6" width="45.7109375" style="148" customWidth="1"/>
    <col min="7" max="8" width="7.7109375" style="148" customWidth="1"/>
    <col min="9" max="9" width="6.57421875" style="148" customWidth="1"/>
    <col min="10" max="11" width="8.7109375" style="148" customWidth="1"/>
    <col min="12" max="12" width="13.7109375" style="148" hidden="1" customWidth="1"/>
    <col min="13" max="14" width="16.421875" style="148" customWidth="1"/>
    <col min="15" max="17" width="9.7109375" style="148" customWidth="1"/>
    <col min="18" max="18" width="8.57421875" style="148" customWidth="1"/>
    <col min="19" max="20" width="16.00390625" style="148" hidden="1" customWidth="1"/>
    <col min="21" max="21" width="12.7109375" style="148" hidden="1" customWidth="1"/>
    <col min="22" max="22" width="15.421875" style="148" hidden="1" customWidth="1"/>
    <col min="23" max="28" width="14.28125" style="148" hidden="1" customWidth="1"/>
    <col min="29" max="29" width="9.7109375" style="148" customWidth="1"/>
    <col min="30" max="30" width="18.00390625" style="148" customWidth="1"/>
    <col min="31" max="31" width="4.00390625" style="148" customWidth="1"/>
    <col min="32" max="16384" width="11.421875" style="148" customWidth="1"/>
  </cols>
  <sheetData>
    <row r="1" ht="16.5" customHeight="1">
      <c r="AE1" s="149"/>
    </row>
    <row r="2" ht="16.5" customHeight="1">
      <c r="B2" s="148" t="s">
        <v>193</v>
      </c>
    </row>
    <row r="3" ht="16.5" customHeight="1"/>
    <row r="4" spans="2:31" s="150" customFormat="1" ht="26.25">
      <c r="B4" s="151" t="str">
        <f>+'TOT-0314'!B2</f>
        <v>ANEXO III a la Resolución AAANR N°  179 / 2016</v>
      </c>
      <c r="C4" s="152"/>
      <c r="D4" s="152"/>
      <c r="E4" s="152"/>
      <c r="F4" s="152"/>
      <c r="G4" s="152"/>
      <c r="H4" s="151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</row>
    <row r="5" spans="1:2" s="153" customFormat="1" ht="11.25">
      <c r="A5" s="63" t="s">
        <v>2</v>
      </c>
      <c r="B5" s="63"/>
    </row>
    <row r="6" spans="1:2" s="153" customFormat="1" ht="11.25">
      <c r="A6" s="63" t="s">
        <v>3</v>
      </c>
      <c r="B6" s="63"/>
    </row>
    <row r="7" ht="16.5" customHeight="1" thickBot="1"/>
    <row r="8" spans="2:31" ht="16.5" customHeight="1" thickTop="1">
      <c r="B8" s="154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6"/>
    </row>
    <row r="9" spans="2:31" s="157" customFormat="1" ht="20.25">
      <c r="B9" s="158"/>
      <c r="C9" s="64"/>
      <c r="D9" s="64"/>
      <c r="E9" s="64"/>
      <c r="F9" s="159" t="str">
        <f>CONCATENATE("FUNCIÓN TÉCNICA DE TRANSPORTE DE ENERGÍA ELÉCTRICA - ",'TOT-0314'!B9)</f>
        <v>FUNCIÓN TÉCNICA DE TRANSPORTE DE ENERGÍA ELÉCTRICA - EDESUR S.A.</v>
      </c>
      <c r="G9" s="159"/>
      <c r="H9" s="159"/>
      <c r="I9" s="159"/>
      <c r="J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160"/>
    </row>
    <row r="10" spans="2:31" ht="16.5" customHeight="1">
      <c r="B10" s="161"/>
      <c r="C10" s="65"/>
      <c r="D10" s="65"/>
      <c r="E10" s="65"/>
      <c r="F10" s="67"/>
      <c r="G10" s="67"/>
      <c r="H10" s="67"/>
      <c r="I10" s="67"/>
      <c r="J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162"/>
    </row>
    <row r="11" spans="2:31" s="157" customFormat="1" ht="20.25">
      <c r="B11" s="158"/>
      <c r="C11" s="64"/>
      <c r="D11" s="64"/>
      <c r="E11" s="64"/>
      <c r="F11" s="159" t="s">
        <v>14</v>
      </c>
      <c r="G11" s="163"/>
      <c r="H11" s="163"/>
      <c r="I11" s="163"/>
      <c r="J11" s="159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160"/>
    </row>
    <row r="12" spans="2:31" ht="16.5" customHeight="1">
      <c r="B12" s="161"/>
      <c r="C12" s="65"/>
      <c r="D12" s="65"/>
      <c r="E12" s="65"/>
      <c r="F12" s="164"/>
      <c r="G12" s="164"/>
      <c r="H12" s="164"/>
      <c r="I12" s="164"/>
      <c r="J12" s="1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62"/>
    </row>
    <row r="13" spans="2:31" s="166" customFormat="1" ht="19.5">
      <c r="B13" s="167" t="str">
        <f>+'TOT-0314'!B14</f>
        <v>Desde el 01 al 31 de marzo de 2014</v>
      </c>
      <c r="C13" s="168"/>
      <c r="D13" s="168"/>
      <c r="E13" s="168"/>
      <c r="F13" s="66"/>
      <c r="G13" s="66"/>
      <c r="H13" s="66"/>
      <c r="I13" s="66"/>
      <c r="J13" s="169"/>
      <c r="K13" s="170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171"/>
    </row>
    <row r="14" spans="2:31" ht="16.5" customHeight="1" thickBot="1">
      <c r="B14" s="161"/>
      <c r="C14" s="65"/>
      <c r="D14" s="65"/>
      <c r="E14" s="65"/>
      <c r="F14" s="65"/>
      <c r="G14" s="65"/>
      <c r="H14" s="65"/>
      <c r="I14" s="65"/>
      <c r="J14" s="172"/>
      <c r="K14" s="67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162"/>
    </row>
    <row r="15" spans="2:31" ht="16.5" customHeight="1" thickBot="1" thickTop="1">
      <c r="B15" s="161"/>
      <c r="C15" s="65"/>
      <c r="D15" s="65"/>
      <c r="E15" s="65"/>
      <c r="F15" s="374" t="s">
        <v>15</v>
      </c>
      <c r="G15" s="373">
        <v>52.166</v>
      </c>
      <c r="H15" s="375"/>
      <c r="I15" s="68"/>
      <c r="K15" s="67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162"/>
    </row>
    <row r="16" spans="2:31" ht="16.5" customHeight="1" thickBot="1" thickTop="1">
      <c r="B16" s="161"/>
      <c r="C16" s="65"/>
      <c r="D16" s="65"/>
      <c r="E16" s="65"/>
      <c r="F16" s="374" t="s">
        <v>16</v>
      </c>
      <c r="G16" s="373">
        <v>49.847</v>
      </c>
      <c r="H16" s="375"/>
      <c r="I16" s="68"/>
      <c r="K16" s="173"/>
      <c r="L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162"/>
    </row>
    <row r="17" spans="2:31" ht="16.5" customHeight="1" thickBot="1" thickTop="1">
      <c r="B17" s="161"/>
      <c r="C17" s="65"/>
      <c r="D17" s="65"/>
      <c r="E17" s="65"/>
      <c r="F17" s="374" t="s">
        <v>17</v>
      </c>
      <c r="G17" s="373">
        <v>104.331</v>
      </c>
      <c r="H17" s="375"/>
      <c r="I17" s="68"/>
      <c r="K17" s="173"/>
      <c r="L17" s="65"/>
      <c r="M17" s="174" t="s">
        <v>18</v>
      </c>
      <c r="N17" s="175">
        <f>30*'TOT-0314'!B13</f>
        <v>60</v>
      </c>
      <c r="O17" s="69" t="str">
        <f>IF(N17=30," ",IF(N17=60,"Coeficiente duplicado por tasa de falla &gt;4 Sal. x año/100 km.","REVISAR COEFICIENTE"))</f>
        <v>Coeficiente duplicado por tasa de falla &gt;4 Sal. x año/100 km.</v>
      </c>
      <c r="P17" s="17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162"/>
    </row>
    <row r="18" spans="2:31" ht="16.5" customHeight="1" thickBot="1" thickTop="1">
      <c r="B18" s="161"/>
      <c r="C18" s="65"/>
      <c r="D18" s="65"/>
      <c r="E18" s="65"/>
      <c r="F18" s="374" t="s">
        <v>19</v>
      </c>
      <c r="G18" s="373">
        <v>98.535</v>
      </c>
      <c r="H18" s="375"/>
      <c r="I18" s="68"/>
      <c r="K18" s="173"/>
      <c r="L18" s="65"/>
      <c r="M18" s="65"/>
      <c r="N18" s="65"/>
      <c r="O18" s="174"/>
      <c r="P18" s="17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162"/>
    </row>
    <row r="19" spans="2:31" ht="16.5" customHeight="1" thickBot="1" thickTop="1">
      <c r="B19" s="161"/>
      <c r="C19" s="450">
        <v>3</v>
      </c>
      <c r="D19" s="450">
        <v>4</v>
      </c>
      <c r="E19" s="450">
        <v>5</v>
      </c>
      <c r="F19" s="450">
        <v>6</v>
      </c>
      <c r="G19" s="450">
        <v>7</v>
      </c>
      <c r="H19" s="450">
        <v>8</v>
      </c>
      <c r="I19" s="450">
        <v>9</v>
      </c>
      <c r="J19" s="450">
        <v>10</v>
      </c>
      <c r="K19" s="450">
        <v>11</v>
      </c>
      <c r="L19" s="450">
        <v>12</v>
      </c>
      <c r="M19" s="450">
        <v>13</v>
      </c>
      <c r="N19" s="450">
        <v>14</v>
      </c>
      <c r="O19" s="450">
        <v>15</v>
      </c>
      <c r="P19" s="450">
        <v>16</v>
      </c>
      <c r="Q19" s="450">
        <v>17</v>
      </c>
      <c r="R19" s="450">
        <v>18</v>
      </c>
      <c r="S19" s="450">
        <v>19</v>
      </c>
      <c r="T19" s="450">
        <v>20</v>
      </c>
      <c r="U19" s="450">
        <v>21</v>
      </c>
      <c r="V19" s="450">
        <v>22</v>
      </c>
      <c r="W19" s="450">
        <v>23</v>
      </c>
      <c r="X19" s="450">
        <v>24</v>
      </c>
      <c r="Y19" s="450">
        <v>25</v>
      </c>
      <c r="Z19" s="450">
        <v>26</v>
      </c>
      <c r="AA19" s="450">
        <v>27</v>
      </c>
      <c r="AB19" s="450">
        <v>28</v>
      </c>
      <c r="AC19" s="450">
        <v>29</v>
      </c>
      <c r="AD19" s="450">
        <v>30</v>
      </c>
      <c r="AE19" s="162"/>
    </row>
    <row r="20" spans="2:31" ht="34.5" customHeight="1" thickBot="1" thickTop="1">
      <c r="B20" s="161"/>
      <c r="C20" s="426" t="s">
        <v>20</v>
      </c>
      <c r="D20" s="426" t="s">
        <v>79</v>
      </c>
      <c r="E20" s="426" t="s">
        <v>80</v>
      </c>
      <c r="F20" s="70" t="s">
        <v>6</v>
      </c>
      <c r="G20" s="70" t="s">
        <v>132</v>
      </c>
      <c r="H20" s="70" t="s">
        <v>1</v>
      </c>
      <c r="I20" s="71" t="s">
        <v>49</v>
      </c>
      <c r="J20" s="71" t="s">
        <v>21</v>
      </c>
      <c r="K20" s="71" t="s">
        <v>22</v>
      </c>
      <c r="L20" s="72" t="s">
        <v>23</v>
      </c>
      <c r="M20" s="70" t="s">
        <v>24</v>
      </c>
      <c r="N20" s="70" t="s">
        <v>25</v>
      </c>
      <c r="O20" s="71" t="s">
        <v>50</v>
      </c>
      <c r="P20" s="71" t="s">
        <v>26</v>
      </c>
      <c r="Q20" s="71" t="s">
        <v>27</v>
      </c>
      <c r="R20" s="71" t="s">
        <v>51</v>
      </c>
      <c r="S20" s="176" t="s">
        <v>52</v>
      </c>
      <c r="T20" s="177" t="s">
        <v>29</v>
      </c>
      <c r="U20" s="73" t="s">
        <v>53</v>
      </c>
      <c r="V20" s="178"/>
      <c r="W20" s="179"/>
      <c r="X20" s="74" t="s">
        <v>54</v>
      </c>
      <c r="Y20" s="180"/>
      <c r="Z20" s="181"/>
      <c r="AA20" s="182" t="s">
        <v>30</v>
      </c>
      <c r="AB20" s="183" t="s">
        <v>31</v>
      </c>
      <c r="AC20" s="71" t="s">
        <v>32</v>
      </c>
      <c r="AD20" s="71" t="s">
        <v>33</v>
      </c>
      <c r="AE20" s="162"/>
    </row>
    <row r="21" spans="2:31" ht="16.5" customHeight="1" thickTop="1">
      <c r="B21" s="161"/>
      <c r="C21" s="184"/>
      <c r="D21" s="184"/>
      <c r="E21" s="184"/>
      <c r="F21" s="185"/>
      <c r="G21" s="184"/>
      <c r="H21" s="184"/>
      <c r="I21" s="184"/>
      <c r="J21" s="186"/>
      <c r="K21" s="186"/>
      <c r="L21" s="187">
        <v>5</v>
      </c>
      <c r="M21" s="421"/>
      <c r="N21" s="422"/>
      <c r="O21" s="185"/>
      <c r="P21" s="185"/>
      <c r="Q21" s="185"/>
      <c r="R21" s="185"/>
      <c r="S21" s="188"/>
      <c r="T21" s="189"/>
      <c r="U21" s="190"/>
      <c r="V21" s="191"/>
      <c r="W21" s="192"/>
      <c r="X21" s="193"/>
      <c r="Y21" s="194"/>
      <c r="Z21" s="195"/>
      <c r="AA21" s="196"/>
      <c r="AB21" s="197"/>
      <c r="AC21" s="198"/>
      <c r="AD21" s="199">
        <f>'LI-03 (1)'!AD40</f>
        <v>16019.017608722399</v>
      </c>
      <c r="AE21" s="162"/>
    </row>
    <row r="22" spans="2:31" ht="16.5" customHeight="1">
      <c r="B22" s="161"/>
      <c r="C22" s="200"/>
      <c r="D22" s="200"/>
      <c r="E22" s="200"/>
      <c r="F22" s="200"/>
      <c r="G22" s="200"/>
      <c r="H22" s="200"/>
      <c r="I22" s="200"/>
      <c r="J22" s="200"/>
      <c r="K22" s="200"/>
      <c r="L22" s="201">
        <v>2005</v>
      </c>
      <c r="M22" s="423"/>
      <c r="N22" s="424"/>
      <c r="O22" s="202"/>
      <c r="P22" s="202"/>
      <c r="Q22" s="200"/>
      <c r="R22" s="200"/>
      <c r="S22" s="203"/>
      <c r="T22" s="204"/>
      <c r="U22" s="205"/>
      <c r="V22" s="206"/>
      <c r="W22" s="207"/>
      <c r="X22" s="208"/>
      <c r="Y22" s="209"/>
      <c r="Z22" s="210"/>
      <c r="AA22" s="211"/>
      <c r="AB22" s="212"/>
      <c r="AC22" s="200"/>
      <c r="AD22" s="213"/>
      <c r="AE22" s="162"/>
    </row>
    <row r="23" spans="2:31" ht="16.5" customHeight="1">
      <c r="B23" s="161"/>
      <c r="C23" s="376">
        <v>8</v>
      </c>
      <c r="D23" s="376">
        <v>272927</v>
      </c>
      <c r="E23" s="376">
        <v>1242</v>
      </c>
      <c r="F23" s="377" t="s">
        <v>145</v>
      </c>
      <c r="G23" s="378">
        <v>230</v>
      </c>
      <c r="H23" s="377" t="s">
        <v>135</v>
      </c>
      <c r="I23" s="378" t="s">
        <v>136</v>
      </c>
      <c r="J23" s="378">
        <v>132</v>
      </c>
      <c r="K23" s="378">
        <v>42.20000076293945</v>
      </c>
      <c r="L23" s="201">
        <f aca="true" t="shared" si="0" ref="L23:L36">IF(K23&gt;25,K23,25)*IF(J23=220,(I23*$G$15/100)+(100-I23)/100*$G$17,(I23*$G$16/100)+(100-I23)/100*$G$18)/100</f>
        <v>41.581770751762384</v>
      </c>
      <c r="M23" s="454">
        <v>41705.7625</v>
      </c>
      <c r="N23" s="454">
        <v>41729.99930555555</v>
      </c>
      <c r="O23" s="75">
        <f aca="true" t="shared" si="1" ref="O23:O36">IF(F23="","",(N23-M23)*24)</f>
        <v>581.6833333333489</v>
      </c>
      <c r="P23" s="76">
        <f aca="true" t="shared" si="2" ref="P23:P36">IF(F23="","",ROUND((N23-M23)*24*60,0))</f>
        <v>34901</v>
      </c>
      <c r="Q23" s="77" t="s">
        <v>144</v>
      </c>
      <c r="R23" s="78" t="str">
        <f aca="true" t="shared" si="3" ref="R23:R36">IF(F23="","","--")</f>
        <v>--</v>
      </c>
      <c r="S23" s="79" t="str">
        <f aca="true" t="shared" si="4" ref="S23:S36">IF(Q23="P",ROUND(P23/60,2)*L23*$N$17*0.01,"--")</f>
        <v>--</v>
      </c>
      <c r="T23" s="80" t="str">
        <f aca="true" t="shared" si="5" ref="T23:T36">IF(Q23="RP",$N$17*L23*R23/100*ROUND(P23/60,2)*0.01,"--")</f>
        <v>--</v>
      </c>
      <c r="U23" s="81">
        <f aca="true" t="shared" si="6" ref="U23:U36">IF(Q23="F",L23*$N$17,"--")</f>
        <v>2494.906245105743</v>
      </c>
      <c r="V23" s="82">
        <f aca="true" t="shared" si="7" ref="V23:V36">IF(AND(P23&gt;10,Q23="F"),IF(P23&gt;180,3,ROUND(P23/60,2))*L23*$N$17,"--")</f>
        <v>7484.718735317229</v>
      </c>
      <c r="W23" s="83">
        <f aca="true" t="shared" si="8" ref="W23:W36">IF(AND(P23&gt;180,Q23="F"),(ROUND(P23/60,2)-3)*L23*$N$17*0.1,"--")</f>
        <v>144375.23459177915</v>
      </c>
      <c r="X23" s="84" t="str">
        <f aca="true" t="shared" si="9" ref="X23:X36">IF(Q23="R",L23*$N$17*R23/100,"--")</f>
        <v>--</v>
      </c>
      <c r="Y23" s="85" t="str">
        <f aca="true" t="shared" si="10" ref="Y23:Y36">IF(AND(P23&gt;10,Q23="R"),IF(P23&gt;180,3,ROUND(P23/60,2))*L23*$N$17*R23/100,"--")</f>
        <v>--</v>
      </c>
      <c r="Z23" s="86" t="str">
        <f aca="true" t="shared" si="11" ref="Z23:Z36">IF(AND(P23&gt;180,Q23="R"),(ROUND(P23/60,2)-3)*L23*$N$17*0.1*R23/100,"--")</f>
        <v>--</v>
      </c>
      <c r="AA23" s="87" t="str">
        <f aca="true" t="shared" si="12" ref="AA23:AA36">IF(Q23="RF",ROUND(P23/60,2)*L23*$N$17*0.1,"--")</f>
        <v>--</v>
      </c>
      <c r="AB23" s="88" t="str">
        <f aca="true" t="shared" si="13" ref="AB23:AB36">IF(Q23="RR",ROUND(P23/60,2)*L23*$N$17*0.1*R23/100,"--")</f>
        <v>--</v>
      </c>
      <c r="AC23" s="370" t="s">
        <v>138</v>
      </c>
      <c r="AD23" s="214">
        <f aca="true" t="shared" si="14" ref="AD23:AD36">IF(F23="","",SUM(S23:AB23)*IF(AC23="SI",1,2))</f>
        <v>154354.8595722021</v>
      </c>
      <c r="AE23" s="162"/>
    </row>
    <row r="24" spans="2:31" ht="16.5" customHeight="1">
      <c r="B24" s="161"/>
      <c r="C24" s="376">
        <v>9</v>
      </c>
      <c r="D24" s="376">
        <v>272929</v>
      </c>
      <c r="E24" s="376">
        <v>1250</v>
      </c>
      <c r="F24" s="377" t="s">
        <v>146</v>
      </c>
      <c r="G24" s="378">
        <v>442</v>
      </c>
      <c r="H24" s="377" t="s">
        <v>135</v>
      </c>
      <c r="I24" s="378" t="s">
        <v>136</v>
      </c>
      <c r="J24" s="378">
        <v>132</v>
      </c>
      <c r="K24" s="378">
        <v>3.9000000953674316</v>
      </c>
      <c r="L24" s="201">
        <f t="shared" si="0"/>
        <v>24.63375</v>
      </c>
      <c r="M24" s="454">
        <v>41706.08194444444</v>
      </c>
      <c r="N24" s="454">
        <v>41706.6875</v>
      </c>
      <c r="O24" s="75">
        <f t="shared" si="1"/>
        <v>14.53333333338378</v>
      </c>
      <c r="P24" s="76">
        <f t="shared" si="2"/>
        <v>872</v>
      </c>
      <c r="Q24" s="77" t="s">
        <v>137</v>
      </c>
      <c r="R24" s="78" t="str">
        <f t="shared" si="3"/>
        <v>--</v>
      </c>
      <c r="S24" s="79">
        <f t="shared" si="4"/>
        <v>214.75703249999998</v>
      </c>
      <c r="T24" s="80" t="str">
        <f t="shared" si="5"/>
        <v>--</v>
      </c>
      <c r="U24" s="81" t="str">
        <f t="shared" si="6"/>
        <v>--</v>
      </c>
      <c r="V24" s="82" t="str">
        <f t="shared" si="7"/>
        <v>--</v>
      </c>
      <c r="W24" s="83" t="str">
        <f t="shared" si="8"/>
        <v>--</v>
      </c>
      <c r="X24" s="84" t="str">
        <f t="shared" si="9"/>
        <v>--</v>
      </c>
      <c r="Y24" s="85" t="str">
        <f t="shared" si="10"/>
        <v>--</v>
      </c>
      <c r="Z24" s="86" t="str">
        <f t="shared" si="11"/>
        <v>--</v>
      </c>
      <c r="AA24" s="87" t="str">
        <f t="shared" si="12"/>
        <v>--</v>
      </c>
      <c r="AB24" s="88" t="str">
        <f t="shared" si="13"/>
        <v>--</v>
      </c>
      <c r="AC24" s="370" t="s">
        <v>138</v>
      </c>
      <c r="AD24" s="214">
        <f t="shared" si="14"/>
        <v>214.75703249999998</v>
      </c>
      <c r="AE24" s="162"/>
    </row>
    <row r="25" spans="2:31" ht="16.5" customHeight="1">
      <c r="B25" s="161"/>
      <c r="C25" s="376">
        <v>10</v>
      </c>
      <c r="D25" s="376">
        <v>272930</v>
      </c>
      <c r="E25" s="376">
        <v>1973</v>
      </c>
      <c r="F25" s="377" t="s">
        <v>147</v>
      </c>
      <c r="G25" s="378">
        <v>648</v>
      </c>
      <c r="H25" s="377" t="s">
        <v>135</v>
      </c>
      <c r="I25" s="378" t="s">
        <v>136</v>
      </c>
      <c r="J25" s="378">
        <v>132</v>
      </c>
      <c r="K25" s="378">
        <v>10.199999809265137</v>
      </c>
      <c r="L25" s="201">
        <f t="shared" si="0"/>
        <v>24.63375</v>
      </c>
      <c r="M25" s="454">
        <v>41707.20694444444</v>
      </c>
      <c r="N25" s="454">
        <v>41707.87222222222</v>
      </c>
      <c r="O25" s="75">
        <f t="shared" si="1"/>
        <v>15.966666666674428</v>
      </c>
      <c r="P25" s="76">
        <f t="shared" si="2"/>
        <v>958</v>
      </c>
      <c r="Q25" s="77" t="s">
        <v>137</v>
      </c>
      <c r="R25" s="78" t="str">
        <f t="shared" si="3"/>
        <v>--</v>
      </c>
      <c r="S25" s="79">
        <f t="shared" si="4"/>
        <v>236.0405925</v>
      </c>
      <c r="T25" s="80" t="str">
        <f t="shared" si="5"/>
        <v>--</v>
      </c>
      <c r="U25" s="81" t="str">
        <f t="shared" si="6"/>
        <v>--</v>
      </c>
      <c r="V25" s="82" t="str">
        <f t="shared" si="7"/>
        <v>--</v>
      </c>
      <c r="W25" s="83" t="str">
        <f t="shared" si="8"/>
        <v>--</v>
      </c>
      <c r="X25" s="84" t="str">
        <f t="shared" si="9"/>
        <v>--</v>
      </c>
      <c r="Y25" s="85" t="str">
        <f t="shared" si="10"/>
        <v>--</v>
      </c>
      <c r="Z25" s="86" t="str">
        <f t="shared" si="11"/>
        <v>--</v>
      </c>
      <c r="AA25" s="87" t="str">
        <f t="shared" si="12"/>
        <v>--</v>
      </c>
      <c r="AB25" s="88" t="str">
        <f t="shared" si="13"/>
        <v>--</v>
      </c>
      <c r="AC25" s="370" t="s">
        <v>138</v>
      </c>
      <c r="AD25" s="214">
        <f t="shared" si="14"/>
        <v>236.0405925</v>
      </c>
      <c r="AE25" s="162"/>
    </row>
    <row r="26" spans="2:31" ht="16.5" customHeight="1">
      <c r="B26" s="161"/>
      <c r="C26" s="376">
        <v>11</v>
      </c>
      <c r="D26" s="376">
        <v>272931</v>
      </c>
      <c r="E26" s="376">
        <v>4711</v>
      </c>
      <c r="F26" s="377" t="s">
        <v>148</v>
      </c>
      <c r="G26" s="378">
        <v>585</v>
      </c>
      <c r="H26" s="377" t="s">
        <v>141</v>
      </c>
      <c r="I26" s="378">
        <v>79.58999633789062</v>
      </c>
      <c r="J26" s="378">
        <v>132</v>
      </c>
      <c r="K26" s="378">
        <v>24.5</v>
      </c>
      <c r="L26" s="201">
        <f t="shared" si="0"/>
        <v>14.946055645751953</v>
      </c>
      <c r="M26" s="454">
        <v>41707.52916666667</v>
      </c>
      <c r="N26" s="454">
        <v>41707.586805555555</v>
      </c>
      <c r="O26" s="75">
        <f t="shared" si="1"/>
        <v>1.3833333333022892</v>
      </c>
      <c r="P26" s="76">
        <f t="shared" si="2"/>
        <v>83</v>
      </c>
      <c r="Q26" s="77" t="s">
        <v>144</v>
      </c>
      <c r="R26" s="78" t="str">
        <f t="shared" si="3"/>
        <v>--</v>
      </c>
      <c r="S26" s="79" t="str">
        <f t="shared" si="4"/>
        <v>--</v>
      </c>
      <c r="T26" s="80" t="str">
        <f t="shared" si="5"/>
        <v>--</v>
      </c>
      <c r="U26" s="81">
        <f t="shared" si="6"/>
        <v>896.7633387451172</v>
      </c>
      <c r="V26" s="82">
        <f t="shared" si="7"/>
        <v>1237.5334074682617</v>
      </c>
      <c r="W26" s="83" t="str">
        <f t="shared" si="8"/>
        <v>--</v>
      </c>
      <c r="X26" s="84" t="str">
        <f t="shared" si="9"/>
        <v>--</v>
      </c>
      <c r="Y26" s="85" t="str">
        <f t="shared" si="10"/>
        <v>--</v>
      </c>
      <c r="Z26" s="86" t="str">
        <f t="shared" si="11"/>
        <v>--</v>
      </c>
      <c r="AA26" s="87" t="str">
        <f t="shared" si="12"/>
        <v>--</v>
      </c>
      <c r="AB26" s="88" t="str">
        <f t="shared" si="13"/>
        <v>--</v>
      </c>
      <c r="AC26" s="370" t="s">
        <v>138</v>
      </c>
      <c r="AD26" s="214">
        <f t="shared" si="14"/>
        <v>2134.296746213379</v>
      </c>
      <c r="AE26" s="162"/>
    </row>
    <row r="27" spans="2:31" ht="16.5" customHeight="1">
      <c r="B27" s="161"/>
      <c r="C27" s="376">
        <v>12</v>
      </c>
      <c r="D27" s="376">
        <v>273150</v>
      </c>
      <c r="E27" s="376">
        <v>4522</v>
      </c>
      <c r="F27" s="377" t="s">
        <v>149</v>
      </c>
      <c r="G27" s="378">
        <v>451</v>
      </c>
      <c r="H27" s="377" t="s">
        <v>135</v>
      </c>
      <c r="I27" s="378" t="s">
        <v>136</v>
      </c>
      <c r="J27" s="378">
        <v>132</v>
      </c>
      <c r="K27" s="378">
        <v>2.4000000953674316</v>
      </c>
      <c r="L27" s="201">
        <f t="shared" si="0"/>
        <v>24.63375</v>
      </c>
      <c r="M27" s="454">
        <v>41709.35138888889</v>
      </c>
      <c r="N27" s="454">
        <v>41709.375</v>
      </c>
      <c r="O27" s="75">
        <f t="shared" si="1"/>
        <v>0.566666666592937</v>
      </c>
      <c r="P27" s="76">
        <f t="shared" si="2"/>
        <v>34</v>
      </c>
      <c r="Q27" s="77" t="s">
        <v>137</v>
      </c>
      <c r="R27" s="78" t="str">
        <f t="shared" si="3"/>
        <v>--</v>
      </c>
      <c r="S27" s="79">
        <f t="shared" si="4"/>
        <v>8.424742499999999</v>
      </c>
      <c r="T27" s="80" t="str">
        <f t="shared" si="5"/>
        <v>--</v>
      </c>
      <c r="U27" s="81" t="str">
        <f t="shared" si="6"/>
        <v>--</v>
      </c>
      <c r="V27" s="82" t="str">
        <f t="shared" si="7"/>
        <v>--</v>
      </c>
      <c r="W27" s="83" t="str">
        <f t="shared" si="8"/>
        <v>--</v>
      </c>
      <c r="X27" s="84" t="str">
        <f t="shared" si="9"/>
        <v>--</v>
      </c>
      <c r="Y27" s="85" t="str">
        <f t="shared" si="10"/>
        <v>--</v>
      </c>
      <c r="Z27" s="86" t="str">
        <f t="shared" si="11"/>
        <v>--</v>
      </c>
      <c r="AA27" s="87" t="str">
        <f t="shared" si="12"/>
        <v>--</v>
      </c>
      <c r="AB27" s="88" t="str">
        <f t="shared" si="13"/>
        <v>--</v>
      </c>
      <c r="AC27" s="370" t="s">
        <v>138</v>
      </c>
      <c r="AD27" s="214">
        <f t="shared" si="14"/>
        <v>8.424742499999999</v>
      </c>
      <c r="AE27" s="162"/>
    </row>
    <row r="28" spans="2:31" ht="16.5" customHeight="1">
      <c r="B28" s="161"/>
      <c r="C28" s="376">
        <v>13</v>
      </c>
      <c r="D28" s="376">
        <v>273151</v>
      </c>
      <c r="E28" s="376">
        <v>1972</v>
      </c>
      <c r="F28" s="377" t="s">
        <v>150</v>
      </c>
      <c r="G28" s="378">
        <v>588</v>
      </c>
      <c r="H28" s="377" t="s">
        <v>151</v>
      </c>
      <c r="I28" s="378">
        <v>100</v>
      </c>
      <c r="J28" s="378">
        <v>132</v>
      </c>
      <c r="K28" s="378">
        <v>17</v>
      </c>
      <c r="L28" s="201">
        <f t="shared" si="0"/>
        <v>12.46175</v>
      </c>
      <c r="M28" s="454">
        <v>41709.896527777775</v>
      </c>
      <c r="N28" s="454">
        <v>41709.92916666667</v>
      </c>
      <c r="O28" s="75">
        <f t="shared" si="1"/>
        <v>0.7833333334419876</v>
      </c>
      <c r="P28" s="76">
        <f t="shared" si="2"/>
        <v>47</v>
      </c>
      <c r="Q28" s="77" t="s">
        <v>144</v>
      </c>
      <c r="R28" s="78" t="str">
        <f t="shared" si="3"/>
        <v>--</v>
      </c>
      <c r="S28" s="79" t="str">
        <f t="shared" si="4"/>
        <v>--</v>
      </c>
      <c r="T28" s="80" t="str">
        <f t="shared" si="5"/>
        <v>--</v>
      </c>
      <c r="U28" s="81">
        <f t="shared" si="6"/>
        <v>747.705</v>
      </c>
      <c r="V28" s="82">
        <f t="shared" si="7"/>
        <v>583.2099</v>
      </c>
      <c r="W28" s="83" t="str">
        <f t="shared" si="8"/>
        <v>--</v>
      </c>
      <c r="X28" s="84" t="str">
        <f t="shared" si="9"/>
        <v>--</v>
      </c>
      <c r="Y28" s="85" t="str">
        <f t="shared" si="10"/>
        <v>--</v>
      </c>
      <c r="Z28" s="86" t="str">
        <f t="shared" si="11"/>
        <v>--</v>
      </c>
      <c r="AA28" s="87" t="str">
        <f t="shared" si="12"/>
        <v>--</v>
      </c>
      <c r="AB28" s="88" t="str">
        <f t="shared" si="13"/>
        <v>--</v>
      </c>
      <c r="AC28" s="370" t="s">
        <v>138</v>
      </c>
      <c r="AD28" s="214">
        <f t="shared" si="14"/>
        <v>1330.9149</v>
      </c>
      <c r="AE28" s="162"/>
    </row>
    <row r="29" spans="2:31" ht="16.5" customHeight="1">
      <c r="B29" s="161"/>
      <c r="C29" s="376">
        <v>14</v>
      </c>
      <c r="D29" s="376">
        <v>273152</v>
      </c>
      <c r="E29" s="376">
        <v>3671</v>
      </c>
      <c r="F29" s="377" t="s">
        <v>152</v>
      </c>
      <c r="G29" s="378">
        <v>202</v>
      </c>
      <c r="H29" s="377" t="s">
        <v>141</v>
      </c>
      <c r="I29" s="378">
        <v>79.89</v>
      </c>
      <c r="J29" s="378">
        <v>132</v>
      </c>
      <c r="K29" s="378">
        <v>17.9</v>
      </c>
      <c r="L29" s="201">
        <f t="shared" si="0"/>
        <v>14.909539200000001</v>
      </c>
      <c r="M29" s="454">
        <v>41709.896527777775</v>
      </c>
      <c r="N29" s="454">
        <v>41709.92916666667</v>
      </c>
      <c r="O29" s="75">
        <f t="shared" si="1"/>
        <v>0.7833333334419876</v>
      </c>
      <c r="P29" s="76">
        <f t="shared" si="2"/>
        <v>47</v>
      </c>
      <c r="Q29" s="77" t="s">
        <v>144</v>
      </c>
      <c r="R29" s="78" t="str">
        <f t="shared" si="3"/>
        <v>--</v>
      </c>
      <c r="S29" s="79" t="str">
        <f t="shared" si="4"/>
        <v>--</v>
      </c>
      <c r="T29" s="80" t="str">
        <f t="shared" si="5"/>
        <v>--</v>
      </c>
      <c r="U29" s="81">
        <f t="shared" si="6"/>
        <v>894.572352</v>
      </c>
      <c r="V29" s="82">
        <f t="shared" si="7"/>
        <v>697.7664345600001</v>
      </c>
      <c r="W29" s="83" t="str">
        <f t="shared" si="8"/>
        <v>--</v>
      </c>
      <c r="X29" s="84" t="str">
        <f t="shared" si="9"/>
        <v>--</v>
      </c>
      <c r="Y29" s="85" t="str">
        <f t="shared" si="10"/>
        <v>--</v>
      </c>
      <c r="Z29" s="86" t="str">
        <f t="shared" si="11"/>
        <v>--</v>
      </c>
      <c r="AA29" s="87" t="str">
        <f t="shared" si="12"/>
        <v>--</v>
      </c>
      <c r="AB29" s="88" t="str">
        <f t="shared" si="13"/>
        <v>--</v>
      </c>
      <c r="AC29" s="370" t="s">
        <v>138</v>
      </c>
      <c r="AD29" s="214">
        <f t="shared" si="14"/>
        <v>1592.3387865600002</v>
      </c>
      <c r="AE29" s="162"/>
    </row>
    <row r="30" spans="2:31" ht="16.5" customHeight="1">
      <c r="B30" s="161"/>
      <c r="C30" s="376">
        <v>15</v>
      </c>
      <c r="D30" s="376" t="s">
        <v>175</v>
      </c>
      <c r="E30" s="376">
        <v>1968</v>
      </c>
      <c r="F30" s="377" t="s">
        <v>134</v>
      </c>
      <c r="G30" s="378">
        <v>580</v>
      </c>
      <c r="H30" s="377" t="s">
        <v>135</v>
      </c>
      <c r="I30" s="378" t="s">
        <v>136</v>
      </c>
      <c r="J30" s="378">
        <v>132</v>
      </c>
      <c r="K30" s="378">
        <v>16.600000381469727</v>
      </c>
      <c r="L30" s="201">
        <f t="shared" si="0"/>
        <v>24.63375</v>
      </c>
      <c r="M30" s="454">
        <v>41711.02777777778</v>
      </c>
      <c r="N30" s="454">
        <v>41711.74930555555</v>
      </c>
      <c r="O30" s="75">
        <f t="shared" si="1"/>
        <v>17.31666666653473</v>
      </c>
      <c r="P30" s="76">
        <f t="shared" si="2"/>
        <v>1039</v>
      </c>
      <c r="Q30" s="77" t="s">
        <v>137</v>
      </c>
      <c r="R30" s="78" t="str">
        <f t="shared" si="3"/>
        <v>--</v>
      </c>
      <c r="S30" s="79">
        <f t="shared" si="4"/>
        <v>255.99393</v>
      </c>
      <c r="T30" s="80" t="str">
        <f t="shared" si="5"/>
        <v>--</v>
      </c>
      <c r="U30" s="81" t="str">
        <f t="shared" si="6"/>
        <v>--</v>
      </c>
      <c r="V30" s="82" t="str">
        <f t="shared" si="7"/>
        <v>--</v>
      </c>
      <c r="W30" s="83" t="str">
        <f t="shared" si="8"/>
        <v>--</v>
      </c>
      <c r="X30" s="84" t="str">
        <f t="shared" si="9"/>
        <v>--</v>
      </c>
      <c r="Y30" s="85" t="str">
        <f t="shared" si="10"/>
        <v>--</v>
      </c>
      <c r="Z30" s="86" t="str">
        <f t="shared" si="11"/>
        <v>--</v>
      </c>
      <c r="AA30" s="87" t="str">
        <f t="shared" si="12"/>
        <v>--</v>
      </c>
      <c r="AB30" s="88" t="str">
        <f t="shared" si="13"/>
        <v>--</v>
      </c>
      <c r="AC30" s="370" t="s">
        <v>138</v>
      </c>
      <c r="AD30" s="214">
        <f t="shared" si="14"/>
        <v>255.99393</v>
      </c>
      <c r="AE30" s="162"/>
    </row>
    <row r="31" spans="2:31" ht="16.5" customHeight="1">
      <c r="B31" s="161"/>
      <c r="C31" s="376">
        <v>16</v>
      </c>
      <c r="D31" s="376">
        <v>273156</v>
      </c>
      <c r="E31" s="376">
        <v>4755</v>
      </c>
      <c r="F31" s="377" t="s">
        <v>153</v>
      </c>
      <c r="G31" s="378">
        <v>548</v>
      </c>
      <c r="H31" s="377" t="s">
        <v>135</v>
      </c>
      <c r="I31" s="378" t="s">
        <v>136</v>
      </c>
      <c r="J31" s="378">
        <v>132</v>
      </c>
      <c r="K31" s="378">
        <v>7.5</v>
      </c>
      <c r="L31" s="201">
        <f t="shared" si="0"/>
        <v>24.63375</v>
      </c>
      <c r="M31" s="454">
        <v>41712.34444444445</v>
      </c>
      <c r="N31" s="454">
        <v>41712.870833333334</v>
      </c>
      <c r="O31" s="75">
        <f t="shared" si="1"/>
        <v>12.63333333330229</v>
      </c>
      <c r="P31" s="76">
        <f t="shared" si="2"/>
        <v>758</v>
      </c>
      <c r="Q31" s="77" t="s">
        <v>137</v>
      </c>
      <c r="R31" s="78" t="str">
        <f t="shared" si="3"/>
        <v>--</v>
      </c>
      <c r="S31" s="79">
        <f t="shared" si="4"/>
        <v>186.67455750000002</v>
      </c>
      <c r="T31" s="80" t="str">
        <f t="shared" si="5"/>
        <v>--</v>
      </c>
      <c r="U31" s="81" t="str">
        <f t="shared" si="6"/>
        <v>--</v>
      </c>
      <c r="V31" s="82" t="str">
        <f t="shared" si="7"/>
        <v>--</v>
      </c>
      <c r="W31" s="83" t="str">
        <f t="shared" si="8"/>
        <v>--</v>
      </c>
      <c r="X31" s="84" t="str">
        <f t="shared" si="9"/>
        <v>--</v>
      </c>
      <c r="Y31" s="85" t="str">
        <f t="shared" si="10"/>
        <v>--</v>
      </c>
      <c r="Z31" s="86" t="str">
        <f t="shared" si="11"/>
        <v>--</v>
      </c>
      <c r="AA31" s="87" t="str">
        <f t="shared" si="12"/>
        <v>--</v>
      </c>
      <c r="AB31" s="88" t="str">
        <f t="shared" si="13"/>
        <v>--</v>
      </c>
      <c r="AC31" s="370" t="s">
        <v>138</v>
      </c>
      <c r="AD31" s="214">
        <f t="shared" si="14"/>
        <v>186.67455750000002</v>
      </c>
      <c r="AE31" s="162"/>
    </row>
    <row r="32" spans="2:31" ht="16.5" customHeight="1">
      <c r="B32" s="161"/>
      <c r="C32" s="376">
        <v>17</v>
      </c>
      <c r="D32" s="376">
        <v>273157</v>
      </c>
      <c r="E32" s="376">
        <v>1195</v>
      </c>
      <c r="F32" s="377" t="s">
        <v>154</v>
      </c>
      <c r="G32" s="378">
        <v>556</v>
      </c>
      <c r="H32" s="377" t="s">
        <v>135</v>
      </c>
      <c r="I32" s="378" t="s">
        <v>136</v>
      </c>
      <c r="J32" s="378">
        <v>132</v>
      </c>
      <c r="K32" s="378">
        <v>4.800000190734863</v>
      </c>
      <c r="L32" s="201">
        <f t="shared" si="0"/>
        <v>24.63375</v>
      </c>
      <c r="M32" s="454">
        <v>41713.270833333336</v>
      </c>
      <c r="N32" s="454">
        <v>41713.66875</v>
      </c>
      <c r="O32" s="75">
        <f t="shared" si="1"/>
        <v>9.549999999871943</v>
      </c>
      <c r="P32" s="76">
        <f t="shared" si="2"/>
        <v>573</v>
      </c>
      <c r="Q32" s="77" t="s">
        <v>137</v>
      </c>
      <c r="R32" s="78" t="str">
        <f t="shared" si="3"/>
        <v>--</v>
      </c>
      <c r="S32" s="79">
        <f t="shared" si="4"/>
        <v>141.15138750000003</v>
      </c>
      <c r="T32" s="80" t="str">
        <f t="shared" si="5"/>
        <v>--</v>
      </c>
      <c r="U32" s="81" t="str">
        <f t="shared" si="6"/>
        <v>--</v>
      </c>
      <c r="V32" s="82" t="str">
        <f t="shared" si="7"/>
        <v>--</v>
      </c>
      <c r="W32" s="83" t="str">
        <f t="shared" si="8"/>
        <v>--</v>
      </c>
      <c r="X32" s="84" t="str">
        <f t="shared" si="9"/>
        <v>--</v>
      </c>
      <c r="Y32" s="85" t="str">
        <f t="shared" si="10"/>
        <v>--</v>
      </c>
      <c r="Z32" s="86" t="str">
        <f t="shared" si="11"/>
        <v>--</v>
      </c>
      <c r="AA32" s="87" t="str">
        <f t="shared" si="12"/>
        <v>--</v>
      </c>
      <c r="AB32" s="88" t="str">
        <f t="shared" si="13"/>
        <v>--</v>
      </c>
      <c r="AC32" s="370" t="s">
        <v>138</v>
      </c>
      <c r="AD32" s="214">
        <f t="shared" si="14"/>
        <v>141.15138750000003</v>
      </c>
      <c r="AE32" s="162"/>
    </row>
    <row r="33" spans="2:31" ht="16.5" customHeight="1">
      <c r="B33" s="161"/>
      <c r="C33" s="376">
        <v>18</v>
      </c>
      <c r="D33" s="376">
        <v>273158</v>
      </c>
      <c r="E33" s="376">
        <v>1958</v>
      </c>
      <c r="F33" s="377" t="s">
        <v>143</v>
      </c>
      <c r="G33" s="378">
        <v>339</v>
      </c>
      <c r="H33" s="377" t="s">
        <v>135</v>
      </c>
      <c r="I33" s="378" t="s">
        <v>136</v>
      </c>
      <c r="J33" s="378">
        <v>132</v>
      </c>
      <c r="K33" s="378">
        <v>11</v>
      </c>
      <c r="L33" s="201">
        <f t="shared" si="0"/>
        <v>24.63375</v>
      </c>
      <c r="M33" s="454">
        <v>41713.46805555555</v>
      </c>
      <c r="N33" s="454">
        <v>41713.92152777778</v>
      </c>
      <c r="O33" s="75">
        <f t="shared" si="1"/>
        <v>10.883333333360497</v>
      </c>
      <c r="P33" s="76">
        <f t="shared" si="2"/>
        <v>653</v>
      </c>
      <c r="Q33" s="77" t="s">
        <v>144</v>
      </c>
      <c r="R33" s="78" t="str">
        <f t="shared" si="3"/>
        <v>--</v>
      </c>
      <c r="S33" s="79" t="str">
        <f t="shared" si="4"/>
        <v>--</v>
      </c>
      <c r="T33" s="80" t="str">
        <f t="shared" si="5"/>
        <v>--</v>
      </c>
      <c r="U33" s="81">
        <f t="shared" si="6"/>
        <v>1478.0249999999999</v>
      </c>
      <c r="V33" s="82">
        <f t="shared" si="7"/>
        <v>4434.075000000001</v>
      </c>
      <c r="W33" s="83">
        <f t="shared" si="8"/>
        <v>1164.6837000000003</v>
      </c>
      <c r="X33" s="84" t="str">
        <f t="shared" si="9"/>
        <v>--</v>
      </c>
      <c r="Y33" s="85" t="str">
        <f t="shared" si="10"/>
        <v>--</v>
      </c>
      <c r="Z33" s="86" t="str">
        <f t="shared" si="11"/>
        <v>--</v>
      </c>
      <c r="AA33" s="87" t="str">
        <f t="shared" si="12"/>
        <v>--</v>
      </c>
      <c r="AB33" s="88" t="str">
        <f t="shared" si="13"/>
        <v>--</v>
      </c>
      <c r="AC33" s="370" t="s">
        <v>138</v>
      </c>
      <c r="AD33" s="214">
        <f t="shared" si="14"/>
        <v>7076.783700000001</v>
      </c>
      <c r="AE33" s="162"/>
    </row>
    <row r="34" spans="2:31" ht="16.5" customHeight="1">
      <c r="B34" s="161"/>
      <c r="C34" s="376">
        <v>19</v>
      </c>
      <c r="D34" s="376">
        <v>273159</v>
      </c>
      <c r="E34" s="376">
        <v>1195</v>
      </c>
      <c r="F34" s="377" t="s">
        <v>154</v>
      </c>
      <c r="G34" s="378">
        <v>556</v>
      </c>
      <c r="H34" s="377" t="s">
        <v>135</v>
      </c>
      <c r="I34" s="378" t="s">
        <v>136</v>
      </c>
      <c r="J34" s="378">
        <v>132</v>
      </c>
      <c r="K34" s="378">
        <v>4.800000190734863</v>
      </c>
      <c r="L34" s="201">
        <f t="shared" si="0"/>
        <v>24.63375</v>
      </c>
      <c r="M34" s="454">
        <v>41713.68472222222</v>
      </c>
      <c r="N34" s="454">
        <v>41713.85138888889</v>
      </c>
      <c r="O34" s="75">
        <f t="shared" si="1"/>
        <v>4.000000000116415</v>
      </c>
      <c r="P34" s="76">
        <f t="shared" si="2"/>
        <v>240</v>
      </c>
      <c r="Q34" s="77" t="s">
        <v>144</v>
      </c>
      <c r="R34" s="78" t="str">
        <f t="shared" si="3"/>
        <v>--</v>
      </c>
      <c r="S34" s="79" t="str">
        <f t="shared" si="4"/>
        <v>--</v>
      </c>
      <c r="T34" s="80" t="str">
        <f t="shared" si="5"/>
        <v>--</v>
      </c>
      <c r="U34" s="81">
        <f t="shared" si="6"/>
        <v>1478.0249999999999</v>
      </c>
      <c r="V34" s="82">
        <f t="shared" si="7"/>
        <v>4434.075000000001</v>
      </c>
      <c r="W34" s="83">
        <f t="shared" si="8"/>
        <v>147.80249999999998</v>
      </c>
      <c r="X34" s="84" t="str">
        <f t="shared" si="9"/>
        <v>--</v>
      </c>
      <c r="Y34" s="85" t="str">
        <f t="shared" si="10"/>
        <v>--</v>
      </c>
      <c r="Z34" s="86" t="str">
        <f t="shared" si="11"/>
        <v>--</v>
      </c>
      <c r="AA34" s="87" t="str">
        <f t="shared" si="12"/>
        <v>--</v>
      </c>
      <c r="AB34" s="88" t="str">
        <f t="shared" si="13"/>
        <v>--</v>
      </c>
      <c r="AC34" s="370" t="s">
        <v>138</v>
      </c>
      <c r="AD34" s="214">
        <f t="shared" si="14"/>
        <v>6059.9025</v>
      </c>
      <c r="AE34" s="162"/>
    </row>
    <row r="35" spans="2:31" ht="16.5" customHeight="1">
      <c r="B35" s="161"/>
      <c r="C35" s="376">
        <v>20</v>
      </c>
      <c r="D35" s="376" t="s">
        <v>176</v>
      </c>
      <c r="E35" s="376">
        <v>1948</v>
      </c>
      <c r="F35" s="377" t="s">
        <v>155</v>
      </c>
      <c r="G35" s="378">
        <v>104</v>
      </c>
      <c r="H35" s="377" t="s">
        <v>135</v>
      </c>
      <c r="I35" s="378" t="s">
        <v>136</v>
      </c>
      <c r="J35" s="378">
        <v>132</v>
      </c>
      <c r="K35" s="378">
        <v>6.699999809265137</v>
      </c>
      <c r="L35" s="201">
        <f t="shared" si="0"/>
        <v>24.63375</v>
      </c>
      <c r="M35" s="454">
        <v>41714.21597222222</v>
      </c>
      <c r="N35" s="454">
        <v>41729.99930555555</v>
      </c>
      <c r="O35" s="75">
        <f t="shared" si="1"/>
        <v>378.79999999998836</v>
      </c>
      <c r="P35" s="76">
        <f t="shared" si="2"/>
        <v>22728</v>
      </c>
      <c r="Q35" s="77" t="s">
        <v>144</v>
      </c>
      <c r="R35" s="78" t="str">
        <f t="shared" si="3"/>
        <v>--</v>
      </c>
      <c r="S35" s="79" t="str">
        <f t="shared" si="4"/>
        <v>--</v>
      </c>
      <c r="T35" s="80" t="str">
        <f t="shared" si="5"/>
        <v>--</v>
      </c>
      <c r="U35" s="81">
        <f t="shared" si="6"/>
        <v>1478.0249999999999</v>
      </c>
      <c r="V35" s="82">
        <f t="shared" si="7"/>
        <v>4434.075000000001</v>
      </c>
      <c r="W35" s="83">
        <f t="shared" si="8"/>
        <v>55544.179500000006</v>
      </c>
      <c r="X35" s="84" t="str">
        <f t="shared" si="9"/>
        <v>--</v>
      </c>
      <c r="Y35" s="85" t="str">
        <f t="shared" si="10"/>
        <v>--</v>
      </c>
      <c r="Z35" s="86" t="str">
        <f t="shared" si="11"/>
        <v>--</v>
      </c>
      <c r="AA35" s="87" t="str">
        <f t="shared" si="12"/>
        <v>--</v>
      </c>
      <c r="AB35" s="88" t="str">
        <f t="shared" si="13"/>
        <v>--</v>
      </c>
      <c r="AC35" s="370" t="s">
        <v>138</v>
      </c>
      <c r="AD35" s="214">
        <f t="shared" si="14"/>
        <v>61456.279500000004</v>
      </c>
      <c r="AE35" s="162"/>
    </row>
    <row r="36" spans="2:31" ht="16.5" customHeight="1">
      <c r="B36" s="215"/>
      <c r="C36" s="376">
        <v>21</v>
      </c>
      <c r="D36" s="376" t="s">
        <v>177</v>
      </c>
      <c r="E36" s="376">
        <v>1947</v>
      </c>
      <c r="F36" s="377" t="s">
        <v>156</v>
      </c>
      <c r="G36" s="378">
        <v>103</v>
      </c>
      <c r="H36" s="377" t="s">
        <v>135</v>
      </c>
      <c r="I36" s="378" t="s">
        <v>136</v>
      </c>
      <c r="J36" s="378">
        <v>132</v>
      </c>
      <c r="K36" s="383">
        <v>7</v>
      </c>
      <c r="L36" s="201">
        <f t="shared" si="0"/>
        <v>24.63375</v>
      </c>
      <c r="M36" s="454">
        <v>41714.243055555555</v>
      </c>
      <c r="N36" s="454">
        <v>41729.99930555555</v>
      </c>
      <c r="O36" s="75">
        <f t="shared" si="1"/>
        <v>378.1499999999651</v>
      </c>
      <c r="P36" s="76">
        <f t="shared" si="2"/>
        <v>22689</v>
      </c>
      <c r="Q36" s="77" t="s">
        <v>144</v>
      </c>
      <c r="R36" s="78" t="str">
        <f t="shared" si="3"/>
        <v>--</v>
      </c>
      <c r="S36" s="79" t="str">
        <f t="shared" si="4"/>
        <v>--</v>
      </c>
      <c r="T36" s="80" t="str">
        <f t="shared" si="5"/>
        <v>--</v>
      </c>
      <c r="U36" s="81">
        <f t="shared" si="6"/>
        <v>1478.0249999999999</v>
      </c>
      <c r="V36" s="82">
        <f t="shared" si="7"/>
        <v>4434.075000000001</v>
      </c>
      <c r="W36" s="83">
        <f t="shared" si="8"/>
        <v>55448.107875</v>
      </c>
      <c r="X36" s="84" t="str">
        <f t="shared" si="9"/>
        <v>--</v>
      </c>
      <c r="Y36" s="85" t="str">
        <f t="shared" si="10"/>
        <v>--</v>
      </c>
      <c r="Z36" s="86" t="str">
        <f t="shared" si="11"/>
        <v>--</v>
      </c>
      <c r="AA36" s="87" t="str">
        <f t="shared" si="12"/>
        <v>--</v>
      </c>
      <c r="AB36" s="88" t="str">
        <f t="shared" si="13"/>
        <v>--</v>
      </c>
      <c r="AC36" s="370" t="s">
        <v>138</v>
      </c>
      <c r="AD36" s="214">
        <f t="shared" si="14"/>
        <v>61360.207875</v>
      </c>
      <c r="AE36" s="162"/>
    </row>
    <row r="37" spans="2:31" ht="16.5" customHeight="1" thickBot="1">
      <c r="B37" s="161"/>
      <c r="C37" s="379"/>
      <c r="D37" s="379"/>
      <c r="E37" s="379"/>
      <c r="F37" s="380"/>
      <c r="G37" s="380"/>
      <c r="H37" s="380"/>
      <c r="I37" s="381"/>
      <c r="J37" s="382"/>
      <c r="K37" s="384"/>
      <c r="L37" s="89"/>
      <c r="M37" s="425"/>
      <c r="N37" s="425"/>
      <c r="O37" s="90"/>
      <c r="P37" s="90"/>
      <c r="Q37" s="385"/>
      <c r="R37" s="386"/>
      <c r="S37" s="387"/>
      <c r="T37" s="388"/>
      <c r="U37" s="389"/>
      <c r="V37" s="390"/>
      <c r="W37" s="391"/>
      <c r="X37" s="392"/>
      <c r="Y37" s="393"/>
      <c r="Z37" s="394"/>
      <c r="AA37" s="395"/>
      <c r="AB37" s="396"/>
      <c r="AC37" s="397"/>
      <c r="AD37" s="216"/>
      <c r="AE37" s="162"/>
    </row>
    <row r="38" spans="2:31" ht="16.5" customHeight="1" thickBot="1" thickTop="1">
      <c r="B38" s="161"/>
      <c r="C38" s="217" t="s">
        <v>34</v>
      </c>
      <c r="D38" s="456" t="s">
        <v>181</v>
      </c>
      <c r="E38" s="98"/>
      <c r="F38" s="91"/>
      <c r="G38" s="60"/>
      <c r="H38" s="60"/>
      <c r="I38" s="60"/>
      <c r="J38" s="60"/>
      <c r="K38" s="61"/>
      <c r="L38" s="92"/>
      <c r="M38" s="92"/>
      <c r="N38" s="92"/>
      <c r="O38" s="92"/>
      <c r="P38" s="92"/>
      <c r="Q38" s="93"/>
      <c r="R38" s="94"/>
      <c r="S38" s="218">
        <f aca="true" t="shared" si="15" ref="S38:AB38">SUM(S21:S37)</f>
        <v>1043.0422425</v>
      </c>
      <c r="T38" s="219">
        <f t="shared" si="15"/>
        <v>0</v>
      </c>
      <c r="U38" s="95">
        <f t="shared" si="15"/>
        <v>10946.04693585086</v>
      </c>
      <c r="V38" s="95">
        <f t="shared" si="15"/>
        <v>27739.528477345495</v>
      </c>
      <c r="W38" s="220">
        <f t="shared" si="15"/>
        <v>256680.00816677912</v>
      </c>
      <c r="X38" s="96">
        <f t="shared" si="15"/>
        <v>0</v>
      </c>
      <c r="Y38" s="96">
        <f t="shared" si="15"/>
        <v>0</v>
      </c>
      <c r="Z38" s="221">
        <f t="shared" si="15"/>
        <v>0</v>
      </c>
      <c r="AA38" s="222">
        <f t="shared" si="15"/>
        <v>0</v>
      </c>
      <c r="AB38" s="223">
        <f t="shared" si="15"/>
        <v>0</v>
      </c>
      <c r="AC38" s="224"/>
      <c r="AD38" s="225">
        <f>SUM(AD21:AD37)</f>
        <v>312427.6434311979</v>
      </c>
      <c r="AE38" s="226"/>
    </row>
    <row r="39" spans="2:31" s="233" customFormat="1" ht="9.75" thickTop="1">
      <c r="B39" s="227"/>
      <c r="C39" s="228"/>
      <c r="D39" s="228"/>
      <c r="E39" s="228"/>
      <c r="F39" s="97"/>
      <c r="G39" s="98"/>
      <c r="H39" s="98"/>
      <c r="I39" s="98"/>
      <c r="J39" s="98"/>
      <c r="K39" s="99"/>
      <c r="L39" s="100"/>
      <c r="M39" s="100"/>
      <c r="N39" s="100"/>
      <c r="O39" s="100"/>
      <c r="P39" s="100"/>
      <c r="Q39" s="100"/>
      <c r="R39" s="101"/>
      <c r="S39" s="229"/>
      <c r="T39" s="229"/>
      <c r="U39" s="102"/>
      <c r="V39" s="102"/>
      <c r="W39" s="230"/>
      <c r="X39" s="230"/>
      <c r="Y39" s="230"/>
      <c r="Z39" s="230"/>
      <c r="AA39" s="230"/>
      <c r="AB39" s="230"/>
      <c r="AC39" s="230"/>
      <c r="AD39" s="231"/>
      <c r="AE39" s="232"/>
    </row>
    <row r="40" spans="2:31" ht="16.5" customHeight="1" thickBot="1">
      <c r="B40" s="234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6"/>
    </row>
    <row r="41" ht="13.5" thickTop="1"/>
  </sheetData>
  <sheetProtection/>
  <conditionalFormatting sqref="AC23:AC36">
    <cfRule type="cellIs" priority="5" dxfId="0" operator="equal" stopIfTrue="1">
      <formula>"SI"</formula>
    </cfRule>
    <cfRule type="cellIs" priority="6" dxfId="0" operator="equal" stopIfTrue="1">
      <formula>"NO"</formula>
    </cfRule>
    <cfRule type="cellIs" priority="7" dxfId="0" operator="equal" stopIfTrue="1">
      <formula>" "</formula>
    </cfRule>
  </conditionalFormatting>
  <conditionalFormatting sqref="O23:O36">
    <cfRule type="cellIs" priority="4" dxfId="3" operator="lessThanOrEqual" stopIfTrue="1">
      <formula>0</formula>
    </cfRule>
  </conditionalFormatting>
  <conditionalFormatting sqref="M23:N36">
    <cfRule type="expression" priority="1" dxfId="1" stopIfTrue="1">
      <formula>MONTH(M23)&lt;&gt;$L$21</formula>
    </cfRule>
    <cfRule type="expression" priority="2" dxfId="1" stopIfTrue="1">
      <formula>YEAR(M23)&lt;&gt;$L$22</formula>
    </cfRule>
    <cfRule type="expression" priority="3" dxfId="0" stopIfTrue="1">
      <formula>""""""</formula>
    </cfRule>
  </conditionalFormatting>
  <printOptions horizontalCentered="1" vertic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5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AE44"/>
  <sheetViews>
    <sheetView tabSelected="1" zoomScale="75" zoomScaleNormal="75" zoomScalePageLayoutView="0" workbookViewId="0" topLeftCell="E13">
      <selection activeCell="B3" sqref="B3"/>
    </sheetView>
  </sheetViews>
  <sheetFormatPr defaultColWidth="11.421875" defaultRowHeight="12.75"/>
  <cols>
    <col min="1" max="1" width="19.421875" style="148" customWidth="1"/>
    <col min="2" max="2" width="4.00390625" style="148" customWidth="1"/>
    <col min="3" max="3" width="4.7109375" style="148" customWidth="1"/>
    <col min="4" max="5" width="13.8515625" style="148" customWidth="1"/>
    <col min="6" max="6" width="45.7109375" style="148" customWidth="1"/>
    <col min="7" max="8" width="7.7109375" style="148" customWidth="1"/>
    <col min="9" max="9" width="6.57421875" style="148" customWidth="1"/>
    <col min="10" max="11" width="8.7109375" style="148" customWidth="1"/>
    <col min="12" max="12" width="13.7109375" style="148" hidden="1" customWidth="1"/>
    <col min="13" max="13" width="16.421875" style="148" customWidth="1"/>
    <col min="14" max="14" width="16.7109375" style="148" customWidth="1"/>
    <col min="15" max="17" width="9.7109375" style="148" customWidth="1"/>
    <col min="18" max="18" width="8.57421875" style="148" customWidth="1"/>
    <col min="19" max="20" width="16.00390625" style="148" hidden="1" customWidth="1"/>
    <col min="21" max="21" width="12.7109375" style="148" hidden="1" customWidth="1"/>
    <col min="22" max="22" width="15.421875" style="148" hidden="1" customWidth="1"/>
    <col min="23" max="28" width="14.28125" style="148" hidden="1" customWidth="1"/>
    <col min="29" max="29" width="9.7109375" style="148" customWidth="1"/>
    <col min="30" max="30" width="17.28125" style="148" customWidth="1"/>
    <col min="31" max="31" width="4.00390625" style="148" customWidth="1"/>
    <col min="32" max="16384" width="11.421875" style="148" customWidth="1"/>
  </cols>
  <sheetData>
    <row r="1" ht="16.5" customHeight="1">
      <c r="AE1" s="149"/>
    </row>
    <row r="2" ht="16.5" customHeight="1">
      <c r="B2" s="148" t="s">
        <v>193</v>
      </c>
    </row>
    <row r="3" ht="16.5" customHeight="1"/>
    <row r="4" spans="2:31" s="150" customFormat="1" ht="26.25">
      <c r="B4" s="151" t="str">
        <f>+'TOT-0314'!B2</f>
        <v>ANEXO III a la Resolución AAANR N°  179 / 2016</v>
      </c>
      <c r="C4" s="152"/>
      <c r="D4" s="152"/>
      <c r="E4" s="152"/>
      <c r="F4" s="152"/>
      <c r="G4" s="152"/>
      <c r="H4" s="151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</row>
    <row r="5" spans="1:2" s="153" customFormat="1" ht="11.25">
      <c r="A5" s="63" t="s">
        <v>2</v>
      </c>
      <c r="B5" s="63"/>
    </row>
    <row r="6" spans="1:2" s="153" customFormat="1" ht="11.25">
      <c r="A6" s="63" t="s">
        <v>3</v>
      </c>
      <c r="B6" s="63"/>
    </row>
    <row r="7" ht="16.5" customHeight="1" thickBot="1"/>
    <row r="8" spans="2:31" ht="16.5" customHeight="1" thickTop="1">
      <c r="B8" s="154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6"/>
    </row>
    <row r="9" spans="2:31" s="157" customFormat="1" ht="20.25">
      <c r="B9" s="158"/>
      <c r="C9" s="64"/>
      <c r="D9" s="64"/>
      <c r="E9" s="64"/>
      <c r="F9" s="159" t="str">
        <f>CONCATENATE("FUNCIÓN TÉCNICA DE TRANSPORTE DE ENERGÍA ELÉCTRICA - ",'TOT-0314'!B9)</f>
        <v>FUNCIÓN TÉCNICA DE TRANSPORTE DE ENERGÍA ELÉCTRICA - EDESUR S.A.</v>
      </c>
      <c r="G9" s="159"/>
      <c r="H9" s="159"/>
      <c r="I9" s="159"/>
      <c r="J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160"/>
    </row>
    <row r="10" spans="2:31" ht="16.5" customHeight="1">
      <c r="B10" s="161"/>
      <c r="C10" s="65"/>
      <c r="D10" s="65"/>
      <c r="E10" s="65"/>
      <c r="F10" s="67"/>
      <c r="G10" s="67"/>
      <c r="H10" s="67"/>
      <c r="I10" s="67"/>
      <c r="J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162"/>
    </row>
    <row r="11" spans="2:31" s="157" customFormat="1" ht="20.25">
      <c r="B11" s="158"/>
      <c r="C11" s="64"/>
      <c r="D11" s="64"/>
      <c r="E11" s="64"/>
      <c r="F11" s="159" t="s">
        <v>14</v>
      </c>
      <c r="G11" s="163"/>
      <c r="H11" s="163"/>
      <c r="I11" s="163"/>
      <c r="J11" s="159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160"/>
    </row>
    <row r="12" spans="2:31" ht="16.5" customHeight="1">
      <c r="B12" s="161"/>
      <c r="C12" s="65"/>
      <c r="D12" s="65"/>
      <c r="E12" s="65"/>
      <c r="F12" s="164"/>
      <c r="G12" s="164"/>
      <c r="H12" s="164"/>
      <c r="I12" s="164"/>
      <c r="J12" s="1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62"/>
    </row>
    <row r="13" spans="2:31" s="166" customFormat="1" ht="19.5">
      <c r="B13" s="167" t="str">
        <f>+'TOT-0314'!B14</f>
        <v>Desde el 01 al 31 de marzo de 2014</v>
      </c>
      <c r="C13" s="168"/>
      <c r="D13" s="168"/>
      <c r="E13" s="168"/>
      <c r="F13" s="66"/>
      <c r="G13" s="66"/>
      <c r="H13" s="66"/>
      <c r="I13" s="66"/>
      <c r="J13" s="169"/>
      <c r="K13" s="170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171"/>
    </row>
    <row r="14" spans="2:31" ht="16.5" customHeight="1" thickBot="1">
      <c r="B14" s="161"/>
      <c r="C14" s="65"/>
      <c r="D14" s="65"/>
      <c r="E14" s="65"/>
      <c r="F14" s="65"/>
      <c r="G14" s="65"/>
      <c r="H14" s="65"/>
      <c r="I14" s="65"/>
      <c r="J14" s="172"/>
      <c r="K14" s="67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162"/>
    </row>
    <row r="15" spans="2:31" ht="16.5" customHeight="1" thickBot="1" thickTop="1">
      <c r="B15" s="161"/>
      <c r="C15" s="65"/>
      <c r="D15" s="65"/>
      <c r="E15" s="65"/>
      <c r="F15" s="374" t="s">
        <v>15</v>
      </c>
      <c r="G15" s="373">
        <v>52.166</v>
      </c>
      <c r="H15" s="375"/>
      <c r="I15" s="68"/>
      <c r="K15" s="67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162"/>
    </row>
    <row r="16" spans="2:31" ht="16.5" customHeight="1" thickBot="1" thickTop="1">
      <c r="B16" s="161"/>
      <c r="C16" s="65"/>
      <c r="D16" s="65"/>
      <c r="E16" s="65"/>
      <c r="F16" s="374" t="s">
        <v>16</v>
      </c>
      <c r="G16" s="373">
        <v>49.847</v>
      </c>
      <c r="H16" s="375"/>
      <c r="I16" s="68"/>
      <c r="K16" s="173"/>
      <c r="L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162"/>
    </row>
    <row r="17" spans="2:31" ht="16.5" customHeight="1" thickBot="1" thickTop="1">
      <c r="B17" s="161"/>
      <c r="C17" s="65"/>
      <c r="D17" s="65"/>
      <c r="E17" s="65"/>
      <c r="F17" s="374" t="s">
        <v>17</v>
      </c>
      <c r="G17" s="373">
        <v>104.331</v>
      </c>
      <c r="H17" s="375"/>
      <c r="I17" s="68"/>
      <c r="K17" s="173"/>
      <c r="L17" s="65"/>
      <c r="M17" s="174" t="s">
        <v>18</v>
      </c>
      <c r="N17" s="175">
        <f>30*'TOT-0314'!B13</f>
        <v>60</v>
      </c>
      <c r="O17" s="69" t="str">
        <f>IF(N17=30," ",IF(N17=60,"Coeficiente duplicado por tasa de falla &gt;4 Sal. x año/100 km.","REVISAR COEFICIENTE"))</f>
        <v>Coeficiente duplicado por tasa de falla &gt;4 Sal. x año/100 km.</v>
      </c>
      <c r="P17" s="17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162"/>
    </row>
    <row r="18" spans="2:31" ht="16.5" customHeight="1" thickBot="1" thickTop="1">
      <c r="B18" s="161"/>
      <c r="C18" s="65"/>
      <c r="D18" s="65"/>
      <c r="E18" s="65"/>
      <c r="F18" s="374" t="s">
        <v>19</v>
      </c>
      <c r="G18" s="373">
        <v>98.535</v>
      </c>
      <c r="H18" s="375"/>
      <c r="I18" s="68"/>
      <c r="K18" s="173"/>
      <c r="L18" s="65"/>
      <c r="M18" s="65"/>
      <c r="N18" s="65"/>
      <c r="O18" s="174"/>
      <c r="P18" s="17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162"/>
    </row>
    <row r="19" spans="2:31" ht="16.5" customHeight="1" thickBot="1" thickTop="1">
      <c r="B19" s="161"/>
      <c r="C19" s="450">
        <v>3</v>
      </c>
      <c r="D19" s="450">
        <v>4</v>
      </c>
      <c r="E19" s="450">
        <v>5</v>
      </c>
      <c r="F19" s="450">
        <v>6</v>
      </c>
      <c r="G19" s="450">
        <v>7</v>
      </c>
      <c r="H19" s="450">
        <v>8</v>
      </c>
      <c r="I19" s="450">
        <v>9</v>
      </c>
      <c r="J19" s="450">
        <v>10</v>
      </c>
      <c r="K19" s="450">
        <v>11</v>
      </c>
      <c r="L19" s="450">
        <v>12</v>
      </c>
      <c r="M19" s="450">
        <v>13</v>
      </c>
      <c r="N19" s="450">
        <v>14</v>
      </c>
      <c r="O19" s="450">
        <v>15</v>
      </c>
      <c r="P19" s="450">
        <v>16</v>
      </c>
      <c r="Q19" s="450">
        <v>17</v>
      </c>
      <c r="R19" s="450">
        <v>18</v>
      </c>
      <c r="S19" s="450">
        <v>19</v>
      </c>
      <c r="T19" s="450">
        <v>20</v>
      </c>
      <c r="U19" s="450">
        <v>21</v>
      </c>
      <c r="V19" s="450">
        <v>22</v>
      </c>
      <c r="W19" s="450">
        <v>23</v>
      </c>
      <c r="X19" s="450">
        <v>24</v>
      </c>
      <c r="Y19" s="450">
        <v>25</v>
      </c>
      <c r="Z19" s="450">
        <v>26</v>
      </c>
      <c r="AA19" s="450">
        <v>27</v>
      </c>
      <c r="AB19" s="450">
        <v>28</v>
      </c>
      <c r="AC19" s="450">
        <v>29</v>
      </c>
      <c r="AD19" s="450">
        <v>30</v>
      </c>
      <c r="AE19" s="162"/>
    </row>
    <row r="20" spans="2:31" ht="34.5" customHeight="1" thickBot="1" thickTop="1">
      <c r="B20" s="161"/>
      <c r="C20" s="426" t="s">
        <v>20</v>
      </c>
      <c r="D20" s="426" t="s">
        <v>79</v>
      </c>
      <c r="E20" s="426" t="s">
        <v>80</v>
      </c>
      <c r="F20" s="70" t="s">
        <v>6</v>
      </c>
      <c r="G20" s="70" t="s">
        <v>132</v>
      </c>
      <c r="H20" s="70" t="s">
        <v>1</v>
      </c>
      <c r="I20" s="71" t="s">
        <v>49</v>
      </c>
      <c r="J20" s="71" t="s">
        <v>21</v>
      </c>
      <c r="K20" s="71" t="s">
        <v>22</v>
      </c>
      <c r="L20" s="72" t="s">
        <v>23</v>
      </c>
      <c r="M20" s="70" t="s">
        <v>24</v>
      </c>
      <c r="N20" s="70" t="s">
        <v>25</v>
      </c>
      <c r="O20" s="71" t="s">
        <v>50</v>
      </c>
      <c r="P20" s="71" t="s">
        <v>26</v>
      </c>
      <c r="Q20" s="71" t="s">
        <v>27</v>
      </c>
      <c r="R20" s="71" t="s">
        <v>51</v>
      </c>
      <c r="S20" s="176" t="s">
        <v>52</v>
      </c>
      <c r="T20" s="177" t="s">
        <v>29</v>
      </c>
      <c r="U20" s="73" t="s">
        <v>53</v>
      </c>
      <c r="V20" s="178"/>
      <c r="W20" s="179"/>
      <c r="X20" s="74" t="s">
        <v>54</v>
      </c>
      <c r="Y20" s="180"/>
      <c r="Z20" s="181"/>
      <c r="AA20" s="182" t="s">
        <v>30</v>
      </c>
      <c r="AB20" s="183" t="s">
        <v>31</v>
      </c>
      <c r="AC20" s="71" t="s">
        <v>32</v>
      </c>
      <c r="AD20" s="71" t="s">
        <v>33</v>
      </c>
      <c r="AE20" s="162"/>
    </row>
    <row r="21" spans="2:31" ht="16.5" customHeight="1" thickTop="1">
      <c r="B21" s="161"/>
      <c r="C21" s="184"/>
      <c r="D21" s="184"/>
      <c r="E21" s="184"/>
      <c r="F21" s="185"/>
      <c r="G21" s="184"/>
      <c r="H21" s="184"/>
      <c r="I21" s="184"/>
      <c r="J21" s="186"/>
      <c r="K21" s="186"/>
      <c r="L21" s="187">
        <v>5</v>
      </c>
      <c r="M21" s="421"/>
      <c r="N21" s="422"/>
      <c r="O21" s="185"/>
      <c r="P21" s="185"/>
      <c r="Q21" s="185"/>
      <c r="R21" s="185"/>
      <c r="S21" s="188"/>
      <c r="T21" s="189"/>
      <c r="U21" s="190"/>
      <c r="V21" s="191"/>
      <c r="W21" s="192"/>
      <c r="X21" s="193"/>
      <c r="Y21" s="194"/>
      <c r="Z21" s="195"/>
      <c r="AA21" s="196"/>
      <c r="AB21" s="197"/>
      <c r="AC21" s="198"/>
      <c r="AD21" s="199">
        <f>'LI-03 (2)'!AD38</f>
        <v>312427.6434311979</v>
      </c>
      <c r="AE21" s="162"/>
    </row>
    <row r="22" spans="2:31" ht="16.5" customHeight="1">
      <c r="B22" s="161"/>
      <c r="C22" s="200"/>
      <c r="D22" s="200"/>
      <c r="E22" s="200"/>
      <c r="F22" s="200"/>
      <c r="G22" s="200"/>
      <c r="H22" s="200"/>
      <c r="I22" s="200"/>
      <c r="J22" s="200"/>
      <c r="K22" s="200"/>
      <c r="L22" s="201">
        <v>2005</v>
      </c>
      <c r="M22" s="423"/>
      <c r="N22" s="424"/>
      <c r="O22" s="202"/>
      <c r="P22" s="202"/>
      <c r="Q22" s="200"/>
      <c r="R22" s="200"/>
      <c r="S22" s="203"/>
      <c r="T22" s="204"/>
      <c r="U22" s="205"/>
      <c r="V22" s="206"/>
      <c r="W22" s="207"/>
      <c r="X22" s="208"/>
      <c r="Y22" s="209"/>
      <c r="Z22" s="210"/>
      <c r="AA22" s="211"/>
      <c r="AB22" s="212"/>
      <c r="AC22" s="200"/>
      <c r="AD22" s="213"/>
      <c r="AE22" s="162"/>
    </row>
    <row r="23" spans="2:31" ht="16.5" customHeight="1">
      <c r="B23" s="161"/>
      <c r="C23" s="376">
        <v>22</v>
      </c>
      <c r="D23" s="376">
        <v>273166</v>
      </c>
      <c r="E23" s="376">
        <v>1949</v>
      </c>
      <c r="F23" s="377" t="s">
        <v>157</v>
      </c>
      <c r="G23" s="378">
        <v>105</v>
      </c>
      <c r="H23" s="377" t="s">
        <v>135</v>
      </c>
      <c r="I23" s="378" t="s">
        <v>136</v>
      </c>
      <c r="J23" s="378">
        <v>132</v>
      </c>
      <c r="K23" s="378">
        <v>6.699999809265137</v>
      </c>
      <c r="L23" s="201">
        <f aca="true" t="shared" si="0" ref="L23:L40">IF(K23&gt;25,K23,25)*IF(J23=220,(I23*$G$15/100)+(100-I23)/100*$G$17,(I23*$G$16/100)+(100-I23)/100*$G$18)/100</f>
        <v>24.63375</v>
      </c>
      <c r="M23" s="454">
        <v>41714.243055555555</v>
      </c>
      <c r="N23" s="454">
        <v>41714.90694444445</v>
      </c>
      <c r="O23" s="75">
        <f aca="true" t="shared" si="1" ref="O23:O40">IF(F23="","",(N23-M23)*24)</f>
        <v>15.933333333407063</v>
      </c>
      <c r="P23" s="76">
        <f aca="true" t="shared" si="2" ref="P23:P40">IF(F23="","",ROUND((N23-M23)*24*60,0))</f>
        <v>956</v>
      </c>
      <c r="Q23" s="77" t="s">
        <v>144</v>
      </c>
      <c r="R23" s="78" t="str">
        <f aca="true" t="shared" si="3" ref="R23:R40">IF(F23="","","--")</f>
        <v>--</v>
      </c>
      <c r="S23" s="79" t="str">
        <f aca="true" t="shared" si="4" ref="S23:S40">IF(Q23="P",ROUND(P23/60,2)*L23*$N$17*0.01,"--")</f>
        <v>--</v>
      </c>
      <c r="T23" s="80" t="str">
        <f aca="true" t="shared" si="5" ref="T23:T40">IF(Q23="RP",$N$17*L23*R23/100*ROUND(P23/60,2)*0.01,"--")</f>
        <v>--</v>
      </c>
      <c r="U23" s="81">
        <f aca="true" t="shared" si="6" ref="U23:U40">IF(Q23="F",L23*$N$17,"--")</f>
        <v>1478.0249999999999</v>
      </c>
      <c r="V23" s="82">
        <f aca="true" t="shared" si="7" ref="V23:V40">IF(AND(P23&gt;10,Q23="F"),IF(P23&gt;180,3,ROUND(P23/60,2))*L23*$N$17,"--")</f>
        <v>4434.075000000001</v>
      </c>
      <c r="W23" s="83">
        <f aca="true" t="shared" si="8" ref="W23:W40">IF(AND(P23&gt;180,Q23="F"),(ROUND(P23/60,2)-3)*L23*$N$17*0.1,"--")</f>
        <v>1911.086325</v>
      </c>
      <c r="X23" s="84" t="str">
        <f aca="true" t="shared" si="9" ref="X23:X40">IF(Q23="R",L23*$N$17*R23/100,"--")</f>
        <v>--</v>
      </c>
      <c r="Y23" s="85" t="str">
        <f aca="true" t="shared" si="10" ref="Y23:Y40">IF(AND(P23&gt;10,Q23="R"),IF(P23&gt;180,3,ROUND(P23/60,2))*L23*$N$17*R23/100,"--")</f>
        <v>--</v>
      </c>
      <c r="Z23" s="86" t="str">
        <f aca="true" t="shared" si="11" ref="Z23:Z40">IF(AND(P23&gt;180,Q23="R"),(ROUND(P23/60,2)-3)*L23*$N$17*0.1*R23/100,"--")</f>
        <v>--</v>
      </c>
      <c r="AA23" s="87" t="str">
        <f aca="true" t="shared" si="12" ref="AA23:AA40">IF(Q23="RF",ROUND(P23/60,2)*L23*$N$17*0.1,"--")</f>
        <v>--</v>
      </c>
      <c r="AB23" s="88" t="str">
        <f aca="true" t="shared" si="13" ref="AB23:AB40">IF(Q23="RR",ROUND(P23/60,2)*L23*$N$17*0.1*R23/100,"--")</f>
        <v>--</v>
      </c>
      <c r="AC23" s="370" t="s">
        <v>138</v>
      </c>
      <c r="AD23" s="214">
        <f aca="true" t="shared" si="14" ref="AD23:AD40">IF(F23="","",SUM(S23:AB23)*IF(AC23="SI",1,2))</f>
        <v>7823.186325000001</v>
      </c>
      <c r="AE23" s="162"/>
    </row>
    <row r="24" spans="2:31" ht="16.5" customHeight="1">
      <c r="B24" s="161"/>
      <c r="C24" s="376">
        <v>23</v>
      </c>
      <c r="D24" s="376">
        <v>273167</v>
      </c>
      <c r="E24" s="376">
        <v>4526</v>
      </c>
      <c r="F24" s="377" t="s">
        <v>178</v>
      </c>
      <c r="G24" s="378">
        <v>457</v>
      </c>
      <c r="H24" s="377" t="s">
        <v>135</v>
      </c>
      <c r="I24" s="378" t="s">
        <v>136</v>
      </c>
      <c r="J24" s="378">
        <v>132</v>
      </c>
      <c r="K24" s="378">
        <v>2.700000047683716</v>
      </c>
      <c r="L24" s="201">
        <f t="shared" si="0"/>
        <v>24.63375</v>
      </c>
      <c r="M24" s="454">
        <v>41714.24930555555</v>
      </c>
      <c r="N24" s="454">
        <v>41714.686111111114</v>
      </c>
      <c r="O24" s="75">
        <f t="shared" si="1"/>
        <v>10.48333333345363</v>
      </c>
      <c r="P24" s="76">
        <f t="shared" si="2"/>
        <v>629</v>
      </c>
      <c r="Q24" s="77" t="s">
        <v>144</v>
      </c>
      <c r="R24" s="78" t="str">
        <f t="shared" si="3"/>
        <v>--</v>
      </c>
      <c r="S24" s="79" t="str">
        <f t="shared" si="4"/>
        <v>--</v>
      </c>
      <c r="T24" s="80" t="str">
        <f t="shared" si="5"/>
        <v>--</v>
      </c>
      <c r="U24" s="81">
        <f t="shared" si="6"/>
        <v>1478.0249999999999</v>
      </c>
      <c r="V24" s="82">
        <f t="shared" si="7"/>
        <v>4434.075000000001</v>
      </c>
      <c r="W24" s="83">
        <f t="shared" si="8"/>
        <v>1105.5627000000002</v>
      </c>
      <c r="X24" s="84" t="str">
        <f t="shared" si="9"/>
        <v>--</v>
      </c>
      <c r="Y24" s="85" t="str">
        <f t="shared" si="10"/>
        <v>--</v>
      </c>
      <c r="Z24" s="86" t="str">
        <f t="shared" si="11"/>
        <v>--</v>
      </c>
      <c r="AA24" s="87" t="str">
        <f t="shared" si="12"/>
        <v>--</v>
      </c>
      <c r="AB24" s="88" t="str">
        <f t="shared" si="13"/>
        <v>--</v>
      </c>
      <c r="AC24" s="370" t="s">
        <v>138</v>
      </c>
      <c r="AD24" s="214">
        <f t="shared" si="14"/>
        <v>7017.662700000001</v>
      </c>
      <c r="AE24" s="162"/>
    </row>
    <row r="25" spans="2:31" ht="16.5" customHeight="1">
      <c r="B25" s="161"/>
      <c r="C25" s="376">
        <v>24</v>
      </c>
      <c r="D25" s="376">
        <v>273168</v>
      </c>
      <c r="E25" s="376">
        <v>4527</v>
      </c>
      <c r="F25" s="377" t="s">
        <v>179</v>
      </c>
      <c r="G25" s="378">
        <v>458</v>
      </c>
      <c r="H25" s="377" t="s">
        <v>135</v>
      </c>
      <c r="I25" s="378" t="s">
        <v>136</v>
      </c>
      <c r="J25" s="378">
        <v>132</v>
      </c>
      <c r="K25" s="378">
        <v>2.700000047683716</v>
      </c>
      <c r="L25" s="201">
        <f t="shared" si="0"/>
        <v>24.63375</v>
      </c>
      <c r="M25" s="454">
        <v>41714.24930555555</v>
      </c>
      <c r="N25" s="454">
        <v>41714.686111111114</v>
      </c>
      <c r="O25" s="75">
        <f t="shared" si="1"/>
        <v>10.48333333345363</v>
      </c>
      <c r="P25" s="76">
        <f t="shared" si="2"/>
        <v>629</v>
      </c>
      <c r="Q25" s="77" t="s">
        <v>144</v>
      </c>
      <c r="R25" s="78" t="str">
        <f t="shared" si="3"/>
        <v>--</v>
      </c>
      <c r="S25" s="79" t="str">
        <f t="shared" si="4"/>
        <v>--</v>
      </c>
      <c r="T25" s="80" t="str">
        <f t="shared" si="5"/>
        <v>--</v>
      </c>
      <c r="U25" s="81">
        <f t="shared" si="6"/>
        <v>1478.0249999999999</v>
      </c>
      <c r="V25" s="82">
        <f t="shared" si="7"/>
        <v>4434.075000000001</v>
      </c>
      <c r="W25" s="83">
        <f t="shared" si="8"/>
        <v>1105.5627000000002</v>
      </c>
      <c r="X25" s="84" t="str">
        <f t="shared" si="9"/>
        <v>--</v>
      </c>
      <c r="Y25" s="85" t="str">
        <f t="shared" si="10"/>
        <v>--</v>
      </c>
      <c r="Z25" s="86" t="str">
        <f t="shared" si="11"/>
        <v>--</v>
      </c>
      <c r="AA25" s="87" t="str">
        <f t="shared" si="12"/>
        <v>--</v>
      </c>
      <c r="AB25" s="88" t="str">
        <f t="shared" si="13"/>
        <v>--</v>
      </c>
      <c r="AC25" s="370" t="s">
        <v>138</v>
      </c>
      <c r="AD25" s="214">
        <f t="shared" si="14"/>
        <v>7017.662700000001</v>
      </c>
      <c r="AE25" s="162"/>
    </row>
    <row r="26" spans="2:31" ht="16.5" customHeight="1">
      <c r="B26" s="161"/>
      <c r="C26" s="376">
        <v>25</v>
      </c>
      <c r="D26" s="376">
        <v>273169</v>
      </c>
      <c r="E26" s="376">
        <v>1946</v>
      </c>
      <c r="F26" s="377" t="s">
        <v>158</v>
      </c>
      <c r="G26" s="378">
        <v>62</v>
      </c>
      <c r="H26" s="377" t="s">
        <v>141</v>
      </c>
      <c r="I26" s="378">
        <v>89.76</v>
      </c>
      <c r="J26" s="378">
        <v>220</v>
      </c>
      <c r="K26" s="378">
        <v>57.6</v>
      </c>
      <c r="L26" s="201">
        <f t="shared" si="0"/>
        <v>33.124432895999995</v>
      </c>
      <c r="M26" s="454">
        <v>41714.3875</v>
      </c>
      <c r="N26" s="454">
        <v>41714.813888888886</v>
      </c>
      <c r="O26" s="75">
        <f t="shared" si="1"/>
        <v>10.233333333337214</v>
      </c>
      <c r="P26" s="76">
        <f t="shared" si="2"/>
        <v>614</v>
      </c>
      <c r="Q26" s="77" t="s">
        <v>137</v>
      </c>
      <c r="R26" s="78" t="str">
        <f t="shared" si="3"/>
        <v>--</v>
      </c>
      <c r="S26" s="79">
        <f t="shared" si="4"/>
        <v>203.31776911564796</v>
      </c>
      <c r="T26" s="80" t="str">
        <f t="shared" si="5"/>
        <v>--</v>
      </c>
      <c r="U26" s="81" t="str">
        <f t="shared" si="6"/>
        <v>--</v>
      </c>
      <c r="V26" s="82" t="str">
        <f t="shared" si="7"/>
        <v>--</v>
      </c>
      <c r="W26" s="83" t="str">
        <f t="shared" si="8"/>
        <v>--</v>
      </c>
      <c r="X26" s="84" t="str">
        <f t="shared" si="9"/>
        <v>--</v>
      </c>
      <c r="Y26" s="85" t="str">
        <f t="shared" si="10"/>
        <v>--</v>
      </c>
      <c r="Z26" s="86" t="str">
        <f t="shared" si="11"/>
        <v>--</v>
      </c>
      <c r="AA26" s="87" t="str">
        <f t="shared" si="12"/>
        <v>--</v>
      </c>
      <c r="AB26" s="88" t="str">
        <f t="shared" si="13"/>
        <v>--</v>
      </c>
      <c r="AC26" s="370" t="s">
        <v>138</v>
      </c>
      <c r="AD26" s="214">
        <f t="shared" si="14"/>
        <v>203.31776911564796</v>
      </c>
      <c r="AE26" s="162"/>
    </row>
    <row r="27" spans="2:31" ht="16.5" customHeight="1">
      <c r="B27" s="161"/>
      <c r="C27" s="376">
        <v>26</v>
      </c>
      <c r="D27" s="376">
        <v>273365</v>
      </c>
      <c r="E27" s="376">
        <v>1967</v>
      </c>
      <c r="F27" s="377" t="s">
        <v>159</v>
      </c>
      <c r="G27" s="378">
        <v>579</v>
      </c>
      <c r="H27" s="377" t="s">
        <v>135</v>
      </c>
      <c r="I27" s="378" t="s">
        <v>136</v>
      </c>
      <c r="J27" s="378">
        <v>132</v>
      </c>
      <c r="K27" s="378">
        <v>18.46</v>
      </c>
      <c r="L27" s="201">
        <f t="shared" si="0"/>
        <v>24.63375</v>
      </c>
      <c r="M27" s="454">
        <v>41715.34375</v>
      </c>
      <c r="N27" s="454">
        <v>41715.66805555556</v>
      </c>
      <c r="O27" s="75">
        <f t="shared" si="1"/>
        <v>7.78333333338378</v>
      </c>
      <c r="P27" s="76">
        <f t="shared" si="2"/>
        <v>467</v>
      </c>
      <c r="Q27" s="77" t="s">
        <v>137</v>
      </c>
      <c r="R27" s="78" t="str">
        <f t="shared" si="3"/>
        <v>--</v>
      </c>
      <c r="S27" s="79">
        <f t="shared" si="4"/>
        <v>114.990345</v>
      </c>
      <c r="T27" s="80" t="str">
        <f t="shared" si="5"/>
        <v>--</v>
      </c>
      <c r="U27" s="81" t="str">
        <f t="shared" si="6"/>
        <v>--</v>
      </c>
      <c r="V27" s="82" t="str">
        <f t="shared" si="7"/>
        <v>--</v>
      </c>
      <c r="W27" s="83" t="str">
        <f t="shared" si="8"/>
        <v>--</v>
      </c>
      <c r="X27" s="84" t="str">
        <f t="shared" si="9"/>
        <v>--</v>
      </c>
      <c r="Y27" s="85" t="str">
        <f t="shared" si="10"/>
        <v>--</v>
      </c>
      <c r="Z27" s="86" t="str">
        <f t="shared" si="11"/>
        <v>--</v>
      </c>
      <c r="AA27" s="87" t="str">
        <f t="shared" si="12"/>
        <v>--</v>
      </c>
      <c r="AB27" s="88" t="str">
        <f t="shared" si="13"/>
        <v>--</v>
      </c>
      <c r="AC27" s="370" t="s">
        <v>138</v>
      </c>
      <c r="AD27" s="214">
        <f t="shared" si="14"/>
        <v>114.990345</v>
      </c>
      <c r="AE27" s="162"/>
    </row>
    <row r="28" spans="2:31" ht="16.5" customHeight="1">
      <c r="B28" s="161"/>
      <c r="C28" s="376">
        <v>27</v>
      </c>
      <c r="D28" s="376">
        <v>273366</v>
      </c>
      <c r="E28" s="376">
        <v>5191</v>
      </c>
      <c r="F28" s="377" t="s">
        <v>160</v>
      </c>
      <c r="G28" s="378">
        <v>31</v>
      </c>
      <c r="H28" s="377" t="s">
        <v>151</v>
      </c>
      <c r="I28" s="378">
        <v>100</v>
      </c>
      <c r="J28" s="378">
        <v>220</v>
      </c>
      <c r="K28" s="378">
        <v>22.600000381469727</v>
      </c>
      <c r="L28" s="201">
        <f t="shared" si="0"/>
        <v>13.0415</v>
      </c>
      <c r="M28" s="454">
        <v>41716.46388888889</v>
      </c>
      <c r="N28" s="454">
        <v>41716.748611111114</v>
      </c>
      <c r="O28" s="75">
        <f t="shared" si="1"/>
        <v>6.833333333430346</v>
      </c>
      <c r="P28" s="76">
        <f t="shared" si="2"/>
        <v>410</v>
      </c>
      <c r="Q28" s="77" t="s">
        <v>144</v>
      </c>
      <c r="R28" s="78" t="str">
        <f t="shared" si="3"/>
        <v>--</v>
      </c>
      <c r="S28" s="79" t="str">
        <f t="shared" si="4"/>
        <v>--</v>
      </c>
      <c r="T28" s="80" t="str">
        <f t="shared" si="5"/>
        <v>--</v>
      </c>
      <c r="U28" s="81">
        <f t="shared" si="6"/>
        <v>782.49</v>
      </c>
      <c r="V28" s="82">
        <f t="shared" si="7"/>
        <v>2347.47</v>
      </c>
      <c r="W28" s="83">
        <f t="shared" si="8"/>
        <v>299.69367</v>
      </c>
      <c r="X28" s="84" t="str">
        <f t="shared" si="9"/>
        <v>--</v>
      </c>
      <c r="Y28" s="85" t="str">
        <f t="shared" si="10"/>
        <v>--</v>
      </c>
      <c r="Z28" s="86" t="str">
        <f t="shared" si="11"/>
        <v>--</v>
      </c>
      <c r="AA28" s="87" t="str">
        <f t="shared" si="12"/>
        <v>--</v>
      </c>
      <c r="AB28" s="88" t="str">
        <f t="shared" si="13"/>
        <v>--</v>
      </c>
      <c r="AC28" s="370" t="s">
        <v>138</v>
      </c>
      <c r="AD28" s="214">
        <f t="shared" si="14"/>
        <v>3429.65367</v>
      </c>
      <c r="AE28" s="162"/>
    </row>
    <row r="29" spans="2:31" ht="16.5" customHeight="1">
      <c r="B29" s="161"/>
      <c r="C29" s="376">
        <v>28</v>
      </c>
      <c r="D29" s="376">
        <v>273367</v>
      </c>
      <c r="E29" s="376">
        <v>4522</v>
      </c>
      <c r="F29" s="377" t="s">
        <v>149</v>
      </c>
      <c r="G29" s="378">
        <v>451</v>
      </c>
      <c r="H29" s="377" t="s">
        <v>135</v>
      </c>
      <c r="I29" s="378" t="s">
        <v>136</v>
      </c>
      <c r="J29" s="378">
        <v>132</v>
      </c>
      <c r="K29" s="378">
        <v>2.4000000953674316</v>
      </c>
      <c r="L29" s="201">
        <f t="shared" si="0"/>
        <v>24.63375</v>
      </c>
      <c r="M29" s="454">
        <v>41717.3125</v>
      </c>
      <c r="N29" s="454">
        <v>41717.33263888889</v>
      </c>
      <c r="O29" s="75">
        <f t="shared" si="1"/>
        <v>0.48333333333721384</v>
      </c>
      <c r="P29" s="76">
        <f t="shared" si="2"/>
        <v>29</v>
      </c>
      <c r="Q29" s="77" t="s">
        <v>137</v>
      </c>
      <c r="R29" s="78" t="str">
        <f t="shared" si="3"/>
        <v>--</v>
      </c>
      <c r="S29" s="79">
        <f t="shared" si="4"/>
        <v>7.09452</v>
      </c>
      <c r="T29" s="80" t="str">
        <f t="shared" si="5"/>
        <v>--</v>
      </c>
      <c r="U29" s="81" t="str">
        <f t="shared" si="6"/>
        <v>--</v>
      </c>
      <c r="V29" s="82" t="str">
        <f t="shared" si="7"/>
        <v>--</v>
      </c>
      <c r="W29" s="83" t="str">
        <f t="shared" si="8"/>
        <v>--</v>
      </c>
      <c r="X29" s="84" t="str">
        <f t="shared" si="9"/>
        <v>--</v>
      </c>
      <c r="Y29" s="85" t="str">
        <f t="shared" si="10"/>
        <v>--</v>
      </c>
      <c r="Z29" s="86" t="str">
        <f t="shared" si="11"/>
        <v>--</v>
      </c>
      <c r="AA29" s="87" t="str">
        <f t="shared" si="12"/>
        <v>--</v>
      </c>
      <c r="AB29" s="88" t="str">
        <f t="shared" si="13"/>
        <v>--</v>
      </c>
      <c r="AC29" s="370" t="s">
        <v>138</v>
      </c>
      <c r="AD29" s="214">
        <f t="shared" si="14"/>
        <v>7.09452</v>
      </c>
      <c r="AE29" s="162"/>
    </row>
    <row r="30" spans="2:31" ht="16.5" customHeight="1">
      <c r="B30" s="161"/>
      <c r="C30" s="376">
        <v>29</v>
      </c>
      <c r="D30" s="376">
        <v>273368</v>
      </c>
      <c r="E30" s="376">
        <v>3671</v>
      </c>
      <c r="F30" s="377" t="s">
        <v>152</v>
      </c>
      <c r="G30" s="378">
        <v>202</v>
      </c>
      <c r="H30" s="377" t="s">
        <v>141</v>
      </c>
      <c r="I30" s="378">
        <v>79.89</v>
      </c>
      <c r="J30" s="378">
        <v>132</v>
      </c>
      <c r="K30" s="378">
        <v>17.9</v>
      </c>
      <c r="L30" s="201">
        <f t="shared" si="0"/>
        <v>14.909539200000001</v>
      </c>
      <c r="M30" s="454">
        <v>41719.28958333333</v>
      </c>
      <c r="N30" s="454">
        <v>41719.683333333334</v>
      </c>
      <c r="O30" s="75">
        <f t="shared" si="1"/>
        <v>9.45000000006985</v>
      </c>
      <c r="P30" s="76">
        <f t="shared" si="2"/>
        <v>567</v>
      </c>
      <c r="Q30" s="77" t="s">
        <v>137</v>
      </c>
      <c r="R30" s="78" t="str">
        <f t="shared" si="3"/>
        <v>--</v>
      </c>
      <c r="S30" s="79">
        <f t="shared" si="4"/>
        <v>84.53708726400001</v>
      </c>
      <c r="T30" s="80" t="str">
        <f t="shared" si="5"/>
        <v>--</v>
      </c>
      <c r="U30" s="81" t="str">
        <f t="shared" si="6"/>
        <v>--</v>
      </c>
      <c r="V30" s="82" t="str">
        <f t="shared" si="7"/>
        <v>--</v>
      </c>
      <c r="W30" s="83" t="str">
        <f t="shared" si="8"/>
        <v>--</v>
      </c>
      <c r="X30" s="84" t="str">
        <f t="shared" si="9"/>
        <v>--</v>
      </c>
      <c r="Y30" s="85" t="str">
        <f t="shared" si="10"/>
        <v>--</v>
      </c>
      <c r="Z30" s="86" t="str">
        <f t="shared" si="11"/>
        <v>--</v>
      </c>
      <c r="AA30" s="87" t="str">
        <f t="shared" si="12"/>
        <v>--</v>
      </c>
      <c r="AB30" s="88" t="str">
        <f t="shared" si="13"/>
        <v>--</v>
      </c>
      <c r="AC30" s="370" t="s">
        <v>138</v>
      </c>
      <c r="AD30" s="214">
        <f t="shared" si="14"/>
        <v>84.53708726400001</v>
      </c>
      <c r="AE30" s="162"/>
    </row>
    <row r="31" spans="2:31" ht="16.5" customHeight="1">
      <c r="B31" s="161"/>
      <c r="C31" s="376">
        <v>30</v>
      </c>
      <c r="D31" s="376">
        <v>273369</v>
      </c>
      <c r="E31" s="376">
        <v>4712</v>
      </c>
      <c r="F31" s="377" t="s">
        <v>161</v>
      </c>
      <c r="G31" s="378">
        <v>586</v>
      </c>
      <c r="H31" s="377" t="s">
        <v>141</v>
      </c>
      <c r="I31" s="378">
        <v>80.47000122070312</v>
      </c>
      <c r="J31" s="378">
        <v>132</v>
      </c>
      <c r="K31" s="378">
        <v>25.600000381469727</v>
      </c>
      <c r="L31" s="201">
        <f t="shared" si="0"/>
        <v>15.195076272674278</v>
      </c>
      <c r="M31" s="454">
        <v>41720.32638888889</v>
      </c>
      <c r="N31" s="454">
        <v>41720.6375</v>
      </c>
      <c r="O31" s="75">
        <f t="shared" si="1"/>
        <v>7.466666666558012</v>
      </c>
      <c r="P31" s="76">
        <f t="shared" si="2"/>
        <v>448</v>
      </c>
      <c r="Q31" s="77" t="s">
        <v>137</v>
      </c>
      <c r="R31" s="78" t="str">
        <f t="shared" si="3"/>
        <v>--</v>
      </c>
      <c r="S31" s="79">
        <f t="shared" si="4"/>
        <v>68.10433185412612</v>
      </c>
      <c r="T31" s="80" t="str">
        <f t="shared" si="5"/>
        <v>--</v>
      </c>
      <c r="U31" s="81" t="str">
        <f t="shared" si="6"/>
        <v>--</v>
      </c>
      <c r="V31" s="82" t="str">
        <f t="shared" si="7"/>
        <v>--</v>
      </c>
      <c r="W31" s="83" t="str">
        <f t="shared" si="8"/>
        <v>--</v>
      </c>
      <c r="X31" s="84" t="str">
        <f t="shared" si="9"/>
        <v>--</v>
      </c>
      <c r="Y31" s="85" t="str">
        <f t="shared" si="10"/>
        <v>--</v>
      </c>
      <c r="Z31" s="86" t="str">
        <f t="shared" si="11"/>
        <v>--</v>
      </c>
      <c r="AA31" s="87" t="str">
        <f t="shared" si="12"/>
        <v>--</v>
      </c>
      <c r="AB31" s="88" t="str">
        <f t="shared" si="13"/>
        <v>--</v>
      </c>
      <c r="AC31" s="370" t="s">
        <v>138</v>
      </c>
      <c r="AD31" s="214">
        <f t="shared" si="14"/>
        <v>68.10433185412612</v>
      </c>
      <c r="AE31" s="162"/>
    </row>
    <row r="32" spans="2:31" ht="16.5" customHeight="1">
      <c r="B32" s="161"/>
      <c r="C32" s="376">
        <v>31</v>
      </c>
      <c r="D32" s="376">
        <v>273370</v>
      </c>
      <c r="E32" s="376">
        <v>1974</v>
      </c>
      <c r="F32" s="377" t="s">
        <v>162</v>
      </c>
      <c r="G32" s="378">
        <v>649</v>
      </c>
      <c r="H32" s="377" t="s">
        <v>135</v>
      </c>
      <c r="I32" s="378" t="s">
        <v>136</v>
      </c>
      <c r="J32" s="378">
        <v>132</v>
      </c>
      <c r="K32" s="378">
        <v>10.300000190734863</v>
      </c>
      <c r="L32" s="201">
        <f t="shared" si="0"/>
        <v>24.63375</v>
      </c>
      <c r="M32" s="454">
        <v>41720.4625</v>
      </c>
      <c r="N32" s="454">
        <v>41720.614583333336</v>
      </c>
      <c r="O32" s="75">
        <f t="shared" si="1"/>
        <v>3.650000000023283</v>
      </c>
      <c r="P32" s="76">
        <f t="shared" si="2"/>
        <v>219</v>
      </c>
      <c r="Q32" s="77" t="s">
        <v>137</v>
      </c>
      <c r="R32" s="78" t="str">
        <f t="shared" si="3"/>
        <v>--</v>
      </c>
      <c r="S32" s="79">
        <f t="shared" si="4"/>
        <v>53.947912499999994</v>
      </c>
      <c r="T32" s="80" t="str">
        <f t="shared" si="5"/>
        <v>--</v>
      </c>
      <c r="U32" s="81" t="str">
        <f t="shared" si="6"/>
        <v>--</v>
      </c>
      <c r="V32" s="82" t="str">
        <f t="shared" si="7"/>
        <v>--</v>
      </c>
      <c r="W32" s="83" t="str">
        <f t="shared" si="8"/>
        <v>--</v>
      </c>
      <c r="X32" s="84" t="str">
        <f t="shared" si="9"/>
        <v>--</v>
      </c>
      <c r="Y32" s="85" t="str">
        <f t="shared" si="10"/>
        <v>--</v>
      </c>
      <c r="Z32" s="86" t="str">
        <f t="shared" si="11"/>
        <v>--</v>
      </c>
      <c r="AA32" s="87" t="str">
        <f t="shared" si="12"/>
        <v>--</v>
      </c>
      <c r="AB32" s="88" t="str">
        <f t="shared" si="13"/>
        <v>--</v>
      </c>
      <c r="AC32" s="370" t="s">
        <v>138</v>
      </c>
      <c r="AD32" s="214">
        <f t="shared" si="14"/>
        <v>53.947912499999994</v>
      </c>
      <c r="AE32" s="162"/>
    </row>
    <row r="33" spans="2:31" ht="16.5" customHeight="1">
      <c r="B33" s="161"/>
      <c r="C33" s="376">
        <v>32</v>
      </c>
      <c r="D33" s="376">
        <v>273539</v>
      </c>
      <c r="E33" s="376">
        <v>1965</v>
      </c>
      <c r="F33" s="377" t="s">
        <v>163</v>
      </c>
      <c r="G33" s="378">
        <v>553</v>
      </c>
      <c r="H33" s="377" t="s">
        <v>151</v>
      </c>
      <c r="I33" s="378">
        <v>100</v>
      </c>
      <c r="J33" s="378">
        <v>132</v>
      </c>
      <c r="K33" s="378">
        <v>20.399999618530273</v>
      </c>
      <c r="L33" s="201">
        <f t="shared" si="0"/>
        <v>12.46175</v>
      </c>
      <c r="M33" s="454">
        <v>41722.05</v>
      </c>
      <c r="N33" s="454">
        <v>41722.592361111114</v>
      </c>
      <c r="O33" s="75">
        <f t="shared" si="1"/>
        <v>13.016666666662786</v>
      </c>
      <c r="P33" s="76">
        <f t="shared" si="2"/>
        <v>781</v>
      </c>
      <c r="Q33" s="77" t="s">
        <v>144</v>
      </c>
      <c r="R33" s="78" t="str">
        <f t="shared" si="3"/>
        <v>--</v>
      </c>
      <c r="S33" s="79" t="str">
        <f t="shared" si="4"/>
        <v>--</v>
      </c>
      <c r="T33" s="80" t="str">
        <f t="shared" si="5"/>
        <v>--</v>
      </c>
      <c r="U33" s="81">
        <f t="shared" si="6"/>
        <v>747.705</v>
      </c>
      <c r="V33" s="82">
        <f t="shared" si="7"/>
        <v>2243.115</v>
      </c>
      <c r="W33" s="83">
        <f t="shared" si="8"/>
        <v>749.2004099999999</v>
      </c>
      <c r="X33" s="84" t="str">
        <f t="shared" si="9"/>
        <v>--</v>
      </c>
      <c r="Y33" s="85" t="str">
        <f t="shared" si="10"/>
        <v>--</v>
      </c>
      <c r="Z33" s="86" t="str">
        <f t="shared" si="11"/>
        <v>--</v>
      </c>
      <c r="AA33" s="87" t="str">
        <f t="shared" si="12"/>
        <v>--</v>
      </c>
      <c r="AB33" s="88" t="str">
        <f t="shared" si="13"/>
        <v>--</v>
      </c>
      <c r="AC33" s="370" t="s">
        <v>138</v>
      </c>
      <c r="AD33" s="214">
        <f t="shared" si="14"/>
        <v>3740.0204099999996</v>
      </c>
      <c r="AE33" s="162"/>
    </row>
    <row r="34" spans="2:31" ht="16.5" customHeight="1">
      <c r="B34" s="161"/>
      <c r="C34" s="376">
        <v>33</v>
      </c>
      <c r="D34" s="376">
        <v>273540</v>
      </c>
      <c r="E34" s="376">
        <v>1153</v>
      </c>
      <c r="F34" s="377" t="s">
        <v>164</v>
      </c>
      <c r="G34" s="378">
        <v>59</v>
      </c>
      <c r="H34" s="377" t="s">
        <v>151</v>
      </c>
      <c r="I34" s="378">
        <v>100</v>
      </c>
      <c r="J34" s="378">
        <v>220</v>
      </c>
      <c r="K34" s="378">
        <v>16.299999237060547</v>
      </c>
      <c r="L34" s="201">
        <f t="shared" si="0"/>
        <v>13.0415</v>
      </c>
      <c r="M34" s="454">
        <v>41723.345138888886</v>
      </c>
      <c r="N34" s="454">
        <v>41723.677777777775</v>
      </c>
      <c r="O34" s="75">
        <f t="shared" si="1"/>
        <v>7.983333333337214</v>
      </c>
      <c r="P34" s="76">
        <f t="shared" si="2"/>
        <v>479</v>
      </c>
      <c r="Q34" s="77" t="s">
        <v>137</v>
      </c>
      <c r="R34" s="78" t="str">
        <f t="shared" si="3"/>
        <v>--</v>
      </c>
      <c r="S34" s="79">
        <f t="shared" si="4"/>
        <v>62.442702000000004</v>
      </c>
      <c r="T34" s="80" t="str">
        <f t="shared" si="5"/>
        <v>--</v>
      </c>
      <c r="U34" s="81" t="str">
        <f t="shared" si="6"/>
        <v>--</v>
      </c>
      <c r="V34" s="82" t="str">
        <f t="shared" si="7"/>
        <v>--</v>
      </c>
      <c r="W34" s="83" t="str">
        <f t="shared" si="8"/>
        <v>--</v>
      </c>
      <c r="X34" s="84" t="str">
        <f t="shared" si="9"/>
        <v>--</v>
      </c>
      <c r="Y34" s="85" t="str">
        <f t="shared" si="10"/>
        <v>--</v>
      </c>
      <c r="Z34" s="86" t="str">
        <f t="shared" si="11"/>
        <v>--</v>
      </c>
      <c r="AA34" s="87" t="str">
        <f t="shared" si="12"/>
        <v>--</v>
      </c>
      <c r="AB34" s="88" t="str">
        <f t="shared" si="13"/>
        <v>--</v>
      </c>
      <c r="AC34" s="370" t="s">
        <v>138</v>
      </c>
      <c r="AD34" s="214">
        <f t="shared" si="14"/>
        <v>62.442702000000004</v>
      </c>
      <c r="AE34" s="162"/>
    </row>
    <row r="35" spans="2:31" ht="16.5" customHeight="1">
      <c r="B35" s="161"/>
      <c r="C35" s="376">
        <v>34</v>
      </c>
      <c r="D35" s="376">
        <v>273542</v>
      </c>
      <c r="E35" s="376">
        <v>4522</v>
      </c>
      <c r="F35" s="377" t="s">
        <v>149</v>
      </c>
      <c r="G35" s="378">
        <v>451</v>
      </c>
      <c r="H35" s="377" t="s">
        <v>135</v>
      </c>
      <c r="I35" s="378" t="s">
        <v>136</v>
      </c>
      <c r="J35" s="378">
        <v>132</v>
      </c>
      <c r="K35" s="378">
        <v>2.4000000953674316</v>
      </c>
      <c r="L35" s="201">
        <f t="shared" si="0"/>
        <v>24.63375</v>
      </c>
      <c r="M35" s="454">
        <v>41724.32638888889</v>
      </c>
      <c r="N35" s="454">
        <v>41724.354166666664</v>
      </c>
      <c r="O35" s="75">
        <f t="shared" si="1"/>
        <v>0.6666666665696539</v>
      </c>
      <c r="P35" s="76">
        <f t="shared" si="2"/>
        <v>40</v>
      </c>
      <c r="Q35" s="77" t="s">
        <v>137</v>
      </c>
      <c r="R35" s="78" t="str">
        <f t="shared" si="3"/>
        <v>--</v>
      </c>
      <c r="S35" s="79">
        <f t="shared" si="4"/>
        <v>9.9027675</v>
      </c>
      <c r="T35" s="80" t="str">
        <f t="shared" si="5"/>
        <v>--</v>
      </c>
      <c r="U35" s="81" t="str">
        <f t="shared" si="6"/>
        <v>--</v>
      </c>
      <c r="V35" s="82" t="str">
        <f t="shared" si="7"/>
        <v>--</v>
      </c>
      <c r="W35" s="83" t="str">
        <f t="shared" si="8"/>
        <v>--</v>
      </c>
      <c r="X35" s="84" t="str">
        <f t="shared" si="9"/>
        <v>--</v>
      </c>
      <c r="Y35" s="85" t="str">
        <f t="shared" si="10"/>
        <v>--</v>
      </c>
      <c r="Z35" s="86" t="str">
        <f t="shared" si="11"/>
        <v>--</v>
      </c>
      <c r="AA35" s="87" t="str">
        <f t="shared" si="12"/>
        <v>--</v>
      </c>
      <c r="AB35" s="88" t="str">
        <f t="shared" si="13"/>
        <v>--</v>
      </c>
      <c r="AC35" s="370" t="s">
        <v>138</v>
      </c>
      <c r="AD35" s="214">
        <f t="shared" si="14"/>
        <v>9.9027675</v>
      </c>
      <c r="AE35" s="162"/>
    </row>
    <row r="36" spans="2:31" ht="16.5" customHeight="1">
      <c r="B36" s="161"/>
      <c r="C36" s="376">
        <v>35</v>
      </c>
      <c r="D36" s="376">
        <v>273543</v>
      </c>
      <c r="E36" s="376">
        <v>1974</v>
      </c>
      <c r="F36" s="377" t="s">
        <v>162</v>
      </c>
      <c r="G36" s="378">
        <v>649</v>
      </c>
      <c r="H36" s="377" t="s">
        <v>135</v>
      </c>
      <c r="I36" s="378" t="s">
        <v>136</v>
      </c>
      <c r="J36" s="378">
        <v>132</v>
      </c>
      <c r="K36" s="378">
        <v>10.300000190734863</v>
      </c>
      <c r="L36" s="201">
        <f t="shared" si="0"/>
        <v>24.63375</v>
      </c>
      <c r="M36" s="454">
        <v>41725.34305555555</v>
      </c>
      <c r="N36" s="454">
        <v>41725.625</v>
      </c>
      <c r="O36" s="75">
        <f t="shared" si="1"/>
        <v>6.766666666720994</v>
      </c>
      <c r="P36" s="76">
        <f t="shared" si="2"/>
        <v>406</v>
      </c>
      <c r="Q36" s="77" t="s">
        <v>137</v>
      </c>
      <c r="R36" s="78" t="str">
        <f t="shared" si="3"/>
        <v>--</v>
      </c>
      <c r="S36" s="79">
        <f t="shared" si="4"/>
        <v>100.06229249999998</v>
      </c>
      <c r="T36" s="80" t="str">
        <f t="shared" si="5"/>
        <v>--</v>
      </c>
      <c r="U36" s="81" t="str">
        <f t="shared" si="6"/>
        <v>--</v>
      </c>
      <c r="V36" s="82" t="str">
        <f t="shared" si="7"/>
        <v>--</v>
      </c>
      <c r="W36" s="83" t="str">
        <f t="shared" si="8"/>
        <v>--</v>
      </c>
      <c r="X36" s="84" t="str">
        <f t="shared" si="9"/>
        <v>--</v>
      </c>
      <c r="Y36" s="85" t="str">
        <f t="shared" si="10"/>
        <v>--</v>
      </c>
      <c r="Z36" s="86" t="str">
        <f t="shared" si="11"/>
        <v>--</v>
      </c>
      <c r="AA36" s="87" t="str">
        <f t="shared" si="12"/>
        <v>--</v>
      </c>
      <c r="AB36" s="88" t="str">
        <f t="shared" si="13"/>
        <v>--</v>
      </c>
      <c r="AC36" s="370" t="s">
        <v>138</v>
      </c>
      <c r="AD36" s="214">
        <f t="shared" si="14"/>
        <v>100.06229249999998</v>
      </c>
      <c r="AE36" s="162"/>
    </row>
    <row r="37" spans="2:31" ht="16.5" customHeight="1">
      <c r="B37" s="161"/>
      <c r="C37" s="376">
        <v>36</v>
      </c>
      <c r="D37" s="376">
        <v>273544</v>
      </c>
      <c r="E37" s="376">
        <v>1141</v>
      </c>
      <c r="F37" s="377" t="s">
        <v>165</v>
      </c>
      <c r="G37" s="378">
        <v>34</v>
      </c>
      <c r="H37" s="377" t="s">
        <v>151</v>
      </c>
      <c r="I37" s="378">
        <v>100</v>
      </c>
      <c r="J37" s="378">
        <v>220</v>
      </c>
      <c r="K37" s="378">
        <v>36.599998474121094</v>
      </c>
      <c r="L37" s="201">
        <f t="shared" si="0"/>
        <v>19.092755204010007</v>
      </c>
      <c r="M37" s="454">
        <v>41727.29861111111</v>
      </c>
      <c r="N37" s="454">
        <v>41727.775</v>
      </c>
      <c r="O37" s="75">
        <f t="shared" si="1"/>
        <v>11.433333333407063</v>
      </c>
      <c r="P37" s="76">
        <f t="shared" si="2"/>
        <v>686</v>
      </c>
      <c r="Q37" s="77" t="s">
        <v>137</v>
      </c>
      <c r="R37" s="78" t="str">
        <f t="shared" si="3"/>
        <v>--</v>
      </c>
      <c r="S37" s="79">
        <f t="shared" si="4"/>
        <v>130.93811518910064</v>
      </c>
      <c r="T37" s="80" t="str">
        <f t="shared" si="5"/>
        <v>--</v>
      </c>
      <c r="U37" s="81" t="str">
        <f t="shared" si="6"/>
        <v>--</v>
      </c>
      <c r="V37" s="82" t="str">
        <f t="shared" si="7"/>
        <v>--</v>
      </c>
      <c r="W37" s="83" t="str">
        <f t="shared" si="8"/>
        <v>--</v>
      </c>
      <c r="X37" s="84" t="str">
        <f t="shared" si="9"/>
        <v>--</v>
      </c>
      <c r="Y37" s="85" t="str">
        <f t="shared" si="10"/>
        <v>--</v>
      </c>
      <c r="Z37" s="86" t="str">
        <f t="shared" si="11"/>
        <v>--</v>
      </c>
      <c r="AA37" s="87" t="str">
        <f t="shared" si="12"/>
        <v>--</v>
      </c>
      <c r="AB37" s="88" t="str">
        <f t="shared" si="13"/>
        <v>--</v>
      </c>
      <c r="AC37" s="370" t="s">
        <v>138</v>
      </c>
      <c r="AD37" s="214">
        <f t="shared" si="14"/>
        <v>130.93811518910064</v>
      </c>
      <c r="AE37" s="162"/>
    </row>
    <row r="38" spans="2:31" ht="16.5" customHeight="1">
      <c r="B38" s="215"/>
      <c r="C38" s="376">
        <v>37</v>
      </c>
      <c r="D38" s="376">
        <v>273545</v>
      </c>
      <c r="E38" s="376">
        <v>1194</v>
      </c>
      <c r="F38" s="377" t="s">
        <v>154</v>
      </c>
      <c r="G38" s="378">
        <v>555</v>
      </c>
      <c r="H38" s="377" t="s">
        <v>135</v>
      </c>
      <c r="I38" s="378" t="s">
        <v>136</v>
      </c>
      <c r="J38" s="378">
        <v>132</v>
      </c>
      <c r="K38" s="378">
        <v>4.800000190734863</v>
      </c>
      <c r="L38" s="201">
        <f t="shared" si="0"/>
        <v>24.63375</v>
      </c>
      <c r="M38" s="454">
        <v>41727.31597222222</v>
      </c>
      <c r="N38" s="454">
        <v>41727.67083333333</v>
      </c>
      <c r="O38" s="75">
        <f t="shared" si="1"/>
        <v>8.516666666662786</v>
      </c>
      <c r="P38" s="76">
        <f t="shared" si="2"/>
        <v>511</v>
      </c>
      <c r="Q38" s="77" t="s">
        <v>137</v>
      </c>
      <c r="R38" s="78" t="str">
        <f t="shared" si="3"/>
        <v>--</v>
      </c>
      <c r="S38" s="79">
        <f t="shared" si="4"/>
        <v>125.92773</v>
      </c>
      <c r="T38" s="80" t="str">
        <f t="shared" si="5"/>
        <v>--</v>
      </c>
      <c r="U38" s="81" t="str">
        <f t="shared" si="6"/>
        <v>--</v>
      </c>
      <c r="V38" s="82" t="str">
        <f t="shared" si="7"/>
        <v>--</v>
      </c>
      <c r="W38" s="83" t="str">
        <f t="shared" si="8"/>
        <v>--</v>
      </c>
      <c r="X38" s="84" t="str">
        <f t="shared" si="9"/>
        <v>--</v>
      </c>
      <c r="Y38" s="85" t="str">
        <f t="shared" si="10"/>
        <v>--</v>
      </c>
      <c r="Z38" s="86" t="str">
        <f t="shared" si="11"/>
        <v>--</v>
      </c>
      <c r="AA38" s="87" t="str">
        <f t="shared" si="12"/>
        <v>--</v>
      </c>
      <c r="AB38" s="88" t="str">
        <f t="shared" si="13"/>
        <v>--</v>
      </c>
      <c r="AC38" s="370" t="s">
        <v>138</v>
      </c>
      <c r="AD38" s="214">
        <f t="shared" si="14"/>
        <v>125.92773</v>
      </c>
      <c r="AE38" s="162"/>
    </row>
    <row r="39" spans="2:31" ht="16.5" customHeight="1">
      <c r="B39" s="215"/>
      <c r="C39" s="376">
        <v>38</v>
      </c>
      <c r="D39" s="376">
        <v>273546</v>
      </c>
      <c r="E39" s="376">
        <v>1228</v>
      </c>
      <c r="F39" s="377" t="s">
        <v>166</v>
      </c>
      <c r="G39" s="378">
        <v>462</v>
      </c>
      <c r="H39" s="377" t="s">
        <v>135</v>
      </c>
      <c r="I39" s="378" t="s">
        <v>136</v>
      </c>
      <c r="J39" s="378">
        <v>132</v>
      </c>
      <c r="K39" s="378">
        <v>2.4000000953674316</v>
      </c>
      <c r="L39" s="201">
        <f t="shared" si="0"/>
        <v>24.63375</v>
      </c>
      <c r="M39" s="454">
        <v>41727.31875</v>
      </c>
      <c r="N39" s="454">
        <v>41727.79027777778</v>
      </c>
      <c r="O39" s="75">
        <f t="shared" si="1"/>
        <v>11.316666666709352</v>
      </c>
      <c r="P39" s="76">
        <f t="shared" si="2"/>
        <v>679</v>
      </c>
      <c r="Q39" s="77" t="s">
        <v>137</v>
      </c>
      <c r="R39" s="78" t="str">
        <f t="shared" si="3"/>
        <v>--</v>
      </c>
      <c r="S39" s="79">
        <f t="shared" si="4"/>
        <v>167.31242999999998</v>
      </c>
      <c r="T39" s="80" t="str">
        <f t="shared" si="5"/>
        <v>--</v>
      </c>
      <c r="U39" s="81" t="str">
        <f t="shared" si="6"/>
        <v>--</v>
      </c>
      <c r="V39" s="82" t="str">
        <f t="shared" si="7"/>
        <v>--</v>
      </c>
      <c r="W39" s="83" t="str">
        <f t="shared" si="8"/>
        <v>--</v>
      </c>
      <c r="X39" s="84" t="str">
        <f t="shared" si="9"/>
        <v>--</v>
      </c>
      <c r="Y39" s="85" t="str">
        <f t="shared" si="10"/>
        <v>--</v>
      </c>
      <c r="Z39" s="86" t="str">
        <f t="shared" si="11"/>
        <v>--</v>
      </c>
      <c r="AA39" s="87" t="str">
        <f t="shared" si="12"/>
        <v>--</v>
      </c>
      <c r="AB39" s="88" t="str">
        <f t="shared" si="13"/>
        <v>--</v>
      </c>
      <c r="AC39" s="370" t="s">
        <v>138</v>
      </c>
      <c r="AD39" s="214">
        <f t="shared" si="14"/>
        <v>167.31242999999998</v>
      </c>
      <c r="AE39" s="162"/>
    </row>
    <row r="40" spans="2:31" ht="16.5" customHeight="1">
      <c r="B40" s="215"/>
      <c r="C40" s="376"/>
      <c r="D40" s="376"/>
      <c r="E40" s="376"/>
      <c r="F40" s="377"/>
      <c r="G40" s="378"/>
      <c r="H40" s="377"/>
      <c r="I40" s="378"/>
      <c r="J40" s="378"/>
      <c r="K40" s="383"/>
      <c r="L40" s="201">
        <f t="shared" si="0"/>
        <v>24.63375</v>
      </c>
      <c r="M40" s="454"/>
      <c r="N40" s="454"/>
      <c r="O40" s="75">
        <f t="shared" si="1"/>
      </c>
      <c r="P40" s="76">
        <f t="shared" si="2"/>
      </c>
      <c r="Q40" s="77"/>
      <c r="R40" s="78">
        <f t="shared" si="3"/>
      </c>
      <c r="S40" s="79" t="str">
        <f t="shared" si="4"/>
        <v>--</v>
      </c>
      <c r="T40" s="80" t="str">
        <f t="shared" si="5"/>
        <v>--</v>
      </c>
      <c r="U40" s="81" t="str">
        <f t="shared" si="6"/>
        <v>--</v>
      </c>
      <c r="V40" s="82" t="str">
        <f t="shared" si="7"/>
        <v>--</v>
      </c>
      <c r="W40" s="83" t="str">
        <f t="shared" si="8"/>
        <v>--</v>
      </c>
      <c r="X40" s="84" t="str">
        <f t="shared" si="9"/>
        <v>--</v>
      </c>
      <c r="Y40" s="85" t="str">
        <f t="shared" si="10"/>
        <v>--</v>
      </c>
      <c r="Z40" s="86" t="str">
        <f t="shared" si="11"/>
        <v>--</v>
      </c>
      <c r="AA40" s="87" t="str">
        <f t="shared" si="12"/>
        <v>--</v>
      </c>
      <c r="AB40" s="88" t="str">
        <f t="shared" si="13"/>
        <v>--</v>
      </c>
      <c r="AC40" s="370" t="str">
        <f>IF(F40=""," ","SI")</f>
        <v> </v>
      </c>
      <c r="AD40" s="214">
        <f t="shared" si="14"/>
      </c>
      <c r="AE40" s="162"/>
    </row>
    <row r="41" spans="2:31" ht="16.5" customHeight="1" thickBot="1">
      <c r="B41" s="161"/>
      <c r="C41" s="379"/>
      <c r="D41" s="379"/>
      <c r="E41" s="379"/>
      <c r="F41" s="380"/>
      <c r="G41" s="380"/>
      <c r="H41" s="380"/>
      <c r="I41" s="381"/>
      <c r="J41" s="382"/>
      <c r="K41" s="384"/>
      <c r="L41" s="89"/>
      <c r="M41" s="425"/>
      <c r="N41" s="425"/>
      <c r="O41" s="90"/>
      <c r="P41" s="90"/>
      <c r="Q41" s="385"/>
      <c r="R41" s="386"/>
      <c r="S41" s="387"/>
      <c r="T41" s="388"/>
      <c r="U41" s="389"/>
      <c r="V41" s="390"/>
      <c r="W41" s="391"/>
      <c r="X41" s="392"/>
      <c r="Y41" s="393"/>
      <c r="Z41" s="394"/>
      <c r="AA41" s="395"/>
      <c r="AB41" s="396"/>
      <c r="AC41" s="397"/>
      <c r="AD41" s="216"/>
      <c r="AE41" s="162"/>
    </row>
    <row r="42" spans="2:31" ht="16.5" customHeight="1" thickBot="1" thickTop="1">
      <c r="B42" s="161"/>
      <c r="C42" s="217" t="s">
        <v>34</v>
      </c>
      <c r="D42" s="456" t="s">
        <v>181</v>
      </c>
      <c r="E42" s="98"/>
      <c r="F42" s="91"/>
      <c r="G42" s="60"/>
      <c r="H42" s="60"/>
      <c r="I42" s="60"/>
      <c r="J42" s="60"/>
      <c r="K42" s="61"/>
      <c r="L42" s="92"/>
      <c r="M42" s="92"/>
      <c r="N42" s="92"/>
      <c r="O42" s="92"/>
      <c r="P42" s="92"/>
      <c r="Q42" s="93"/>
      <c r="R42" s="94"/>
      <c r="S42" s="218">
        <f aca="true" t="shared" si="15" ref="S42:AB42">SUM(S21:S41)</f>
        <v>1128.578002922875</v>
      </c>
      <c r="T42" s="219">
        <f t="shared" si="15"/>
        <v>0</v>
      </c>
      <c r="U42" s="95">
        <f t="shared" si="15"/>
        <v>5964.2699999999995</v>
      </c>
      <c r="V42" s="95">
        <f t="shared" si="15"/>
        <v>17892.81</v>
      </c>
      <c r="W42" s="220">
        <f t="shared" si="15"/>
        <v>5171.105804999999</v>
      </c>
      <c r="X42" s="96">
        <f t="shared" si="15"/>
        <v>0</v>
      </c>
      <c r="Y42" s="96">
        <f t="shared" si="15"/>
        <v>0</v>
      </c>
      <c r="Z42" s="221">
        <f t="shared" si="15"/>
        <v>0</v>
      </c>
      <c r="AA42" s="222">
        <f t="shared" si="15"/>
        <v>0</v>
      </c>
      <c r="AB42" s="223">
        <f t="shared" si="15"/>
        <v>0</v>
      </c>
      <c r="AC42" s="224"/>
      <c r="AD42" s="225">
        <f>SUM(AD21:AD41)</f>
        <v>342584.4072391208</v>
      </c>
      <c r="AE42" s="226"/>
    </row>
    <row r="43" spans="2:31" s="233" customFormat="1" ht="9.75" thickTop="1">
      <c r="B43" s="227"/>
      <c r="C43" s="228"/>
      <c r="D43" s="228"/>
      <c r="E43" s="228"/>
      <c r="F43" s="97"/>
      <c r="G43" s="98"/>
      <c r="H43" s="98"/>
      <c r="I43" s="98"/>
      <c r="J43" s="98"/>
      <c r="K43" s="99"/>
      <c r="L43" s="100"/>
      <c r="M43" s="100"/>
      <c r="N43" s="100"/>
      <c r="O43" s="100"/>
      <c r="P43" s="100"/>
      <c r="Q43" s="100"/>
      <c r="R43" s="101"/>
      <c r="S43" s="229"/>
      <c r="T43" s="229"/>
      <c r="U43" s="102"/>
      <c r="V43" s="102"/>
      <c r="W43" s="230"/>
      <c r="X43" s="230"/>
      <c r="Y43" s="230"/>
      <c r="Z43" s="230"/>
      <c r="AA43" s="230"/>
      <c r="AB43" s="230"/>
      <c r="AC43" s="230"/>
      <c r="AD43" s="231"/>
      <c r="AE43" s="232"/>
    </row>
    <row r="44" spans="2:31" ht="16.5" customHeight="1" thickBot="1">
      <c r="B44" s="234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5"/>
      <c r="AE44" s="236"/>
    </row>
    <row r="45" ht="13.5" thickTop="1"/>
  </sheetData>
  <sheetProtection/>
  <conditionalFormatting sqref="AC23:AC40">
    <cfRule type="cellIs" priority="5" dxfId="0" operator="equal" stopIfTrue="1">
      <formula>"SI"</formula>
    </cfRule>
    <cfRule type="cellIs" priority="6" dxfId="0" operator="equal" stopIfTrue="1">
      <formula>"NO"</formula>
    </cfRule>
    <cfRule type="cellIs" priority="7" dxfId="0" operator="equal" stopIfTrue="1">
      <formula>" "</formula>
    </cfRule>
  </conditionalFormatting>
  <conditionalFormatting sqref="O23:O40">
    <cfRule type="cellIs" priority="4" dxfId="3" operator="lessThanOrEqual" stopIfTrue="1">
      <formula>0</formula>
    </cfRule>
  </conditionalFormatting>
  <conditionalFormatting sqref="M23:N40">
    <cfRule type="expression" priority="1" dxfId="1" stopIfTrue="1">
      <formula>MONTH(M23)&lt;&gt;$L$21</formula>
    </cfRule>
    <cfRule type="expression" priority="2" dxfId="1" stopIfTrue="1">
      <formula>YEAR(M23)&lt;&gt;$L$22</formula>
    </cfRule>
    <cfRule type="expression" priority="3" dxfId="0" stopIfTrue="1">
      <formula>""""""</formula>
    </cfRule>
  </conditionalFormatting>
  <printOptions horizontalCentered="1" vertic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5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12">
    <pageSetUpPr fitToPage="1"/>
  </sheetPr>
  <dimension ref="A1:AD46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19.421875" style="148" customWidth="1"/>
    <col min="2" max="2" width="4.00390625" style="148" customWidth="1"/>
    <col min="3" max="3" width="4.7109375" style="148" customWidth="1"/>
    <col min="4" max="5" width="13.8515625" style="148" customWidth="1"/>
    <col min="6" max="6" width="25.7109375" style="148" customWidth="1"/>
    <col min="7" max="7" width="22.7109375" style="148" customWidth="1"/>
    <col min="8" max="8" width="9.7109375" style="148" customWidth="1"/>
    <col min="9" max="9" width="13.7109375" style="148" customWidth="1"/>
    <col min="10" max="10" width="13.421875" style="148" hidden="1" customWidth="1"/>
    <col min="11" max="11" width="16.28125" style="148" customWidth="1"/>
    <col min="12" max="12" width="16.421875" style="148" customWidth="1"/>
    <col min="13" max="15" width="9.7109375" style="148" customWidth="1"/>
    <col min="16" max="18" width="7.7109375" style="148" customWidth="1"/>
    <col min="19" max="19" width="13.8515625" style="148" hidden="1" customWidth="1"/>
    <col min="20" max="21" width="15.00390625" style="148" hidden="1" customWidth="1"/>
    <col min="22" max="22" width="16.8515625" style="148" hidden="1" customWidth="1"/>
    <col min="23" max="27" width="16.421875" style="148" hidden="1" customWidth="1"/>
    <col min="28" max="28" width="9.7109375" style="148" customWidth="1"/>
    <col min="29" max="29" width="15.7109375" style="148" customWidth="1"/>
    <col min="30" max="30" width="4.00390625" style="148" customWidth="1"/>
    <col min="31" max="16384" width="11.421875" style="148" customWidth="1"/>
  </cols>
  <sheetData>
    <row r="1" spans="2:30" ht="16.5" customHeight="1"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8"/>
    </row>
    <row r="2" spans="2:30" ht="16.5" customHeight="1">
      <c r="B2" s="237" t="s">
        <v>193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</row>
    <row r="3" spans="2:30" ht="16.5" customHeight="1"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</row>
    <row r="4" spans="2:30" s="150" customFormat="1" ht="26.25">
      <c r="B4" s="151" t="str">
        <f>+'TOT-0314'!B2</f>
        <v>ANEXO III a la Resolución AAANR N°  179 / 2016</v>
      </c>
      <c r="C4" s="239"/>
      <c r="D4" s="239"/>
      <c r="E4" s="239"/>
      <c r="F4" s="239"/>
      <c r="G4" s="152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</row>
    <row r="5" spans="1:30" s="153" customFormat="1" ht="11.25">
      <c r="A5" s="103" t="s">
        <v>2</v>
      </c>
      <c r="B5" s="240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</row>
    <row r="6" spans="1:30" s="153" customFormat="1" ht="11.25">
      <c r="A6" s="103" t="s">
        <v>3</v>
      </c>
      <c r="B6" s="240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</row>
    <row r="7" spans="2:30" ht="16.5" customHeight="1" thickBot="1">
      <c r="B7" s="237"/>
      <c r="C7" s="237"/>
      <c r="D7" s="237"/>
      <c r="E7" s="237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</row>
    <row r="8" spans="2:30" ht="16.5" customHeight="1" thickTop="1">
      <c r="B8" s="243"/>
      <c r="C8" s="244"/>
      <c r="D8" s="244"/>
      <c r="E8" s="244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6"/>
    </row>
    <row r="9" spans="2:30" s="157" customFormat="1" ht="20.25">
      <c r="B9" s="247"/>
      <c r="C9" s="104"/>
      <c r="D9" s="104"/>
      <c r="E9" s="104"/>
      <c r="F9" s="159" t="str">
        <f>CONCATENATE("FUNCIÓN TÉCNICA DE TRANSPORTE DE ENERGÍA ELÉCTRICA - ",'TOT-0314'!B9)</f>
        <v>FUNCIÓN TÉCNICA DE TRANSPORTE DE ENERGÍA ELÉCTRICA - EDESUR S.A.</v>
      </c>
      <c r="H9" s="104"/>
      <c r="I9" s="248"/>
      <c r="J9" s="248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249"/>
    </row>
    <row r="10" spans="2:30" ht="16.5" customHeight="1">
      <c r="B10" s="250"/>
      <c r="C10" s="251"/>
      <c r="D10" s="251"/>
      <c r="E10" s="251"/>
      <c r="F10" s="252"/>
      <c r="G10" s="252"/>
      <c r="H10" s="252"/>
      <c r="I10" s="237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3"/>
    </row>
    <row r="11" spans="2:30" s="157" customFormat="1" ht="20.25">
      <c r="B11" s="247"/>
      <c r="C11" s="104"/>
      <c r="D11" s="104"/>
      <c r="E11" s="104"/>
      <c r="F11" s="254" t="s">
        <v>55</v>
      </c>
      <c r="G11" s="104"/>
      <c r="H11" s="104"/>
      <c r="I11" s="248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249"/>
    </row>
    <row r="12" spans="2:30" ht="16.5" customHeight="1">
      <c r="B12" s="250"/>
      <c r="C12" s="251"/>
      <c r="D12" s="251"/>
      <c r="E12" s="251"/>
      <c r="F12" s="255"/>
      <c r="G12" s="104"/>
      <c r="H12" s="104"/>
      <c r="I12" s="248"/>
      <c r="J12" s="104"/>
      <c r="K12" s="104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3"/>
    </row>
    <row r="13" spans="2:30" s="157" customFormat="1" ht="20.25">
      <c r="B13" s="247"/>
      <c r="C13" s="104"/>
      <c r="D13" s="104"/>
      <c r="E13" s="104"/>
      <c r="F13" s="256" t="s">
        <v>56</v>
      </c>
      <c r="G13" s="254"/>
      <c r="H13" s="248"/>
      <c r="I13" s="248"/>
      <c r="J13" s="104"/>
      <c r="K13" s="104"/>
      <c r="L13" s="248"/>
      <c r="M13" s="248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249"/>
    </row>
    <row r="14" spans="2:30" ht="16.5" customHeight="1">
      <c r="B14" s="250"/>
      <c r="C14" s="251"/>
      <c r="D14" s="251"/>
      <c r="E14" s="251"/>
      <c r="F14" s="105"/>
      <c r="G14" s="105"/>
      <c r="H14" s="105"/>
      <c r="I14" s="106"/>
      <c r="J14" s="104"/>
      <c r="K14" s="104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3"/>
    </row>
    <row r="15" spans="2:30" s="166" customFormat="1" ht="19.5">
      <c r="B15" s="257" t="str">
        <f>+'TOT-0314'!B14</f>
        <v>Desde el 01 al 31 de marzo de 2014</v>
      </c>
      <c r="C15" s="168"/>
      <c r="D15" s="168"/>
      <c r="E15" s="168"/>
      <c r="F15" s="107"/>
      <c r="G15" s="107"/>
      <c r="H15" s="107"/>
      <c r="I15" s="108"/>
      <c r="J15" s="107"/>
      <c r="K15" s="170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258"/>
    </row>
    <row r="16" spans="2:30" ht="16.5" customHeight="1" thickBot="1">
      <c r="B16" s="250"/>
      <c r="C16" s="251"/>
      <c r="D16" s="251"/>
      <c r="E16" s="251"/>
      <c r="F16" s="252"/>
      <c r="G16" s="252"/>
      <c r="H16" s="252"/>
      <c r="I16" s="113"/>
      <c r="J16" s="252"/>
      <c r="K16" s="259"/>
      <c r="L16" s="259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3"/>
    </row>
    <row r="17" spans="2:30" ht="16.5" customHeight="1" thickBot="1" thickTop="1">
      <c r="B17" s="250"/>
      <c r="C17" s="251"/>
      <c r="D17" s="251"/>
      <c r="E17" s="251"/>
      <c r="F17" s="109" t="s">
        <v>57</v>
      </c>
      <c r="G17" s="110"/>
      <c r="H17" s="260"/>
      <c r="I17" s="261">
        <v>0.174</v>
      </c>
      <c r="J17" s="237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3"/>
    </row>
    <row r="18" spans="2:30" ht="16.5" customHeight="1" thickBot="1" thickTop="1">
      <c r="B18" s="250"/>
      <c r="C18" s="251"/>
      <c r="D18" s="251"/>
      <c r="E18" s="251"/>
      <c r="F18" s="111" t="s">
        <v>58</v>
      </c>
      <c r="G18" s="112"/>
      <c r="H18" s="112"/>
      <c r="I18" s="262">
        <f>30*'TOT-0314'!B13</f>
        <v>60</v>
      </c>
      <c r="J18" s="252"/>
      <c r="K18" s="69" t="str">
        <f>IF(I18=30," ",IF(I18=60,"    Coeficiente duplicado por tasa de falla &gt;4 Sal. x año/100 km.","    REVISAR COEFICIENTE"))</f>
        <v>    Coeficiente duplicado por tasa de falla &gt;4 Sal. x año/100 km.</v>
      </c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63"/>
      <c r="X18" s="263"/>
      <c r="Y18" s="263"/>
      <c r="Z18" s="263"/>
      <c r="AA18" s="263"/>
      <c r="AB18" s="263"/>
      <c r="AC18" s="263"/>
      <c r="AD18" s="253"/>
    </row>
    <row r="19" spans="2:30" ht="16.5" customHeight="1" thickBot="1" thickTop="1">
      <c r="B19" s="250"/>
      <c r="C19" s="451">
        <v>3</v>
      </c>
      <c r="D19" s="451">
        <v>4</v>
      </c>
      <c r="E19" s="451">
        <v>5</v>
      </c>
      <c r="F19" s="451">
        <v>6</v>
      </c>
      <c r="G19" s="451">
        <v>7</v>
      </c>
      <c r="H19" s="451">
        <v>8</v>
      </c>
      <c r="I19" s="451">
        <v>9</v>
      </c>
      <c r="J19" s="451">
        <v>10</v>
      </c>
      <c r="K19" s="451">
        <v>11</v>
      </c>
      <c r="L19" s="451">
        <v>12</v>
      </c>
      <c r="M19" s="451">
        <v>13</v>
      </c>
      <c r="N19" s="451">
        <v>14</v>
      </c>
      <c r="O19" s="451">
        <v>15</v>
      </c>
      <c r="P19" s="451">
        <v>16</v>
      </c>
      <c r="Q19" s="451">
        <v>17</v>
      </c>
      <c r="R19" s="451">
        <v>18</v>
      </c>
      <c r="S19" s="451">
        <v>19</v>
      </c>
      <c r="T19" s="451">
        <v>20</v>
      </c>
      <c r="U19" s="451">
        <v>21</v>
      </c>
      <c r="V19" s="451">
        <v>22</v>
      </c>
      <c r="W19" s="451">
        <v>23</v>
      </c>
      <c r="X19" s="451">
        <v>24</v>
      </c>
      <c r="Y19" s="451">
        <v>25</v>
      </c>
      <c r="Z19" s="451">
        <v>26</v>
      </c>
      <c r="AA19" s="451">
        <v>27</v>
      </c>
      <c r="AB19" s="451">
        <v>28</v>
      </c>
      <c r="AC19" s="451">
        <v>29</v>
      </c>
      <c r="AD19" s="253"/>
    </row>
    <row r="20" spans="2:30" s="272" customFormat="1" ht="34.5" customHeight="1" thickBot="1" thickTop="1">
      <c r="B20" s="264"/>
      <c r="C20" s="426" t="s">
        <v>20</v>
      </c>
      <c r="D20" s="426" t="s">
        <v>79</v>
      </c>
      <c r="E20" s="426" t="s">
        <v>80</v>
      </c>
      <c r="F20" s="114" t="s">
        <v>59</v>
      </c>
      <c r="G20" s="115" t="s">
        <v>60</v>
      </c>
      <c r="H20" s="116" t="s">
        <v>61</v>
      </c>
      <c r="I20" s="114" t="s">
        <v>21</v>
      </c>
      <c r="J20" s="72" t="s">
        <v>23</v>
      </c>
      <c r="K20" s="115" t="s">
        <v>24</v>
      </c>
      <c r="L20" s="115" t="s">
        <v>25</v>
      </c>
      <c r="M20" s="114" t="s">
        <v>62</v>
      </c>
      <c r="N20" s="114" t="s">
        <v>63</v>
      </c>
      <c r="O20" s="71" t="s">
        <v>27</v>
      </c>
      <c r="P20" s="115" t="s">
        <v>64</v>
      </c>
      <c r="Q20" s="114" t="s">
        <v>65</v>
      </c>
      <c r="R20" s="115" t="s">
        <v>66</v>
      </c>
      <c r="S20" s="117" t="s">
        <v>67</v>
      </c>
      <c r="T20" s="265" t="s">
        <v>28</v>
      </c>
      <c r="U20" s="266" t="s">
        <v>29</v>
      </c>
      <c r="V20" s="118" t="s">
        <v>68</v>
      </c>
      <c r="W20" s="267"/>
      <c r="X20" s="119" t="s">
        <v>69</v>
      </c>
      <c r="Y20" s="268"/>
      <c r="Z20" s="269" t="s">
        <v>30</v>
      </c>
      <c r="AA20" s="270" t="s">
        <v>31</v>
      </c>
      <c r="AB20" s="114" t="s">
        <v>32</v>
      </c>
      <c r="AC20" s="114" t="s">
        <v>33</v>
      </c>
      <c r="AD20" s="271"/>
    </row>
    <row r="21" spans="2:30" ht="16.5" customHeight="1" thickTop="1">
      <c r="B21" s="250"/>
      <c r="C21" s="273"/>
      <c r="D21" s="273"/>
      <c r="E21" s="273"/>
      <c r="F21" s="274"/>
      <c r="G21" s="275"/>
      <c r="H21" s="275"/>
      <c r="I21" s="275"/>
      <c r="J21" s="276">
        <v>5</v>
      </c>
      <c r="K21" s="421"/>
      <c r="L21" s="422"/>
      <c r="M21" s="274"/>
      <c r="N21" s="274"/>
      <c r="O21" s="275"/>
      <c r="P21" s="275"/>
      <c r="Q21" s="275"/>
      <c r="R21" s="275"/>
      <c r="S21" s="277"/>
      <c r="T21" s="278"/>
      <c r="U21" s="279"/>
      <c r="V21" s="280"/>
      <c r="W21" s="281"/>
      <c r="X21" s="282"/>
      <c r="Y21" s="283"/>
      <c r="Z21" s="284"/>
      <c r="AA21" s="278"/>
      <c r="AB21" s="275"/>
      <c r="AC21" s="285"/>
      <c r="AD21" s="253"/>
    </row>
    <row r="22" spans="2:30" ht="16.5" customHeight="1">
      <c r="B22" s="250"/>
      <c r="C22" s="273"/>
      <c r="D22" s="273"/>
      <c r="E22" s="273"/>
      <c r="F22" s="286"/>
      <c r="G22" s="286"/>
      <c r="H22" s="286"/>
      <c r="I22" s="286"/>
      <c r="J22" s="287">
        <v>2005</v>
      </c>
      <c r="K22" s="423"/>
      <c r="L22" s="424"/>
      <c r="M22" s="273"/>
      <c r="N22" s="273"/>
      <c r="O22" s="286"/>
      <c r="P22" s="286"/>
      <c r="Q22" s="286"/>
      <c r="R22" s="286"/>
      <c r="S22" s="288"/>
      <c r="T22" s="289"/>
      <c r="U22" s="290"/>
      <c r="V22" s="291"/>
      <c r="W22" s="292"/>
      <c r="X22" s="293"/>
      <c r="Y22" s="294"/>
      <c r="Z22" s="295"/>
      <c r="AA22" s="289"/>
      <c r="AB22" s="286"/>
      <c r="AC22" s="296"/>
      <c r="AD22" s="253"/>
    </row>
    <row r="23" spans="2:30" ht="16.5" customHeight="1">
      <c r="B23" s="250"/>
      <c r="C23" s="398">
        <v>39</v>
      </c>
      <c r="D23" s="398">
        <v>273541</v>
      </c>
      <c r="E23" s="398">
        <v>1277</v>
      </c>
      <c r="F23" s="399" t="s">
        <v>167</v>
      </c>
      <c r="G23" s="376" t="s">
        <v>168</v>
      </c>
      <c r="H23" s="400">
        <v>800</v>
      </c>
      <c r="I23" s="455" t="s">
        <v>180</v>
      </c>
      <c r="J23" s="297">
        <f aca="true" t="shared" si="0" ref="J23:J42">H23*$I$17</f>
        <v>139.2</v>
      </c>
      <c r="K23" s="454">
        <v>41724.14027777778</v>
      </c>
      <c r="L23" s="454">
        <v>41724.71111111111</v>
      </c>
      <c r="M23" s="120">
        <f aca="true" t="shared" si="1" ref="M23:M42">IF(F23="","",(L23-K23)*24)</f>
        <v>13.699999999953434</v>
      </c>
      <c r="N23" s="121">
        <f aca="true" t="shared" si="2" ref="N23:N42">IF(F23="","",ROUND((L23-K23)*24*60,0))</f>
        <v>822</v>
      </c>
      <c r="O23" s="122" t="s">
        <v>137</v>
      </c>
      <c r="P23" s="122" t="str">
        <f aca="true" t="shared" si="3" ref="P23:P42">IF(F23="","",IF(OR(O23="P",O23="RP"),"--","NO"))</f>
        <v>--</v>
      </c>
      <c r="Q23" s="122" t="s">
        <v>169</v>
      </c>
      <c r="R23" s="122" t="str">
        <f aca="true" t="shared" si="4" ref="R23:R42">IF(F23="","","NO")</f>
        <v>NO</v>
      </c>
      <c r="S23" s="124">
        <f aca="true" t="shared" si="5" ref="S23:S42">IF(R23="SI",1,0.1)*$I$18*IF(OR(O23="P",O23="RP"),0.1,1)</f>
        <v>0.6000000000000001</v>
      </c>
      <c r="T23" s="125">
        <f aca="true" t="shared" si="6" ref="T23:T42">IF(O23="P",J23*S23*ROUND(N23/60,2),"--")</f>
        <v>1144.2240000000002</v>
      </c>
      <c r="U23" s="126" t="str">
        <f aca="true" t="shared" si="7" ref="U23:U42">IF(O23="RP",J23*S23*ROUND(N23/60,2)*Q23/100,"--")</f>
        <v>--</v>
      </c>
      <c r="V23" s="127" t="str">
        <f aca="true" t="shared" si="8" ref="V23:V42">IF(AND(O23="F",P23="NO"),J23*S23,"--")</f>
        <v>--</v>
      </c>
      <c r="W23" s="128" t="str">
        <f aca="true" t="shared" si="9" ref="W23:W42">IF(O23="F",J23*S23*ROUND(N23/60,2),"--")</f>
        <v>--</v>
      </c>
      <c r="X23" s="129" t="str">
        <f aca="true" t="shared" si="10" ref="X23:X42">IF(AND(O23="R",P23="NO"),J23*S23*Q23/100,"--")</f>
        <v>--</v>
      </c>
      <c r="Y23" s="130" t="str">
        <f aca="true" t="shared" si="11" ref="Y23:Y42">IF(O23="R",J23*S23*ROUND(N23/60,2)*Q23/100,"--")</f>
        <v>--</v>
      </c>
      <c r="Z23" s="131" t="str">
        <f aca="true" t="shared" si="12" ref="Z23:Z42">IF(O23="RF",J23*S23*ROUND(N23/60,2),"--")</f>
        <v>--</v>
      </c>
      <c r="AA23" s="132" t="str">
        <f aca="true" t="shared" si="13" ref="AA23:AA42">IF(O23="RR",J23*S23*ROUND(N23/60,2)*Q23/100,"--")</f>
        <v>--</v>
      </c>
      <c r="AB23" s="371" t="s">
        <v>138</v>
      </c>
      <c r="AC23" s="298">
        <f aca="true" t="shared" si="14" ref="AC23:AC42">IF(F23="","",SUM(T23:AA23)*IF(AB23="SI",1,2))</f>
        <v>1144.2240000000002</v>
      </c>
      <c r="AD23" s="253"/>
    </row>
    <row r="24" spans="2:30" ht="16.5" customHeight="1">
      <c r="B24" s="250"/>
      <c r="C24" s="398"/>
      <c r="D24" s="398"/>
      <c r="E24" s="398"/>
      <c r="F24" s="399"/>
      <c r="G24" s="376"/>
      <c r="H24" s="400"/>
      <c r="I24" s="401"/>
      <c r="J24" s="297">
        <f t="shared" si="0"/>
        <v>0</v>
      </c>
      <c r="K24" s="454"/>
      <c r="L24" s="454"/>
      <c r="M24" s="120">
        <f t="shared" si="1"/>
      </c>
      <c r="N24" s="121">
        <f t="shared" si="2"/>
      </c>
      <c r="O24" s="122"/>
      <c r="P24" s="122">
        <f t="shared" si="3"/>
      </c>
      <c r="Q24" s="123">
        <f aca="true" t="shared" si="15" ref="Q24:Q42">IF(F24="","","--")</f>
      </c>
      <c r="R24" s="122">
        <f t="shared" si="4"/>
      </c>
      <c r="S24" s="124">
        <f t="shared" si="5"/>
        <v>6</v>
      </c>
      <c r="T24" s="125" t="str">
        <f t="shared" si="6"/>
        <v>--</v>
      </c>
      <c r="U24" s="126" t="str">
        <f t="shared" si="7"/>
        <v>--</v>
      </c>
      <c r="V24" s="127" t="str">
        <f t="shared" si="8"/>
        <v>--</v>
      </c>
      <c r="W24" s="128" t="str">
        <f t="shared" si="9"/>
        <v>--</v>
      </c>
      <c r="X24" s="129" t="str">
        <f t="shared" si="10"/>
        <v>--</v>
      </c>
      <c r="Y24" s="130" t="str">
        <f t="shared" si="11"/>
        <v>--</v>
      </c>
      <c r="Z24" s="131" t="str">
        <f t="shared" si="12"/>
        <v>--</v>
      </c>
      <c r="AA24" s="132" t="str">
        <f t="shared" si="13"/>
        <v>--</v>
      </c>
      <c r="AB24" s="371" t="str">
        <f aca="true" t="shared" si="16" ref="AB24:AB42">IF(F24=""," ","SI")</f>
        <v> </v>
      </c>
      <c r="AC24" s="298">
        <f t="shared" si="14"/>
      </c>
      <c r="AD24" s="253"/>
    </row>
    <row r="25" spans="2:30" ht="16.5" customHeight="1">
      <c r="B25" s="250"/>
      <c r="C25" s="398"/>
      <c r="D25" s="398"/>
      <c r="E25" s="398"/>
      <c r="F25" s="399"/>
      <c r="G25" s="376"/>
      <c r="H25" s="400"/>
      <c r="I25" s="401"/>
      <c r="J25" s="297">
        <f t="shared" si="0"/>
        <v>0</v>
      </c>
      <c r="K25" s="454"/>
      <c r="L25" s="454"/>
      <c r="M25" s="120">
        <f t="shared" si="1"/>
      </c>
      <c r="N25" s="121">
        <f t="shared" si="2"/>
      </c>
      <c r="O25" s="122"/>
      <c r="P25" s="122">
        <f t="shared" si="3"/>
      </c>
      <c r="Q25" s="123">
        <f t="shared" si="15"/>
      </c>
      <c r="R25" s="122">
        <f t="shared" si="4"/>
      </c>
      <c r="S25" s="124">
        <f t="shared" si="5"/>
        <v>6</v>
      </c>
      <c r="T25" s="125" t="str">
        <f t="shared" si="6"/>
        <v>--</v>
      </c>
      <c r="U25" s="126" t="str">
        <f t="shared" si="7"/>
        <v>--</v>
      </c>
      <c r="V25" s="127" t="str">
        <f t="shared" si="8"/>
        <v>--</v>
      </c>
      <c r="W25" s="128" t="str">
        <f t="shared" si="9"/>
        <v>--</v>
      </c>
      <c r="X25" s="129" t="str">
        <f t="shared" si="10"/>
        <v>--</v>
      </c>
      <c r="Y25" s="130" t="str">
        <f t="shared" si="11"/>
        <v>--</v>
      </c>
      <c r="Z25" s="131" t="str">
        <f t="shared" si="12"/>
        <v>--</v>
      </c>
      <c r="AA25" s="132" t="str">
        <f t="shared" si="13"/>
        <v>--</v>
      </c>
      <c r="AB25" s="371" t="str">
        <f t="shared" si="16"/>
        <v> </v>
      </c>
      <c r="AC25" s="298">
        <f t="shared" si="14"/>
      </c>
      <c r="AD25" s="253"/>
    </row>
    <row r="26" spans="2:30" ht="16.5" customHeight="1">
      <c r="B26" s="250"/>
      <c r="C26" s="398"/>
      <c r="D26" s="398"/>
      <c r="E26" s="398"/>
      <c r="F26" s="399"/>
      <c r="G26" s="376"/>
      <c r="H26" s="400"/>
      <c r="I26" s="401"/>
      <c r="J26" s="297">
        <f t="shared" si="0"/>
        <v>0</v>
      </c>
      <c r="K26" s="454"/>
      <c r="L26" s="454"/>
      <c r="M26" s="120">
        <f t="shared" si="1"/>
      </c>
      <c r="N26" s="121">
        <f t="shared" si="2"/>
      </c>
      <c r="O26" s="122"/>
      <c r="P26" s="122">
        <f t="shared" si="3"/>
      </c>
      <c r="Q26" s="123">
        <f t="shared" si="15"/>
      </c>
      <c r="R26" s="122">
        <f t="shared" si="4"/>
      </c>
      <c r="S26" s="124">
        <f t="shared" si="5"/>
        <v>6</v>
      </c>
      <c r="T26" s="125" t="str">
        <f t="shared" si="6"/>
        <v>--</v>
      </c>
      <c r="U26" s="126" t="str">
        <f t="shared" si="7"/>
        <v>--</v>
      </c>
      <c r="V26" s="127" t="str">
        <f t="shared" si="8"/>
        <v>--</v>
      </c>
      <c r="W26" s="128" t="str">
        <f t="shared" si="9"/>
        <v>--</v>
      </c>
      <c r="X26" s="129" t="str">
        <f t="shared" si="10"/>
        <v>--</v>
      </c>
      <c r="Y26" s="130" t="str">
        <f t="shared" si="11"/>
        <v>--</v>
      </c>
      <c r="Z26" s="131" t="str">
        <f t="shared" si="12"/>
        <v>--</v>
      </c>
      <c r="AA26" s="132" t="str">
        <f t="shared" si="13"/>
        <v>--</v>
      </c>
      <c r="AB26" s="371" t="str">
        <f t="shared" si="16"/>
        <v> </v>
      </c>
      <c r="AC26" s="298">
        <f t="shared" si="14"/>
      </c>
      <c r="AD26" s="253"/>
    </row>
    <row r="27" spans="2:30" ht="16.5" customHeight="1">
      <c r="B27" s="250"/>
      <c r="C27" s="398"/>
      <c r="D27" s="398"/>
      <c r="E27" s="398"/>
      <c r="F27" s="399"/>
      <c r="G27" s="376"/>
      <c r="H27" s="400"/>
      <c r="I27" s="401"/>
      <c r="J27" s="297">
        <f t="shared" si="0"/>
        <v>0</v>
      </c>
      <c r="K27" s="454"/>
      <c r="L27" s="454"/>
      <c r="M27" s="120">
        <f t="shared" si="1"/>
      </c>
      <c r="N27" s="121">
        <f t="shared" si="2"/>
      </c>
      <c r="O27" s="122"/>
      <c r="P27" s="122">
        <f t="shared" si="3"/>
      </c>
      <c r="Q27" s="123">
        <f t="shared" si="15"/>
      </c>
      <c r="R27" s="122">
        <f t="shared" si="4"/>
      </c>
      <c r="S27" s="124">
        <f t="shared" si="5"/>
        <v>6</v>
      </c>
      <c r="T27" s="125" t="str">
        <f t="shared" si="6"/>
        <v>--</v>
      </c>
      <c r="U27" s="126" t="str">
        <f t="shared" si="7"/>
        <v>--</v>
      </c>
      <c r="V27" s="127" t="str">
        <f t="shared" si="8"/>
        <v>--</v>
      </c>
      <c r="W27" s="128" t="str">
        <f t="shared" si="9"/>
        <v>--</v>
      </c>
      <c r="X27" s="129" t="str">
        <f t="shared" si="10"/>
        <v>--</v>
      </c>
      <c r="Y27" s="130" t="str">
        <f t="shared" si="11"/>
        <v>--</v>
      </c>
      <c r="Z27" s="131" t="str">
        <f t="shared" si="12"/>
        <v>--</v>
      </c>
      <c r="AA27" s="132" t="str">
        <f t="shared" si="13"/>
        <v>--</v>
      </c>
      <c r="AB27" s="371" t="str">
        <f t="shared" si="16"/>
        <v> </v>
      </c>
      <c r="AC27" s="298">
        <f t="shared" si="14"/>
      </c>
      <c r="AD27" s="253"/>
    </row>
    <row r="28" spans="2:30" ht="16.5" customHeight="1">
      <c r="B28" s="250"/>
      <c r="C28" s="398"/>
      <c r="D28" s="398"/>
      <c r="E28" s="398"/>
      <c r="F28" s="399"/>
      <c r="G28" s="376"/>
      <c r="H28" s="400"/>
      <c r="I28" s="401"/>
      <c r="J28" s="297">
        <f t="shared" si="0"/>
        <v>0</v>
      </c>
      <c r="K28" s="454"/>
      <c r="L28" s="454"/>
      <c r="M28" s="120">
        <f t="shared" si="1"/>
      </c>
      <c r="N28" s="121">
        <f t="shared" si="2"/>
      </c>
      <c r="O28" s="122"/>
      <c r="P28" s="122">
        <f t="shared" si="3"/>
      </c>
      <c r="Q28" s="123">
        <f t="shared" si="15"/>
      </c>
      <c r="R28" s="122">
        <f t="shared" si="4"/>
      </c>
      <c r="S28" s="124">
        <f t="shared" si="5"/>
        <v>6</v>
      </c>
      <c r="T28" s="125" t="str">
        <f t="shared" si="6"/>
        <v>--</v>
      </c>
      <c r="U28" s="126" t="str">
        <f t="shared" si="7"/>
        <v>--</v>
      </c>
      <c r="V28" s="127" t="str">
        <f t="shared" si="8"/>
        <v>--</v>
      </c>
      <c r="W28" s="128" t="str">
        <f t="shared" si="9"/>
        <v>--</v>
      </c>
      <c r="X28" s="129" t="str">
        <f t="shared" si="10"/>
        <v>--</v>
      </c>
      <c r="Y28" s="130" t="str">
        <f t="shared" si="11"/>
        <v>--</v>
      </c>
      <c r="Z28" s="131" t="str">
        <f t="shared" si="12"/>
        <v>--</v>
      </c>
      <c r="AA28" s="132" t="str">
        <f t="shared" si="13"/>
        <v>--</v>
      </c>
      <c r="AB28" s="371" t="str">
        <f t="shared" si="16"/>
        <v> </v>
      </c>
      <c r="AC28" s="298">
        <f t="shared" si="14"/>
      </c>
      <c r="AD28" s="253"/>
    </row>
    <row r="29" spans="2:30" ht="16.5" customHeight="1">
      <c r="B29" s="250"/>
      <c r="C29" s="398"/>
      <c r="D29" s="398"/>
      <c r="E29" s="398"/>
      <c r="F29" s="399"/>
      <c r="G29" s="376"/>
      <c r="H29" s="400"/>
      <c r="I29" s="401"/>
      <c r="J29" s="297">
        <f t="shared" si="0"/>
        <v>0</v>
      </c>
      <c r="K29" s="454"/>
      <c r="L29" s="454"/>
      <c r="M29" s="120">
        <f t="shared" si="1"/>
      </c>
      <c r="N29" s="121">
        <f t="shared" si="2"/>
      </c>
      <c r="O29" s="122"/>
      <c r="P29" s="122">
        <f t="shared" si="3"/>
      </c>
      <c r="Q29" s="123">
        <f t="shared" si="15"/>
      </c>
      <c r="R29" s="122">
        <f t="shared" si="4"/>
      </c>
      <c r="S29" s="124">
        <f t="shared" si="5"/>
        <v>6</v>
      </c>
      <c r="T29" s="125" t="str">
        <f t="shared" si="6"/>
        <v>--</v>
      </c>
      <c r="U29" s="126" t="str">
        <f t="shared" si="7"/>
        <v>--</v>
      </c>
      <c r="V29" s="127" t="str">
        <f t="shared" si="8"/>
        <v>--</v>
      </c>
      <c r="W29" s="128" t="str">
        <f t="shared" si="9"/>
        <v>--</v>
      </c>
      <c r="X29" s="129" t="str">
        <f t="shared" si="10"/>
        <v>--</v>
      </c>
      <c r="Y29" s="130" t="str">
        <f t="shared" si="11"/>
        <v>--</v>
      </c>
      <c r="Z29" s="131" t="str">
        <f t="shared" si="12"/>
        <v>--</v>
      </c>
      <c r="AA29" s="132" t="str">
        <f t="shared" si="13"/>
        <v>--</v>
      </c>
      <c r="AB29" s="371" t="str">
        <f t="shared" si="16"/>
        <v> </v>
      </c>
      <c r="AC29" s="298">
        <f t="shared" si="14"/>
      </c>
      <c r="AD29" s="253"/>
    </row>
    <row r="30" spans="2:30" ht="16.5" customHeight="1">
      <c r="B30" s="250"/>
      <c r="C30" s="398"/>
      <c r="D30" s="398"/>
      <c r="E30" s="398"/>
      <c r="F30" s="399"/>
      <c r="G30" s="376"/>
      <c r="H30" s="400"/>
      <c r="I30" s="401"/>
      <c r="J30" s="297">
        <f t="shared" si="0"/>
        <v>0</v>
      </c>
      <c r="K30" s="454"/>
      <c r="L30" s="454"/>
      <c r="M30" s="120">
        <f t="shared" si="1"/>
      </c>
      <c r="N30" s="121">
        <f t="shared" si="2"/>
      </c>
      <c r="O30" s="122"/>
      <c r="P30" s="122">
        <f t="shared" si="3"/>
      </c>
      <c r="Q30" s="123">
        <f t="shared" si="15"/>
      </c>
      <c r="R30" s="122">
        <f t="shared" si="4"/>
      </c>
      <c r="S30" s="124">
        <f t="shared" si="5"/>
        <v>6</v>
      </c>
      <c r="T30" s="125" t="str">
        <f t="shared" si="6"/>
        <v>--</v>
      </c>
      <c r="U30" s="126" t="str">
        <f t="shared" si="7"/>
        <v>--</v>
      </c>
      <c r="V30" s="127" t="str">
        <f t="shared" si="8"/>
        <v>--</v>
      </c>
      <c r="W30" s="128" t="str">
        <f t="shared" si="9"/>
        <v>--</v>
      </c>
      <c r="X30" s="129" t="str">
        <f t="shared" si="10"/>
        <v>--</v>
      </c>
      <c r="Y30" s="130" t="str">
        <f t="shared" si="11"/>
        <v>--</v>
      </c>
      <c r="Z30" s="131" t="str">
        <f t="shared" si="12"/>
        <v>--</v>
      </c>
      <c r="AA30" s="132" t="str">
        <f t="shared" si="13"/>
        <v>--</v>
      </c>
      <c r="AB30" s="371" t="str">
        <f t="shared" si="16"/>
        <v> </v>
      </c>
      <c r="AC30" s="298">
        <f t="shared" si="14"/>
      </c>
      <c r="AD30" s="253"/>
    </row>
    <row r="31" spans="2:30" ht="16.5" customHeight="1">
      <c r="B31" s="250"/>
      <c r="C31" s="398"/>
      <c r="D31" s="398"/>
      <c r="E31" s="398"/>
      <c r="F31" s="399"/>
      <c r="G31" s="376"/>
      <c r="H31" s="400"/>
      <c r="I31" s="401"/>
      <c r="J31" s="297">
        <f t="shared" si="0"/>
        <v>0</v>
      </c>
      <c r="K31" s="454"/>
      <c r="L31" s="454"/>
      <c r="M31" s="120">
        <f t="shared" si="1"/>
      </c>
      <c r="N31" s="121">
        <f t="shared" si="2"/>
      </c>
      <c r="O31" s="122"/>
      <c r="P31" s="122">
        <f t="shared" si="3"/>
      </c>
      <c r="Q31" s="123">
        <f t="shared" si="15"/>
      </c>
      <c r="R31" s="122">
        <f t="shared" si="4"/>
      </c>
      <c r="S31" s="124">
        <f t="shared" si="5"/>
        <v>6</v>
      </c>
      <c r="T31" s="125" t="str">
        <f t="shared" si="6"/>
        <v>--</v>
      </c>
      <c r="U31" s="126" t="str">
        <f t="shared" si="7"/>
        <v>--</v>
      </c>
      <c r="V31" s="127" t="str">
        <f t="shared" si="8"/>
        <v>--</v>
      </c>
      <c r="W31" s="128" t="str">
        <f t="shared" si="9"/>
        <v>--</v>
      </c>
      <c r="X31" s="129" t="str">
        <f t="shared" si="10"/>
        <v>--</v>
      </c>
      <c r="Y31" s="130" t="str">
        <f t="shared" si="11"/>
        <v>--</v>
      </c>
      <c r="Z31" s="131" t="str">
        <f t="shared" si="12"/>
        <v>--</v>
      </c>
      <c r="AA31" s="132" t="str">
        <f t="shared" si="13"/>
        <v>--</v>
      </c>
      <c r="AB31" s="371" t="str">
        <f t="shared" si="16"/>
        <v> </v>
      </c>
      <c r="AC31" s="298">
        <f t="shared" si="14"/>
      </c>
      <c r="AD31" s="253"/>
    </row>
    <row r="32" spans="2:30" ht="16.5" customHeight="1">
      <c r="B32" s="250"/>
      <c r="C32" s="398"/>
      <c r="D32" s="398"/>
      <c r="E32" s="398"/>
      <c r="F32" s="399"/>
      <c r="G32" s="376"/>
      <c r="H32" s="400"/>
      <c r="I32" s="401"/>
      <c r="J32" s="297">
        <f t="shared" si="0"/>
        <v>0</v>
      </c>
      <c r="K32" s="454"/>
      <c r="L32" s="454"/>
      <c r="M32" s="120">
        <f t="shared" si="1"/>
      </c>
      <c r="N32" s="121">
        <f t="shared" si="2"/>
      </c>
      <c r="O32" s="122"/>
      <c r="P32" s="122">
        <f t="shared" si="3"/>
      </c>
      <c r="Q32" s="123">
        <f t="shared" si="15"/>
      </c>
      <c r="R32" s="122">
        <f t="shared" si="4"/>
      </c>
      <c r="S32" s="124">
        <f t="shared" si="5"/>
        <v>6</v>
      </c>
      <c r="T32" s="125" t="str">
        <f t="shared" si="6"/>
        <v>--</v>
      </c>
      <c r="U32" s="126" t="str">
        <f t="shared" si="7"/>
        <v>--</v>
      </c>
      <c r="V32" s="127" t="str">
        <f t="shared" si="8"/>
        <v>--</v>
      </c>
      <c r="W32" s="128" t="str">
        <f t="shared" si="9"/>
        <v>--</v>
      </c>
      <c r="X32" s="129" t="str">
        <f t="shared" si="10"/>
        <v>--</v>
      </c>
      <c r="Y32" s="130" t="str">
        <f t="shared" si="11"/>
        <v>--</v>
      </c>
      <c r="Z32" s="131" t="str">
        <f t="shared" si="12"/>
        <v>--</v>
      </c>
      <c r="AA32" s="132" t="str">
        <f t="shared" si="13"/>
        <v>--</v>
      </c>
      <c r="AB32" s="371" t="str">
        <f t="shared" si="16"/>
        <v> </v>
      </c>
      <c r="AC32" s="298">
        <f t="shared" si="14"/>
      </c>
      <c r="AD32" s="253"/>
    </row>
    <row r="33" spans="2:30" ht="16.5" customHeight="1">
      <c r="B33" s="250"/>
      <c r="C33" s="398"/>
      <c r="D33" s="398"/>
      <c r="E33" s="398"/>
      <c r="F33" s="399"/>
      <c r="G33" s="376"/>
      <c r="H33" s="400"/>
      <c r="I33" s="401"/>
      <c r="J33" s="297">
        <f t="shared" si="0"/>
        <v>0</v>
      </c>
      <c r="K33" s="454"/>
      <c r="L33" s="454"/>
      <c r="M33" s="120">
        <f t="shared" si="1"/>
      </c>
      <c r="N33" s="121">
        <f t="shared" si="2"/>
      </c>
      <c r="O33" s="122"/>
      <c r="P33" s="122">
        <f t="shared" si="3"/>
      </c>
      <c r="Q33" s="123">
        <f t="shared" si="15"/>
      </c>
      <c r="R33" s="122">
        <f t="shared" si="4"/>
      </c>
      <c r="S33" s="124">
        <f t="shared" si="5"/>
        <v>6</v>
      </c>
      <c r="T33" s="125" t="str">
        <f t="shared" si="6"/>
        <v>--</v>
      </c>
      <c r="U33" s="126" t="str">
        <f t="shared" si="7"/>
        <v>--</v>
      </c>
      <c r="V33" s="127" t="str">
        <f t="shared" si="8"/>
        <v>--</v>
      </c>
      <c r="W33" s="128" t="str">
        <f t="shared" si="9"/>
        <v>--</v>
      </c>
      <c r="X33" s="129" t="str">
        <f t="shared" si="10"/>
        <v>--</v>
      </c>
      <c r="Y33" s="130" t="str">
        <f t="shared" si="11"/>
        <v>--</v>
      </c>
      <c r="Z33" s="131" t="str">
        <f t="shared" si="12"/>
        <v>--</v>
      </c>
      <c r="AA33" s="132" t="str">
        <f t="shared" si="13"/>
        <v>--</v>
      </c>
      <c r="AB33" s="371" t="str">
        <f t="shared" si="16"/>
        <v> </v>
      </c>
      <c r="AC33" s="298">
        <f t="shared" si="14"/>
      </c>
      <c r="AD33" s="253"/>
    </row>
    <row r="34" spans="2:30" ht="16.5" customHeight="1">
      <c r="B34" s="250"/>
      <c r="C34" s="398"/>
      <c r="D34" s="398"/>
      <c r="E34" s="398"/>
      <c r="F34" s="399"/>
      <c r="G34" s="376"/>
      <c r="H34" s="400"/>
      <c r="I34" s="401"/>
      <c r="J34" s="297">
        <f t="shared" si="0"/>
        <v>0</v>
      </c>
      <c r="K34" s="454"/>
      <c r="L34" s="454"/>
      <c r="M34" s="120">
        <f t="shared" si="1"/>
      </c>
      <c r="N34" s="121">
        <f t="shared" si="2"/>
      </c>
      <c r="O34" s="122"/>
      <c r="P34" s="122">
        <f t="shared" si="3"/>
      </c>
      <c r="Q34" s="123">
        <f t="shared" si="15"/>
      </c>
      <c r="R34" s="122">
        <f t="shared" si="4"/>
      </c>
      <c r="S34" s="124">
        <f t="shared" si="5"/>
        <v>6</v>
      </c>
      <c r="T34" s="125" t="str">
        <f t="shared" si="6"/>
        <v>--</v>
      </c>
      <c r="U34" s="126" t="str">
        <f t="shared" si="7"/>
        <v>--</v>
      </c>
      <c r="V34" s="127" t="str">
        <f t="shared" si="8"/>
        <v>--</v>
      </c>
      <c r="W34" s="128" t="str">
        <f t="shared" si="9"/>
        <v>--</v>
      </c>
      <c r="X34" s="129" t="str">
        <f t="shared" si="10"/>
        <v>--</v>
      </c>
      <c r="Y34" s="130" t="str">
        <f t="shared" si="11"/>
        <v>--</v>
      </c>
      <c r="Z34" s="131" t="str">
        <f t="shared" si="12"/>
        <v>--</v>
      </c>
      <c r="AA34" s="132" t="str">
        <f t="shared" si="13"/>
        <v>--</v>
      </c>
      <c r="AB34" s="371" t="str">
        <f t="shared" si="16"/>
        <v> </v>
      </c>
      <c r="AC34" s="298">
        <f t="shared" si="14"/>
      </c>
      <c r="AD34" s="253"/>
    </row>
    <row r="35" spans="2:30" ht="16.5" customHeight="1">
      <c r="B35" s="250"/>
      <c r="C35" s="398"/>
      <c r="D35" s="398"/>
      <c r="E35" s="398"/>
      <c r="F35" s="399"/>
      <c r="G35" s="376"/>
      <c r="H35" s="400"/>
      <c r="I35" s="401"/>
      <c r="J35" s="297">
        <f t="shared" si="0"/>
        <v>0</v>
      </c>
      <c r="K35" s="454"/>
      <c r="L35" s="454"/>
      <c r="M35" s="120">
        <f t="shared" si="1"/>
      </c>
      <c r="N35" s="121">
        <f t="shared" si="2"/>
      </c>
      <c r="O35" s="122"/>
      <c r="P35" s="122">
        <f t="shared" si="3"/>
      </c>
      <c r="Q35" s="123">
        <f t="shared" si="15"/>
      </c>
      <c r="R35" s="122">
        <f t="shared" si="4"/>
      </c>
      <c r="S35" s="124">
        <f t="shared" si="5"/>
        <v>6</v>
      </c>
      <c r="T35" s="125" t="str">
        <f t="shared" si="6"/>
        <v>--</v>
      </c>
      <c r="U35" s="126" t="str">
        <f t="shared" si="7"/>
        <v>--</v>
      </c>
      <c r="V35" s="127" t="str">
        <f t="shared" si="8"/>
        <v>--</v>
      </c>
      <c r="W35" s="128" t="str">
        <f t="shared" si="9"/>
        <v>--</v>
      </c>
      <c r="X35" s="129" t="str">
        <f t="shared" si="10"/>
        <v>--</v>
      </c>
      <c r="Y35" s="130" t="str">
        <f t="shared" si="11"/>
        <v>--</v>
      </c>
      <c r="Z35" s="131" t="str">
        <f t="shared" si="12"/>
        <v>--</v>
      </c>
      <c r="AA35" s="132" t="str">
        <f t="shared" si="13"/>
        <v>--</v>
      </c>
      <c r="AB35" s="371" t="str">
        <f t="shared" si="16"/>
        <v> </v>
      </c>
      <c r="AC35" s="298">
        <f t="shared" si="14"/>
      </c>
      <c r="AD35" s="253"/>
    </row>
    <row r="36" spans="2:30" ht="16.5" customHeight="1">
      <c r="B36" s="250"/>
      <c r="C36" s="398"/>
      <c r="D36" s="398"/>
      <c r="E36" s="398"/>
      <c r="F36" s="399"/>
      <c r="G36" s="376"/>
      <c r="H36" s="400"/>
      <c r="I36" s="401"/>
      <c r="J36" s="297">
        <f t="shared" si="0"/>
        <v>0</v>
      </c>
      <c r="K36" s="454"/>
      <c r="L36" s="454"/>
      <c r="M36" s="120">
        <f t="shared" si="1"/>
      </c>
      <c r="N36" s="121">
        <f t="shared" si="2"/>
      </c>
      <c r="O36" s="122"/>
      <c r="P36" s="122">
        <f t="shared" si="3"/>
      </c>
      <c r="Q36" s="123">
        <f t="shared" si="15"/>
      </c>
      <c r="R36" s="122">
        <f t="shared" si="4"/>
      </c>
      <c r="S36" s="124">
        <f t="shared" si="5"/>
        <v>6</v>
      </c>
      <c r="T36" s="125" t="str">
        <f t="shared" si="6"/>
        <v>--</v>
      </c>
      <c r="U36" s="126" t="str">
        <f t="shared" si="7"/>
        <v>--</v>
      </c>
      <c r="V36" s="127" t="str">
        <f t="shared" si="8"/>
        <v>--</v>
      </c>
      <c r="W36" s="128" t="str">
        <f t="shared" si="9"/>
        <v>--</v>
      </c>
      <c r="X36" s="129" t="str">
        <f t="shared" si="10"/>
        <v>--</v>
      </c>
      <c r="Y36" s="130" t="str">
        <f t="shared" si="11"/>
        <v>--</v>
      </c>
      <c r="Z36" s="131" t="str">
        <f t="shared" si="12"/>
        <v>--</v>
      </c>
      <c r="AA36" s="132" t="str">
        <f t="shared" si="13"/>
        <v>--</v>
      </c>
      <c r="AB36" s="371" t="str">
        <f t="shared" si="16"/>
        <v> </v>
      </c>
      <c r="AC36" s="298">
        <f t="shared" si="14"/>
      </c>
      <c r="AD36" s="253"/>
    </row>
    <row r="37" spans="2:30" ht="16.5" customHeight="1">
      <c r="B37" s="250"/>
      <c r="C37" s="398"/>
      <c r="D37" s="398"/>
      <c r="E37" s="398"/>
      <c r="F37" s="399"/>
      <c r="G37" s="376"/>
      <c r="H37" s="400"/>
      <c r="I37" s="401"/>
      <c r="J37" s="297">
        <f t="shared" si="0"/>
        <v>0</v>
      </c>
      <c r="K37" s="454"/>
      <c r="L37" s="454"/>
      <c r="M37" s="120">
        <f t="shared" si="1"/>
      </c>
      <c r="N37" s="121">
        <f t="shared" si="2"/>
      </c>
      <c r="O37" s="122"/>
      <c r="P37" s="122">
        <f t="shared" si="3"/>
      </c>
      <c r="Q37" s="123">
        <f t="shared" si="15"/>
      </c>
      <c r="R37" s="122">
        <f t="shared" si="4"/>
      </c>
      <c r="S37" s="124">
        <f t="shared" si="5"/>
        <v>6</v>
      </c>
      <c r="T37" s="125" t="str">
        <f t="shared" si="6"/>
        <v>--</v>
      </c>
      <c r="U37" s="126" t="str">
        <f t="shared" si="7"/>
        <v>--</v>
      </c>
      <c r="V37" s="127" t="str">
        <f t="shared" si="8"/>
        <v>--</v>
      </c>
      <c r="W37" s="128" t="str">
        <f t="shared" si="9"/>
        <v>--</v>
      </c>
      <c r="X37" s="129" t="str">
        <f t="shared" si="10"/>
        <v>--</v>
      </c>
      <c r="Y37" s="130" t="str">
        <f t="shared" si="11"/>
        <v>--</v>
      </c>
      <c r="Z37" s="131" t="str">
        <f t="shared" si="12"/>
        <v>--</v>
      </c>
      <c r="AA37" s="132" t="str">
        <f t="shared" si="13"/>
        <v>--</v>
      </c>
      <c r="AB37" s="371" t="str">
        <f t="shared" si="16"/>
        <v> </v>
      </c>
      <c r="AC37" s="298">
        <f t="shared" si="14"/>
      </c>
      <c r="AD37" s="253"/>
    </row>
    <row r="38" spans="2:30" ht="16.5" customHeight="1">
      <c r="B38" s="250"/>
      <c r="C38" s="398"/>
      <c r="D38" s="398"/>
      <c r="E38" s="398"/>
      <c r="F38" s="399"/>
      <c r="G38" s="376"/>
      <c r="H38" s="400"/>
      <c r="I38" s="401"/>
      <c r="J38" s="297">
        <f t="shared" si="0"/>
        <v>0</v>
      </c>
      <c r="K38" s="454"/>
      <c r="L38" s="454"/>
      <c r="M38" s="120">
        <f t="shared" si="1"/>
      </c>
      <c r="N38" s="121">
        <f t="shared" si="2"/>
      </c>
      <c r="O38" s="122"/>
      <c r="P38" s="122">
        <f t="shared" si="3"/>
      </c>
      <c r="Q38" s="123">
        <f t="shared" si="15"/>
      </c>
      <c r="R38" s="122">
        <f t="shared" si="4"/>
      </c>
      <c r="S38" s="124">
        <f t="shared" si="5"/>
        <v>6</v>
      </c>
      <c r="T38" s="125" t="str">
        <f t="shared" si="6"/>
        <v>--</v>
      </c>
      <c r="U38" s="126" t="str">
        <f t="shared" si="7"/>
        <v>--</v>
      </c>
      <c r="V38" s="127" t="str">
        <f t="shared" si="8"/>
        <v>--</v>
      </c>
      <c r="W38" s="128" t="str">
        <f t="shared" si="9"/>
        <v>--</v>
      </c>
      <c r="X38" s="129" t="str">
        <f t="shared" si="10"/>
        <v>--</v>
      </c>
      <c r="Y38" s="130" t="str">
        <f t="shared" si="11"/>
        <v>--</v>
      </c>
      <c r="Z38" s="131" t="str">
        <f t="shared" si="12"/>
        <v>--</v>
      </c>
      <c r="AA38" s="132" t="str">
        <f t="shared" si="13"/>
        <v>--</v>
      </c>
      <c r="AB38" s="371" t="str">
        <f t="shared" si="16"/>
        <v> </v>
      </c>
      <c r="AC38" s="298">
        <f t="shared" si="14"/>
      </c>
      <c r="AD38" s="253"/>
    </row>
    <row r="39" spans="2:30" ht="16.5" customHeight="1">
      <c r="B39" s="250"/>
      <c r="C39" s="398"/>
      <c r="D39" s="398"/>
      <c r="E39" s="398"/>
      <c r="F39" s="399"/>
      <c r="G39" s="376"/>
      <c r="H39" s="400"/>
      <c r="I39" s="401"/>
      <c r="J39" s="297">
        <f t="shared" si="0"/>
        <v>0</v>
      </c>
      <c r="K39" s="454"/>
      <c r="L39" s="454"/>
      <c r="M39" s="120">
        <f t="shared" si="1"/>
      </c>
      <c r="N39" s="121">
        <f t="shared" si="2"/>
      </c>
      <c r="O39" s="122"/>
      <c r="P39" s="122">
        <f t="shared" si="3"/>
      </c>
      <c r="Q39" s="123">
        <f t="shared" si="15"/>
      </c>
      <c r="R39" s="122">
        <f t="shared" si="4"/>
      </c>
      <c r="S39" s="124">
        <f t="shared" si="5"/>
        <v>6</v>
      </c>
      <c r="T39" s="125" t="str">
        <f t="shared" si="6"/>
        <v>--</v>
      </c>
      <c r="U39" s="126" t="str">
        <f t="shared" si="7"/>
        <v>--</v>
      </c>
      <c r="V39" s="127" t="str">
        <f t="shared" si="8"/>
        <v>--</v>
      </c>
      <c r="W39" s="128" t="str">
        <f t="shared" si="9"/>
        <v>--</v>
      </c>
      <c r="X39" s="129" t="str">
        <f t="shared" si="10"/>
        <v>--</v>
      </c>
      <c r="Y39" s="130" t="str">
        <f t="shared" si="11"/>
        <v>--</v>
      </c>
      <c r="Z39" s="131" t="str">
        <f t="shared" si="12"/>
        <v>--</v>
      </c>
      <c r="AA39" s="132" t="str">
        <f t="shared" si="13"/>
        <v>--</v>
      </c>
      <c r="AB39" s="371" t="str">
        <f t="shared" si="16"/>
        <v> </v>
      </c>
      <c r="AC39" s="298">
        <f t="shared" si="14"/>
      </c>
      <c r="AD39" s="253"/>
    </row>
    <row r="40" spans="2:30" ht="16.5" customHeight="1">
      <c r="B40" s="250"/>
      <c r="C40" s="398"/>
      <c r="D40" s="398"/>
      <c r="E40" s="398"/>
      <c r="F40" s="399"/>
      <c r="G40" s="376"/>
      <c r="H40" s="400"/>
      <c r="I40" s="401"/>
      <c r="J40" s="297">
        <f t="shared" si="0"/>
        <v>0</v>
      </c>
      <c r="K40" s="454"/>
      <c r="L40" s="454"/>
      <c r="M40" s="120">
        <f t="shared" si="1"/>
      </c>
      <c r="N40" s="121">
        <f t="shared" si="2"/>
      </c>
      <c r="O40" s="122"/>
      <c r="P40" s="122">
        <f t="shared" si="3"/>
      </c>
      <c r="Q40" s="123">
        <f t="shared" si="15"/>
      </c>
      <c r="R40" s="122">
        <f t="shared" si="4"/>
      </c>
      <c r="S40" s="124">
        <f t="shared" si="5"/>
        <v>6</v>
      </c>
      <c r="T40" s="125" t="str">
        <f t="shared" si="6"/>
        <v>--</v>
      </c>
      <c r="U40" s="126" t="str">
        <f t="shared" si="7"/>
        <v>--</v>
      </c>
      <c r="V40" s="127" t="str">
        <f t="shared" si="8"/>
        <v>--</v>
      </c>
      <c r="W40" s="128" t="str">
        <f t="shared" si="9"/>
        <v>--</v>
      </c>
      <c r="X40" s="129" t="str">
        <f t="shared" si="10"/>
        <v>--</v>
      </c>
      <c r="Y40" s="130" t="str">
        <f t="shared" si="11"/>
        <v>--</v>
      </c>
      <c r="Z40" s="131" t="str">
        <f t="shared" si="12"/>
        <v>--</v>
      </c>
      <c r="AA40" s="132" t="str">
        <f t="shared" si="13"/>
        <v>--</v>
      </c>
      <c r="AB40" s="371" t="str">
        <f t="shared" si="16"/>
        <v> </v>
      </c>
      <c r="AC40" s="298">
        <f t="shared" si="14"/>
      </c>
      <c r="AD40" s="253"/>
    </row>
    <row r="41" spans="2:30" ht="16.5" customHeight="1">
      <c r="B41" s="250"/>
      <c r="C41" s="398"/>
      <c r="D41" s="398"/>
      <c r="E41" s="398"/>
      <c r="F41" s="399"/>
      <c r="G41" s="376"/>
      <c r="H41" s="400"/>
      <c r="I41" s="401"/>
      <c r="J41" s="297">
        <f t="shared" si="0"/>
        <v>0</v>
      </c>
      <c r="K41" s="454"/>
      <c r="L41" s="454"/>
      <c r="M41" s="120">
        <f t="shared" si="1"/>
      </c>
      <c r="N41" s="121">
        <f t="shared" si="2"/>
      </c>
      <c r="O41" s="122"/>
      <c r="P41" s="122">
        <f t="shared" si="3"/>
      </c>
      <c r="Q41" s="123">
        <f t="shared" si="15"/>
      </c>
      <c r="R41" s="122">
        <f t="shared" si="4"/>
      </c>
      <c r="S41" s="124">
        <f t="shared" si="5"/>
        <v>6</v>
      </c>
      <c r="T41" s="125" t="str">
        <f t="shared" si="6"/>
        <v>--</v>
      </c>
      <c r="U41" s="126" t="str">
        <f t="shared" si="7"/>
        <v>--</v>
      </c>
      <c r="V41" s="127" t="str">
        <f t="shared" si="8"/>
        <v>--</v>
      </c>
      <c r="W41" s="128" t="str">
        <f t="shared" si="9"/>
        <v>--</v>
      </c>
      <c r="X41" s="129" t="str">
        <f t="shared" si="10"/>
        <v>--</v>
      </c>
      <c r="Y41" s="130" t="str">
        <f t="shared" si="11"/>
        <v>--</v>
      </c>
      <c r="Z41" s="131" t="str">
        <f t="shared" si="12"/>
        <v>--</v>
      </c>
      <c r="AA41" s="132" t="str">
        <f t="shared" si="13"/>
        <v>--</v>
      </c>
      <c r="AB41" s="371" t="str">
        <f t="shared" si="16"/>
        <v> </v>
      </c>
      <c r="AC41" s="298">
        <f t="shared" si="14"/>
      </c>
      <c r="AD41" s="253"/>
    </row>
    <row r="42" spans="2:30" ht="16.5" customHeight="1">
      <c r="B42" s="250"/>
      <c r="C42" s="398"/>
      <c r="D42" s="398"/>
      <c r="E42" s="398"/>
      <c r="F42" s="399"/>
      <c r="G42" s="376"/>
      <c r="H42" s="400"/>
      <c r="I42" s="401"/>
      <c r="J42" s="297">
        <f t="shared" si="0"/>
        <v>0</v>
      </c>
      <c r="K42" s="454"/>
      <c r="L42" s="454"/>
      <c r="M42" s="120">
        <f t="shared" si="1"/>
      </c>
      <c r="N42" s="121">
        <f t="shared" si="2"/>
      </c>
      <c r="O42" s="122"/>
      <c r="P42" s="122">
        <f t="shared" si="3"/>
      </c>
      <c r="Q42" s="123">
        <f t="shared" si="15"/>
      </c>
      <c r="R42" s="122">
        <f t="shared" si="4"/>
      </c>
      <c r="S42" s="124">
        <f t="shared" si="5"/>
        <v>6</v>
      </c>
      <c r="T42" s="125" t="str">
        <f t="shared" si="6"/>
        <v>--</v>
      </c>
      <c r="U42" s="126" t="str">
        <f t="shared" si="7"/>
        <v>--</v>
      </c>
      <c r="V42" s="127" t="str">
        <f t="shared" si="8"/>
        <v>--</v>
      </c>
      <c r="W42" s="128" t="str">
        <f t="shared" si="9"/>
        <v>--</v>
      </c>
      <c r="X42" s="129" t="str">
        <f t="shared" si="10"/>
        <v>--</v>
      </c>
      <c r="Y42" s="130" t="str">
        <f t="shared" si="11"/>
        <v>--</v>
      </c>
      <c r="Z42" s="131" t="str">
        <f t="shared" si="12"/>
        <v>--</v>
      </c>
      <c r="AA42" s="132" t="str">
        <f t="shared" si="13"/>
        <v>--</v>
      </c>
      <c r="AB42" s="371" t="str">
        <f t="shared" si="16"/>
        <v> </v>
      </c>
      <c r="AC42" s="298">
        <f t="shared" si="14"/>
      </c>
      <c r="AD42" s="253"/>
    </row>
    <row r="43" spans="2:30" ht="16.5" customHeight="1" thickBot="1">
      <c r="B43" s="250"/>
      <c r="C43" s="402"/>
      <c r="D43" s="402"/>
      <c r="E43" s="402"/>
      <c r="F43" s="402"/>
      <c r="G43" s="402"/>
      <c r="H43" s="402"/>
      <c r="I43" s="402"/>
      <c r="J43" s="300"/>
      <c r="K43" s="425"/>
      <c r="L43" s="425"/>
      <c r="M43" s="299"/>
      <c r="N43" s="299"/>
      <c r="O43" s="402"/>
      <c r="P43" s="402"/>
      <c r="Q43" s="402"/>
      <c r="R43" s="402"/>
      <c r="S43" s="403"/>
      <c r="T43" s="404"/>
      <c r="U43" s="405"/>
      <c r="V43" s="406"/>
      <c r="W43" s="407"/>
      <c r="X43" s="408"/>
      <c r="Y43" s="409"/>
      <c r="Z43" s="410"/>
      <c r="AA43" s="404"/>
      <c r="AB43" s="402"/>
      <c r="AC43" s="301"/>
      <c r="AD43" s="253"/>
    </row>
    <row r="44" spans="2:30" ht="16.5" customHeight="1" thickBot="1" thickTop="1">
      <c r="B44" s="250"/>
      <c r="C44" s="217" t="s">
        <v>34</v>
      </c>
      <c r="D44" s="456" t="s">
        <v>182</v>
      </c>
      <c r="E44" s="98"/>
      <c r="F44" s="91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3"/>
      <c r="T44" s="304">
        <f aca="true" t="shared" si="17" ref="T44:AA44">SUM(T21:T43)</f>
        <v>1144.2240000000002</v>
      </c>
      <c r="U44" s="305">
        <f t="shared" si="17"/>
        <v>0</v>
      </c>
      <c r="V44" s="306">
        <f t="shared" si="17"/>
        <v>0</v>
      </c>
      <c r="W44" s="306">
        <f t="shared" si="17"/>
        <v>0</v>
      </c>
      <c r="X44" s="307">
        <f t="shared" si="17"/>
        <v>0</v>
      </c>
      <c r="Y44" s="307">
        <f t="shared" si="17"/>
        <v>0</v>
      </c>
      <c r="Z44" s="308">
        <f t="shared" si="17"/>
        <v>0</v>
      </c>
      <c r="AA44" s="304">
        <f t="shared" si="17"/>
        <v>0</v>
      </c>
      <c r="AB44" s="309"/>
      <c r="AC44" s="310">
        <f>SUM(AC21:AC43)</f>
        <v>1144.2240000000002</v>
      </c>
      <c r="AD44" s="253"/>
    </row>
    <row r="45" spans="2:30" s="233" customFormat="1" ht="9.75" thickTop="1">
      <c r="B45" s="311"/>
      <c r="C45" s="228"/>
      <c r="D45" s="228"/>
      <c r="E45" s="228"/>
      <c r="F45" s="97"/>
      <c r="G45" s="312"/>
      <c r="H45" s="312"/>
      <c r="I45" s="312"/>
      <c r="J45" s="312"/>
      <c r="K45" s="312"/>
      <c r="L45" s="312"/>
      <c r="M45" s="312"/>
      <c r="N45" s="312"/>
      <c r="O45" s="312"/>
      <c r="P45" s="312"/>
      <c r="Q45" s="312"/>
      <c r="R45" s="312"/>
      <c r="S45" s="312"/>
      <c r="T45" s="313"/>
      <c r="U45" s="313"/>
      <c r="V45" s="313"/>
      <c r="W45" s="313"/>
      <c r="X45" s="313"/>
      <c r="Y45" s="313"/>
      <c r="Z45" s="313"/>
      <c r="AA45" s="313"/>
      <c r="AB45" s="312"/>
      <c r="AC45" s="314"/>
      <c r="AD45" s="315"/>
    </row>
    <row r="46" spans="2:30" ht="16.5" customHeight="1" thickBot="1">
      <c r="B46" s="316"/>
      <c r="C46" s="317"/>
      <c r="D46" s="317"/>
      <c r="E46" s="317"/>
      <c r="F46" s="317"/>
      <c r="G46" s="317"/>
      <c r="H46" s="317"/>
      <c r="I46" s="317"/>
      <c r="J46" s="317"/>
      <c r="K46" s="317"/>
      <c r="L46" s="317"/>
      <c r="M46" s="317"/>
      <c r="N46" s="317"/>
      <c r="O46" s="317"/>
      <c r="P46" s="317"/>
      <c r="Q46" s="317"/>
      <c r="R46" s="317"/>
      <c r="S46" s="317"/>
      <c r="T46" s="317"/>
      <c r="U46" s="317"/>
      <c r="V46" s="317"/>
      <c r="W46" s="317"/>
      <c r="X46" s="317"/>
      <c r="Y46" s="317"/>
      <c r="Z46" s="317"/>
      <c r="AA46" s="317"/>
      <c r="AB46" s="317"/>
      <c r="AC46" s="317"/>
      <c r="AD46" s="318"/>
    </row>
    <row r="47" ht="13.5" thickTop="1"/>
  </sheetData>
  <sheetProtection/>
  <conditionalFormatting sqref="AB23:AB42">
    <cfRule type="cellIs" priority="5" dxfId="0" operator="equal" stopIfTrue="1">
      <formula>"SI"</formula>
    </cfRule>
    <cfRule type="cellIs" priority="6" dxfId="0" operator="equal" stopIfTrue="1">
      <formula>"NO"</formula>
    </cfRule>
    <cfRule type="cellIs" priority="7" dxfId="0" operator="equal" stopIfTrue="1">
      <formula>" "</formula>
    </cfRule>
  </conditionalFormatting>
  <conditionalFormatting sqref="M23:M42">
    <cfRule type="cellIs" priority="4" dxfId="3" operator="lessThanOrEqual" stopIfTrue="1">
      <formula>0</formula>
    </cfRule>
  </conditionalFormatting>
  <conditionalFormatting sqref="K23:L42">
    <cfRule type="expression" priority="1" dxfId="8" stopIfTrue="1">
      <formula>MONTH(K23)&lt;&gt;$J$21</formula>
    </cfRule>
    <cfRule type="expression" priority="2" dxfId="8" stopIfTrue="1">
      <formula>YEAR(K23)&lt;&gt;$J$22</formula>
    </cfRule>
    <cfRule type="expression" priority="3" dxfId="0" stopIfTrue="1">
      <formula>""""""</formula>
    </cfRule>
  </conditionalFormatting>
  <printOptions horizontalCentered="1" verticalCentered="1"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5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112">
    <pageSetUpPr fitToPage="1"/>
  </sheetPr>
  <dimension ref="A1:W46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19.140625" style="148" customWidth="1"/>
    <col min="2" max="2" width="4.140625" style="148" customWidth="1"/>
    <col min="3" max="3" width="4.7109375" style="148" customWidth="1"/>
    <col min="4" max="5" width="13.7109375" style="148" customWidth="1"/>
    <col min="6" max="7" width="35.7109375" style="148" customWidth="1"/>
    <col min="8" max="8" width="9.7109375" style="148" customWidth="1"/>
    <col min="9" max="9" width="13.28125" style="148" hidden="1" customWidth="1"/>
    <col min="10" max="11" width="16.421875" style="148" customWidth="1"/>
    <col min="12" max="14" width="9.7109375" style="148" customWidth="1"/>
    <col min="15" max="15" width="7.7109375" style="148" customWidth="1"/>
    <col min="16" max="16" width="14.421875" style="148" hidden="1" customWidth="1"/>
    <col min="17" max="17" width="14.57421875" style="148" hidden="1" customWidth="1"/>
    <col min="18" max="20" width="15.7109375" style="148" hidden="1" customWidth="1"/>
    <col min="21" max="21" width="9.7109375" style="148" customWidth="1"/>
    <col min="22" max="22" width="15.7109375" style="148" customWidth="1"/>
    <col min="23" max="23" width="4.140625" style="148" customWidth="1"/>
    <col min="24" max="16384" width="11.421875" style="148" customWidth="1"/>
  </cols>
  <sheetData>
    <row r="1" ht="16.5" customHeight="1">
      <c r="W1" s="149"/>
    </row>
    <row r="2" spans="2:23" ht="16.5" customHeight="1">
      <c r="B2" s="319" t="s">
        <v>193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</row>
    <row r="3" spans="2:23" ht="16.5" customHeight="1"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</row>
    <row r="4" spans="2:23" s="150" customFormat="1" ht="26.25">
      <c r="B4" s="151" t="str">
        <f>+'TOT-0314'!B2</f>
        <v>ANEXO III a la Resolución AAANR N°  179 / 2016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</row>
    <row r="5" spans="1:2" s="153" customFormat="1" ht="11.25">
      <c r="A5" s="103" t="s">
        <v>2</v>
      </c>
      <c r="B5" s="320"/>
    </row>
    <row r="6" spans="1:2" s="153" customFormat="1" ht="11.25">
      <c r="A6" s="103" t="s">
        <v>3</v>
      </c>
      <c r="B6" s="320"/>
    </row>
    <row r="7" spans="2:23" ht="16.5" customHeight="1" thickBot="1">
      <c r="B7" s="319"/>
      <c r="C7" s="319"/>
      <c r="D7" s="319"/>
      <c r="E7" s="319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</row>
    <row r="8" spans="2:23" ht="16.5" customHeight="1" thickTop="1">
      <c r="B8" s="322"/>
      <c r="C8" s="323"/>
      <c r="D8" s="323"/>
      <c r="E8" s="323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5"/>
    </row>
    <row r="9" spans="2:23" s="157" customFormat="1" ht="20.25">
      <c r="B9" s="158"/>
      <c r="C9" s="64"/>
      <c r="D9" s="64"/>
      <c r="E9" s="64"/>
      <c r="F9" s="159" t="str">
        <f>CONCATENATE("FUNCIÓN TÉCNICA DE TRANSPORTE DE ENERGÍA ELÉCTRICA - ",'TOT-0314'!B9)</f>
        <v>FUNCIÓN TÉCNICA DE TRANSPORTE DE ENERGÍA ELÉCTRICA - EDESUR S.A.</v>
      </c>
      <c r="G9" s="159"/>
      <c r="P9" s="64"/>
      <c r="Q9" s="64"/>
      <c r="R9" s="64"/>
      <c r="S9" s="64"/>
      <c r="T9" s="64"/>
      <c r="U9" s="64"/>
      <c r="V9" s="64"/>
      <c r="W9" s="160"/>
    </row>
    <row r="10" spans="2:23" ht="16.5" customHeight="1">
      <c r="B10" s="326"/>
      <c r="C10" s="327"/>
      <c r="D10" s="327"/>
      <c r="E10" s="327"/>
      <c r="F10" s="64"/>
      <c r="G10" s="328"/>
      <c r="H10" s="133"/>
      <c r="I10" s="329"/>
      <c r="J10" s="329"/>
      <c r="K10" s="329"/>
      <c r="L10" s="329"/>
      <c r="M10" s="329"/>
      <c r="N10" s="319"/>
      <c r="O10" s="319"/>
      <c r="P10" s="133"/>
      <c r="Q10" s="133"/>
      <c r="R10" s="133"/>
      <c r="S10" s="133"/>
      <c r="T10" s="133"/>
      <c r="U10" s="133"/>
      <c r="V10" s="133"/>
      <c r="W10" s="330"/>
    </row>
    <row r="11" spans="2:23" s="157" customFormat="1" ht="20.25">
      <c r="B11" s="158"/>
      <c r="C11" s="64"/>
      <c r="D11" s="64"/>
      <c r="E11" s="64"/>
      <c r="F11" s="159" t="s">
        <v>70</v>
      </c>
      <c r="G11" s="159"/>
      <c r="H11" s="64"/>
      <c r="I11" s="159"/>
      <c r="J11" s="159"/>
      <c r="K11" s="159"/>
      <c r="L11" s="159"/>
      <c r="M11" s="159"/>
      <c r="P11" s="64"/>
      <c r="Q11" s="64"/>
      <c r="R11" s="64"/>
      <c r="S11" s="64"/>
      <c r="T11" s="64"/>
      <c r="U11" s="64"/>
      <c r="V11" s="64"/>
      <c r="W11" s="160"/>
    </row>
    <row r="12" spans="2:23" ht="16.5" customHeight="1">
      <c r="B12" s="326"/>
      <c r="C12" s="327"/>
      <c r="D12" s="327"/>
      <c r="E12" s="327"/>
      <c r="F12" s="163"/>
      <c r="G12" s="331"/>
      <c r="H12" s="133"/>
      <c r="I12" s="329"/>
      <c r="J12" s="329"/>
      <c r="K12" s="329"/>
      <c r="L12" s="329"/>
      <c r="M12" s="329"/>
      <c r="N12" s="319"/>
      <c r="O12" s="319"/>
      <c r="P12" s="133"/>
      <c r="Q12" s="133"/>
      <c r="R12" s="133"/>
      <c r="S12" s="133"/>
      <c r="T12" s="133"/>
      <c r="U12" s="133"/>
      <c r="V12" s="133"/>
      <c r="W12" s="330"/>
    </row>
    <row r="13" spans="2:23" s="166" customFormat="1" ht="19.5">
      <c r="B13" s="167" t="str">
        <f>+'TOT-0314'!B14</f>
        <v>Desde el 01 al 31 de marzo de 2014</v>
      </c>
      <c r="C13" s="168"/>
      <c r="D13" s="168"/>
      <c r="E13" s="168"/>
      <c r="F13" s="66"/>
      <c r="G13" s="66"/>
      <c r="H13" s="66"/>
      <c r="I13" s="66"/>
      <c r="J13" s="170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171"/>
    </row>
    <row r="14" spans="2:23" ht="16.5" customHeight="1" thickBot="1">
      <c r="B14" s="326"/>
      <c r="C14" s="327"/>
      <c r="D14" s="327"/>
      <c r="E14" s="327"/>
      <c r="F14" s="321"/>
      <c r="G14" s="321"/>
      <c r="H14" s="321"/>
      <c r="I14" s="133"/>
      <c r="J14" s="319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330"/>
    </row>
    <row r="15" spans="2:23" ht="16.5" customHeight="1" thickBot="1" thickTop="1">
      <c r="B15" s="326"/>
      <c r="C15" s="327"/>
      <c r="D15" s="327"/>
      <c r="E15" s="327"/>
      <c r="F15" s="134" t="s">
        <v>71</v>
      </c>
      <c r="G15" s="135">
        <v>4.637</v>
      </c>
      <c r="H15" s="332">
        <f>60*'TOT-0314'!B13</f>
        <v>120</v>
      </c>
      <c r="I15" s="133"/>
      <c r="J15" s="69" t="str">
        <f>IF(H15=60," ",IF(H15=120,"    Coeficiente duplicado por tasa de falla &gt;4 Sal. x año/100 km.","    REVISAR COEFICIENTE"))</f>
        <v>    Coeficiente duplicado por tasa de falla &gt;4 Sal. x año/100 km.</v>
      </c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330"/>
    </row>
    <row r="16" spans="2:23" ht="16.5" customHeight="1" thickBot="1" thickTop="1">
      <c r="B16" s="326"/>
      <c r="C16" s="327"/>
      <c r="D16" s="327"/>
      <c r="E16" s="327"/>
      <c r="F16" s="134" t="s">
        <v>72</v>
      </c>
      <c r="G16" s="135">
        <v>2.318</v>
      </c>
      <c r="H16" s="332">
        <f>50*'TOT-0314'!B13</f>
        <v>100</v>
      </c>
      <c r="I16" s="319"/>
      <c r="J16" s="69" t="str">
        <f>IF(H16=50," ",IF(H16=100,"    Coeficiente duplicado por tasa de falla &gt;4 Sal. x año/100 km.","    REVISAR COEFICIENTE"))</f>
        <v>    Coeficiente duplicado por tasa de falla &gt;4 Sal. x año/100 km.</v>
      </c>
      <c r="K16" s="319"/>
      <c r="L16" s="319"/>
      <c r="M16" s="319"/>
      <c r="N16" s="319"/>
      <c r="O16" s="319"/>
      <c r="P16" s="319"/>
      <c r="Q16" s="319"/>
      <c r="R16" s="319"/>
      <c r="S16" s="133"/>
      <c r="T16" s="133"/>
      <c r="U16" s="133"/>
      <c r="V16" s="333"/>
      <c r="W16" s="330"/>
    </row>
    <row r="17" spans="2:23" ht="16.5" customHeight="1" thickBot="1" thickTop="1">
      <c r="B17" s="326"/>
      <c r="C17" s="327"/>
      <c r="D17" s="327"/>
      <c r="E17" s="327"/>
      <c r="F17" s="334" t="s">
        <v>73</v>
      </c>
      <c r="G17" s="135">
        <v>1.739</v>
      </c>
      <c r="H17" s="335">
        <f>25*'TOT-0314'!B13</f>
        <v>50</v>
      </c>
      <c r="I17" s="319"/>
      <c r="J17" s="69" t="str">
        <f>IF(H17=25," ",IF(H17=50,"    Coeficiente duplicado por tasa de falla &gt;4 Sal. x año/100 km.","    REVISAR COEFICIENTE"))</f>
        <v>    Coeficiente duplicado por tasa de falla &gt;4 Sal. x año/100 km.</v>
      </c>
      <c r="K17" s="136"/>
      <c r="L17" s="136"/>
      <c r="M17" s="133"/>
      <c r="N17" s="319"/>
      <c r="O17" s="319"/>
      <c r="P17" s="336"/>
      <c r="Q17" s="337"/>
      <c r="R17" s="338"/>
      <c r="S17" s="133"/>
      <c r="T17" s="133"/>
      <c r="U17" s="133"/>
      <c r="V17" s="333"/>
      <c r="W17" s="330"/>
    </row>
    <row r="18" spans="2:23" ht="16.5" customHeight="1" thickBot="1" thickTop="1">
      <c r="B18" s="326"/>
      <c r="C18" s="327"/>
      <c r="D18" s="327"/>
      <c r="E18" s="327"/>
      <c r="F18" s="134" t="s">
        <v>74</v>
      </c>
      <c r="G18" s="135">
        <v>1.739</v>
      </c>
      <c r="H18" s="339">
        <f>20*'TOT-0314'!B13</f>
        <v>40</v>
      </c>
      <c r="I18" s="319"/>
      <c r="J18" s="69" t="str">
        <f>IF(H18=20," ",IF(H18=40,"    Coeficiente duplicado por tasa de falla &gt;4 Sal. x año/100 km.","    REVISAR COEFICIENTE"))</f>
        <v>    Coeficiente duplicado por tasa de falla &gt;4 Sal. x año/100 km.</v>
      </c>
      <c r="K18" s="136"/>
      <c r="L18" s="136"/>
      <c r="M18" s="133"/>
      <c r="N18" s="319"/>
      <c r="O18" s="319"/>
      <c r="P18" s="336"/>
      <c r="Q18" s="337"/>
      <c r="R18" s="338"/>
      <c r="S18" s="133"/>
      <c r="T18" s="133"/>
      <c r="U18" s="133"/>
      <c r="V18" s="333"/>
      <c r="W18" s="330"/>
    </row>
    <row r="19" spans="2:23" ht="16.5" customHeight="1" thickBot="1" thickTop="1">
      <c r="B19" s="326"/>
      <c r="C19" s="450">
        <v>3</v>
      </c>
      <c r="D19" s="450">
        <v>4</v>
      </c>
      <c r="E19" s="450">
        <v>5</v>
      </c>
      <c r="F19" s="450">
        <v>6</v>
      </c>
      <c r="G19" s="450">
        <v>7</v>
      </c>
      <c r="H19" s="450">
        <v>8</v>
      </c>
      <c r="I19" s="450">
        <v>9</v>
      </c>
      <c r="J19" s="450">
        <v>10</v>
      </c>
      <c r="K19" s="450">
        <v>11</v>
      </c>
      <c r="L19" s="450">
        <v>12</v>
      </c>
      <c r="M19" s="450">
        <v>13</v>
      </c>
      <c r="N19" s="450">
        <v>14</v>
      </c>
      <c r="O19" s="450">
        <v>15</v>
      </c>
      <c r="P19" s="450">
        <v>16</v>
      </c>
      <c r="Q19" s="450">
        <v>17</v>
      </c>
      <c r="R19" s="450">
        <v>18</v>
      </c>
      <c r="S19" s="450">
        <v>19</v>
      </c>
      <c r="T19" s="450">
        <v>20</v>
      </c>
      <c r="U19" s="450">
        <v>21</v>
      </c>
      <c r="V19" s="450">
        <v>22</v>
      </c>
      <c r="W19" s="330"/>
    </row>
    <row r="20" spans="2:23" s="272" customFormat="1" ht="34.5" customHeight="1" thickBot="1" thickTop="1">
      <c r="B20" s="340"/>
      <c r="C20" s="426" t="s">
        <v>20</v>
      </c>
      <c r="D20" s="426" t="s">
        <v>79</v>
      </c>
      <c r="E20" s="426" t="s">
        <v>80</v>
      </c>
      <c r="F20" s="137" t="s">
        <v>59</v>
      </c>
      <c r="G20" s="138" t="s">
        <v>60</v>
      </c>
      <c r="H20" s="137" t="s">
        <v>21</v>
      </c>
      <c r="I20" s="139" t="s">
        <v>23</v>
      </c>
      <c r="J20" s="138" t="s">
        <v>24</v>
      </c>
      <c r="K20" s="138" t="s">
        <v>25</v>
      </c>
      <c r="L20" s="137" t="s">
        <v>62</v>
      </c>
      <c r="M20" s="137" t="s">
        <v>63</v>
      </c>
      <c r="N20" s="71" t="s">
        <v>27</v>
      </c>
      <c r="O20" s="138" t="s">
        <v>64</v>
      </c>
      <c r="P20" s="140" t="s">
        <v>75</v>
      </c>
      <c r="Q20" s="341" t="s">
        <v>28</v>
      </c>
      <c r="R20" s="141" t="s">
        <v>68</v>
      </c>
      <c r="S20" s="342"/>
      <c r="T20" s="343" t="s">
        <v>30</v>
      </c>
      <c r="U20" s="137" t="s">
        <v>32</v>
      </c>
      <c r="V20" s="137" t="s">
        <v>33</v>
      </c>
      <c r="W20" s="271"/>
    </row>
    <row r="21" spans="2:23" ht="16.5" customHeight="1" thickTop="1">
      <c r="B21" s="326"/>
      <c r="C21" s="275"/>
      <c r="D21" s="275"/>
      <c r="E21" s="275"/>
      <c r="F21" s="274"/>
      <c r="G21" s="274"/>
      <c r="H21" s="344"/>
      <c r="I21" s="345">
        <v>5</v>
      </c>
      <c r="J21" s="421"/>
      <c r="K21" s="422"/>
      <c r="L21" s="274"/>
      <c r="M21" s="274"/>
      <c r="N21" s="274"/>
      <c r="O21" s="274"/>
      <c r="P21" s="346"/>
      <c r="Q21" s="347"/>
      <c r="R21" s="348"/>
      <c r="S21" s="349"/>
      <c r="T21" s="350"/>
      <c r="U21" s="351"/>
      <c r="V21" s="199"/>
      <c r="W21" s="253"/>
    </row>
    <row r="22" spans="2:23" ht="16.5" customHeight="1">
      <c r="B22" s="326"/>
      <c r="C22" s="286"/>
      <c r="D22" s="286"/>
      <c r="E22" s="286"/>
      <c r="F22" s="273"/>
      <c r="G22" s="273"/>
      <c r="H22" s="352"/>
      <c r="I22" s="353">
        <v>2005</v>
      </c>
      <c r="J22" s="423"/>
      <c r="K22" s="424"/>
      <c r="L22" s="273"/>
      <c r="M22" s="273"/>
      <c r="N22" s="273"/>
      <c r="O22" s="273"/>
      <c r="P22" s="354"/>
      <c r="Q22" s="355"/>
      <c r="R22" s="356"/>
      <c r="S22" s="357"/>
      <c r="T22" s="358"/>
      <c r="U22" s="359"/>
      <c r="V22" s="360"/>
      <c r="W22" s="253"/>
    </row>
    <row r="23" spans="2:23" ht="16.5" customHeight="1">
      <c r="B23" s="326"/>
      <c r="C23" s="398">
        <v>40</v>
      </c>
      <c r="D23" s="398">
        <v>272637</v>
      </c>
      <c r="E23" s="398">
        <v>1327</v>
      </c>
      <c r="F23" s="411" t="s">
        <v>170</v>
      </c>
      <c r="G23" s="411" t="s">
        <v>171</v>
      </c>
      <c r="H23" s="412">
        <v>220</v>
      </c>
      <c r="I23" s="361">
        <f aca="true" t="shared" si="0" ref="I23:I42">IF(H23=220,$G$15,IF(AND(H23&lt;=132,H23&gt;=66),$G$16,IF(AND(H23&lt;66,H23&gt;=13.2),$G$17,$G$18)))</f>
        <v>4.637</v>
      </c>
      <c r="J23" s="454">
        <v>41699.069444444445</v>
      </c>
      <c r="K23" s="454">
        <v>41699.70972222222</v>
      </c>
      <c r="L23" s="120">
        <f aca="true" t="shared" si="1" ref="L23:L42">IF(F23="","",(K23-J23)*24)</f>
        <v>15.366666666639503</v>
      </c>
      <c r="M23" s="142">
        <f aca="true" t="shared" si="2" ref="M23:M42">IF(F23="","",ROUND((K23-J23)*24*60,0))</f>
        <v>922</v>
      </c>
      <c r="N23" s="122" t="s">
        <v>137</v>
      </c>
      <c r="O23" s="122" t="str">
        <f aca="true" t="shared" si="3" ref="O23:O42">IF(F23="","",IF(OR(N23="P",N23="RP"),"--","NO"))</f>
        <v>--</v>
      </c>
      <c r="P23" s="143">
        <f aca="true" t="shared" si="4" ref="P23:P42">IF(H23=220,$H$15,IF(AND(H23&lt;=132,H23&gt;=66),$H$16,IF(AND(H23&lt;66,H23&gt;13.2),$H$17,$H$18)))</f>
        <v>120</v>
      </c>
      <c r="Q23" s="144">
        <f aca="true" t="shared" si="5" ref="Q23:Q42">IF(N23="P",I23*P23*ROUND(M23/60,2)*0.1,"--")</f>
        <v>855.2482799999998</v>
      </c>
      <c r="R23" s="145" t="str">
        <f aca="true" t="shared" si="6" ref="R23:R42">IF(AND(N23="F",O23="NO"),I23*P23,"--")</f>
        <v>--</v>
      </c>
      <c r="S23" s="146" t="str">
        <f aca="true" t="shared" si="7" ref="S23:S42">IF(N23="F",I23*P23*ROUND(M23/60,2),"--")</f>
        <v>--</v>
      </c>
      <c r="T23" s="147" t="str">
        <f aca="true" t="shared" si="8" ref="T23:T42">IF(N23="RF",I23*P23*ROUND(M23/60,2),"--")</f>
        <v>--</v>
      </c>
      <c r="U23" s="372" t="s">
        <v>138</v>
      </c>
      <c r="V23" s="298">
        <f aca="true" t="shared" si="9" ref="V23:V42">IF(F23="","",SUM(Q23:T23)*IF(U23="SI",1,2)*IF(H23="500/220",0,1))</f>
        <v>855.2482799999998</v>
      </c>
      <c r="W23" s="253"/>
    </row>
    <row r="24" spans="2:23" ht="16.5" customHeight="1">
      <c r="B24" s="326"/>
      <c r="C24" s="398">
        <v>41</v>
      </c>
      <c r="D24" s="398">
        <v>272928</v>
      </c>
      <c r="E24" s="398">
        <v>1327</v>
      </c>
      <c r="F24" s="411" t="s">
        <v>170</v>
      </c>
      <c r="G24" s="411" t="s">
        <v>171</v>
      </c>
      <c r="H24" s="412">
        <v>220</v>
      </c>
      <c r="I24" s="361">
        <f t="shared" si="0"/>
        <v>4.637</v>
      </c>
      <c r="J24" s="454">
        <v>41706.01666666667</v>
      </c>
      <c r="K24" s="454">
        <v>41706.54513888889</v>
      </c>
      <c r="L24" s="120">
        <f t="shared" si="1"/>
        <v>12.683333333290648</v>
      </c>
      <c r="M24" s="142">
        <f t="shared" si="2"/>
        <v>761</v>
      </c>
      <c r="N24" s="122" t="s">
        <v>137</v>
      </c>
      <c r="O24" s="122" t="str">
        <f t="shared" si="3"/>
        <v>--</v>
      </c>
      <c r="P24" s="143">
        <f t="shared" si="4"/>
        <v>120</v>
      </c>
      <c r="Q24" s="144">
        <f t="shared" si="5"/>
        <v>705.56592</v>
      </c>
      <c r="R24" s="145" t="str">
        <f t="shared" si="6"/>
        <v>--</v>
      </c>
      <c r="S24" s="146" t="str">
        <f t="shared" si="7"/>
        <v>--</v>
      </c>
      <c r="T24" s="147" t="str">
        <f t="shared" si="8"/>
        <v>--</v>
      </c>
      <c r="U24" s="372" t="s">
        <v>138</v>
      </c>
      <c r="V24" s="298">
        <f t="shared" si="9"/>
        <v>705.56592</v>
      </c>
      <c r="W24" s="253"/>
    </row>
    <row r="25" spans="2:23" ht="16.5" customHeight="1">
      <c r="B25" s="326"/>
      <c r="C25" s="398">
        <v>42</v>
      </c>
      <c r="D25" s="398">
        <v>273547</v>
      </c>
      <c r="E25" s="398">
        <v>3997</v>
      </c>
      <c r="F25" s="411" t="s">
        <v>170</v>
      </c>
      <c r="G25" s="411" t="s">
        <v>172</v>
      </c>
      <c r="H25" s="412">
        <v>220</v>
      </c>
      <c r="I25" s="361">
        <f t="shared" si="0"/>
        <v>4.637</v>
      </c>
      <c r="J25" s="454">
        <v>41727.32847222222</v>
      </c>
      <c r="K25" s="454">
        <v>41727.81805555556</v>
      </c>
      <c r="L25" s="120">
        <f t="shared" si="1"/>
        <v>11.750000000058208</v>
      </c>
      <c r="M25" s="142">
        <f t="shared" si="2"/>
        <v>705</v>
      </c>
      <c r="N25" s="122" t="s">
        <v>137</v>
      </c>
      <c r="O25" s="122" t="str">
        <f t="shared" si="3"/>
        <v>--</v>
      </c>
      <c r="P25" s="143">
        <f t="shared" si="4"/>
        <v>120</v>
      </c>
      <c r="Q25" s="144">
        <f t="shared" si="5"/>
        <v>653.817</v>
      </c>
      <c r="R25" s="145" t="str">
        <f t="shared" si="6"/>
        <v>--</v>
      </c>
      <c r="S25" s="146" t="str">
        <f t="shared" si="7"/>
        <v>--</v>
      </c>
      <c r="T25" s="147" t="str">
        <f t="shared" si="8"/>
        <v>--</v>
      </c>
      <c r="U25" s="372" t="s">
        <v>138</v>
      </c>
      <c r="V25" s="298">
        <f t="shared" si="9"/>
        <v>653.817</v>
      </c>
      <c r="W25" s="253"/>
    </row>
    <row r="26" spans="2:23" ht="16.5" customHeight="1">
      <c r="B26" s="326"/>
      <c r="C26" s="398"/>
      <c r="D26" s="398"/>
      <c r="E26" s="398"/>
      <c r="F26" s="411"/>
      <c r="G26" s="411"/>
      <c r="H26" s="412"/>
      <c r="I26" s="361">
        <f t="shared" si="0"/>
        <v>1.739</v>
      </c>
      <c r="J26" s="454"/>
      <c r="K26" s="454"/>
      <c r="L26" s="120">
        <f t="shared" si="1"/>
      </c>
      <c r="M26" s="142">
        <f t="shared" si="2"/>
      </c>
      <c r="N26" s="122"/>
      <c r="O26" s="122">
        <f t="shared" si="3"/>
      </c>
      <c r="P26" s="143">
        <f t="shared" si="4"/>
        <v>40</v>
      </c>
      <c r="Q26" s="144" t="str">
        <f t="shared" si="5"/>
        <v>--</v>
      </c>
      <c r="R26" s="145" t="str">
        <f t="shared" si="6"/>
        <v>--</v>
      </c>
      <c r="S26" s="146" t="str">
        <f t="shared" si="7"/>
        <v>--</v>
      </c>
      <c r="T26" s="147" t="str">
        <f t="shared" si="8"/>
        <v>--</v>
      </c>
      <c r="U26" s="372" t="str">
        <f aca="true" t="shared" si="10" ref="U26:U42">IF(F26=""," ","SI")</f>
        <v> </v>
      </c>
      <c r="V26" s="298">
        <f t="shared" si="9"/>
      </c>
      <c r="W26" s="253"/>
    </row>
    <row r="27" spans="2:23" ht="16.5" customHeight="1">
      <c r="B27" s="326"/>
      <c r="C27" s="398"/>
      <c r="D27" s="398"/>
      <c r="E27" s="398"/>
      <c r="F27" s="411"/>
      <c r="G27" s="411"/>
      <c r="H27" s="412"/>
      <c r="I27" s="361">
        <f t="shared" si="0"/>
        <v>1.739</v>
      </c>
      <c r="J27" s="454"/>
      <c r="K27" s="454"/>
      <c r="L27" s="120">
        <f t="shared" si="1"/>
      </c>
      <c r="M27" s="142">
        <f t="shared" si="2"/>
      </c>
      <c r="N27" s="122"/>
      <c r="O27" s="122">
        <f t="shared" si="3"/>
      </c>
      <c r="P27" s="143">
        <f t="shared" si="4"/>
        <v>40</v>
      </c>
      <c r="Q27" s="144" t="str">
        <f t="shared" si="5"/>
        <v>--</v>
      </c>
      <c r="R27" s="145" t="str">
        <f t="shared" si="6"/>
        <v>--</v>
      </c>
      <c r="S27" s="146" t="str">
        <f t="shared" si="7"/>
        <v>--</v>
      </c>
      <c r="T27" s="147" t="str">
        <f t="shared" si="8"/>
        <v>--</v>
      </c>
      <c r="U27" s="372" t="str">
        <f t="shared" si="10"/>
        <v> </v>
      </c>
      <c r="V27" s="298">
        <f t="shared" si="9"/>
      </c>
      <c r="W27" s="253"/>
    </row>
    <row r="28" spans="2:23" ht="16.5" customHeight="1">
      <c r="B28" s="326"/>
      <c r="C28" s="398"/>
      <c r="D28" s="398"/>
      <c r="E28" s="398"/>
      <c r="F28" s="411"/>
      <c r="G28" s="411"/>
      <c r="H28" s="412"/>
      <c r="I28" s="361">
        <f t="shared" si="0"/>
        <v>1.739</v>
      </c>
      <c r="J28" s="454"/>
      <c r="K28" s="454"/>
      <c r="L28" s="120">
        <f t="shared" si="1"/>
      </c>
      <c r="M28" s="142">
        <f t="shared" si="2"/>
      </c>
      <c r="N28" s="122"/>
      <c r="O28" s="122">
        <f t="shared" si="3"/>
      </c>
      <c r="P28" s="143">
        <f t="shared" si="4"/>
        <v>40</v>
      </c>
      <c r="Q28" s="144" t="str">
        <f t="shared" si="5"/>
        <v>--</v>
      </c>
      <c r="R28" s="145" t="str">
        <f t="shared" si="6"/>
        <v>--</v>
      </c>
      <c r="S28" s="146" t="str">
        <f t="shared" si="7"/>
        <v>--</v>
      </c>
      <c r="T28" s="147" t="str">
        <f t="shared" si="8"/>
        <v>--</v>
      </c>
      <c r="U28" s="372" t="str">
        <f t="shared" si="10"/>
        <v> </v>
      </c>
      <c r="V28" s="298">
        <f t="shared" si="9"/>
      </c>
      <c r="W28" s="253"/>
    </row>
    <row r="29" spans="2:23" ht="16.5" customHeight="1">
      <c r="B29" s="326"/>
      <c r="C29" s="398"/>
      <c r="D29" s="398"/>
      <c r="E29" s="398"/>
      <c r="F29" s="411"/>
      <c r="G29" s="411"/>
      <c r="H29" s="412"/>
      <c r="I29" s="361">
        <f t="shared" si="0"/>
        <v>1.739</v>
      </c>
      <c r="J29" s="454"/>
      <c r="K29" s="454"/>
      <c r="L29" s="120">
        <f t="shared" si="1"/>
      </c>
      <c r="M29" s="142">
        <f t="shared" si="2"/>
      </c>
      <c r="N29" s="122"/>
      <c r="O29" s="122">
        <f t="shared" si="3"/>
      </c>
      <c r="P29" s="143">
        <f t="shared" si="4"/>
        <v>40</v>
      </c>
      <c r="Q29" s="144" t="str">
        <f t="shared" si="5"/>
        <v>--</v>
      </c>
      <c r="R29" s="145" t="str">
        <f t="shared" si="6"/>
        <v>--</v>
      </c>
      <c r="S29" s="146" t="str">
        <f t="shared" si="7"/>
        <v>--</v>
      </c>
      <c r="T29" s="147" t="str">
        <f t="shared" si="8"/>
        <v>--</v>
      </c>
      <c r="U29" s="372" t="str">
        <f t="shared" si="10"/>
        <v> </v>
      </c>
      <c r="V29" s="298">
        <f t="shared" si="9"/>
      </c>
      <c r="W29" s="253"/>
    </row>
    <row r="30" spans="2:23" ht="16.5" customHeight="1">
      <c r="B30" s="326"/>
      <c r="C30" s="398"/>
      <c r="D30" s="398"/>
      <c r="E30" s="398"/>
      <c r="F30" s="411"/>
      <c r="G30" s="411"/>
      <c r="H30" s="412"/>
      <c r="I30" s="361">
        <f t="shared" si="0"/>
        <v>1.739</v>
      </c>
      <c r="J30" s="454"/>
      <c r="K30" s="454"/>
      <c r="L30" s="120">
        <f t="shared" si="1"/>
      </c>
      <c r="M30" s="142">
        <f t="shared" si="2"/>
      </c>
      <c r="N30" s="122"/>
      <c r="O30" s="122">
        <f t="shared" si="3"/>
      </c>
      <c r="P30" s="143">
        <f t="shared" si="4"/>
        <v>40</v>
      </c>
      <c r="Q30" s="144" t="str">
        <f t="shared" si="5"/>
        <v>--</v>
      </c>
      <c r="R30" s="145" t="str">
        <f t="shared" si="6"/>
        <v>--</v>
      </c>
      <c r="S30" s="146" t="str">
        <f t="shared" si="7"/>
        <v>--</v>
      </c>
      <c r="T30" s="147" t="str">
        <f t="shared" si="8"/>
        <v>--</v>
      </c>
      <c r="U30" s="372" t="str">
        <f t="shared" si="10"/>
        <v> </v>
      </c>
      <c r="V30" s="298">
        <f t="shared" si="9"/>
      </c>
      <c r="W30" s="253"/>
    </row>
    <row r="31" spans="2:23" ht="16.5" customHeight="1">
      <c r="B31" s="326"/>
      <c r="C31" s="398"/>
      <c r="D31" s="398"/>
      <c r="E31" s="398"/>
      <c r="F31" s="411"/>
      <c r="G31" s="411"/>
      <c r="H31" s="412"/>
      <c r="I31" s="361">
        <f t="shared" si="0"/>
        <v>1.739</v>
      </c>
      <c r="J31" s="454"/>
      <c r="K31" s="454"/>
      <c r="L31" s="120">
        <f t="shared" si="1"/>
      </c>
      <c r="M31" s="142">
        <f t="shared" si="2"/>
      </c>
      <c r="N31" s="122"/>
      <c r="O31" s="122">
        <f t="shared" si="3"/>
      </c>
      <c r="P31" s="143">
        <f t="shared" si="4"/>
        <v>40</v>
      </c>
      <c r="Q31" s="144" t="str">
        <f t="shared" si="5"/>
        <v>--</v>
      </c>
      <c r="R31" s="145" t="str">
        <f t="shared" si="6"/>
        <v>--</v>
      </c>
      <c r="S31" s="146" t="str">
        <f t="shared" si="7"/>
        <v>--</v>
      </c>
      <c r="T31" s="147" t="str">
        <f t="shared" si="8"/>
        <v>--</v>
      </c>
      <c r="U31" s="372" t="str">
        <f t="shared" si="10"/>
        <v> </v>
      </c>
      <c r="V31" s="298">
        <f t="shared" si="9"/>
      </c>
      <c r="W31" s="253"/>
    </row>
    <row r="32" spans="2:23" ht="16.5" customHeight="1">
      <c r="B32" s="326"/>
      <c r="C32" s="398"/>
      <c r="D32" s="398"/>
      <c r="E32" s="398"/>
      <c r="F32" s="411"/>
      <c r="G32" s="411"/>
      <c r="H32" s="412"/>
      <c r="I32" s="361">
        <f t="shared" si="0"/>
        <v>1.739</v>
      </c>
      <c r="J32" s="454"/>
      <c r="K32" s="454"/>
      <c r="L32" s="120">
        <f t="shared" si="1"/>
      </c>
      <c r="M32" s="142">
        <f t="shared" si="2"/>
      </c>
      <c r="N32" s="122"/>
      <c r="O32" s="122">
        <f t="shared" si="3"/>
      </c>
      <c r="P32" s="143">
        <f t="shared" si="4"/>
        <v>40</v>
      </c>
      <c r="Q32" s="144" t="str">
        <f t="shared" si="5"/>
        <v>--</v>
      </c>
      <c r="R32" s="145" t="str">
        <f t="shared" si="6"/>
        <v>--</v>
      </c>
      <c r="S32" s="146" t="str">
        <f t="shared" si="7"/>
        <v>--</v>
      </c>
      <c r="T32" s="147" t="str">
        <f t="shared" si="8"/>
        <v>--</v>
      </c>
      <c r="U32" s="372" t="str">
        <f t="shared" si="10"/>
        <v> </v>
      </c>
      <c r="V32" s="298">
        <f t="shared" si="9"/>
      </c>
      <c r="W32" s="253"/>
    </row>
    <row r="33" spans="2:23" ht="16.5" customHeight="1">
      <c r="B33" s="326"/>
      <c r="C33" s="398"/>
      <c r="D33" s="398"/>
      <c r="E33" s="398"/>
      <c r="F33" s="411"/>
      <c r="G33" s="411"/>
      <c r="H33" s="412"/>
      <c r="I33" s="361">
        <f t="shared" si="0"/>
        <v>1.739</v>
      </c>
      <c r="J33" s="454"/>
      <c r="K33" s="454"/>
      <c r="L33" s="120">
        <f t="shared" si="1"/>
      </c>
      <c r="M33" s="142">
        <f t="shared" si="2"/>
      </c>
      <c r="N33" s="122"/>
      <c r="O33" s="122">
        <f t="shared" si="3"/>
      </c>
      <c r="P33" s="143">
        <f t="shared" si="4"/>
        <v>40</v>
      </c>
      <c r="Q33" s="144" t="str">
        <f t="shared" si="5"/>
        <v>--</v>
      </c>
      <c r="R33" s="145" t="str">
        <f t="shared" si="6"/>
        <v>--</v>
      </c>
      <c r="S33" s="146" t="str">
        <f t="shared" si="7"/>
        <v>--</v>
      </c>
      <c r="T33" s="147" t="str">
        <f t="shared" si="8"/>
        <v>--</v>
      </c>
      <c r="U33" s="372" t="str">
        <f t="shared" si="10"/>
        <v> </v>
      </c>
      <c r="V33" s="298">
        <f t="shared" si="9"/>
      </c>
      <c r="W33" s="253"/>
    </row>
    <row r="34" spans="2:23" ht="16.5" customHeight="1">
      <c r="B34" s="326"/>
      <c r="C34" s="398"/>
      <c r="D34" s="398"/>
      <c r="E34" s="398"/>
      <c r="F34" s="411"/>
      <c r="G34" s="411"/>
      <c r="H34" s="412"/>
      <c r="I34" s="361">
        <f t="shared" si="0"/>
        <v>1.739</v>
      </c>
      <c r="J34" s="454"/>
      <c r="K34" s="454"/>
      <c r="L34" s="120">
        <f t="shared" si="1"/>
      </c>
      <c r="M34" s="142">
        <f t="shared" si="2"/>
      </c>
      <c r="N34" s="122"/>
      <c r="O34" s="122">
        <f t="shared" si="3"/>
      </c>
      <c r="P34" s="143">
        <f t="shared" si="4"/>
        <v>40</v>
      </c>
      <c r="Q34" s="144" t="str">
        <f t="shared" si="5"/>
        <v>--</v>
      </c>
      <c r="R34" s="145" t="str">
        <f t="shared" si="6"/>
        <v>--</v>
      </c>
      <c r="S34" s="146" t="str">
        <f t="shared" si="7"/>
        <v>--</v>
      </c>
      <c r="T34" s="147" t="str">
        <f t="shared" si="8"/>
        <v>--</v>
      </c>
      <c r="U34" s="372" t="str">
        <f t="shared" si="10"/>
        <v> </v>
      </c>
      <c r="V34" s="298">
        <f t="shared" si="9"/>
      </c>
      <c r="W34" s="253"/>
    </row>
    <row r="35" spans="2:23" ht="16.5" customHeight="1">
      <c r="B35" s="326"/>
      <c r="C35" s="398"/>
      <c r="D35" s="398"/>
      <c r="E35" s="398"/>
      <c r="F35" s="411"/>
      <c r="G35" s="411"/>
      <c r="H35" s="412"/>
      <c r="I35" s="361">
        <f t="shared" si="0"/>
        <v>1.739</v>
      </c>
      <c r="J35" s="454"/>
      <c r="K35" s="454"/>
      <c r="L35" s="120">
        <f t="shared" si="1"/>
      </c>
      <c r="M35" s="142">
        <f t="shared" si="2"/>
      </c>
      <c r="N35" s="122"/>
      <c r="O35" s="122">
        <f t="shared" si="3"/>
      </c>
      <c r="P35" s="143">
        <f t="shared" si="4"/>
        <v>40</v>
      </c>
      <c r="Q35" s="144" t="str">
        <f t="shared" si="5"/>
        <v>--</v>
      </c>
      <c r="R35" s="145" t="str">
        <f t="shared" si="6"/>
        <v>--</v>
      </c>
      <c r="S35" s="146" t="str">
        <f t="shared" si="7"/>
        <v>--</v>
      </c>
      <c r="T35" s="147" t="str">
        <f t="shared" si="8"/>
        <v>--</v>
      </c>
      <c r="U35" s="372" t="str">
        <f t="shared" si="10"/>
        <v> </v>
      </c>
      <c r="V35" s="298">
        <f t="shared" si="9"/>
      </c>
      <c r="W35" s="253"/>
    </row>
    <row r="36" spans="2:23" ht="16.5" customHeight="1">
      <c r="B36" s="326"/>
      <c r="C36" s="398"/>
      <c r="D36" s="398"/>
      <c r="E36" s="398"/>
      <c r="F36" s="411"/>
      <c r="G36" s="411"/>
      <c r="H36" s="412"/>
      <c r="I36" s="361">
        <f t="shared" si="0"/>
        <v>1.739</v>
      </c>
      <c r="J36" s="454"/>
      <c r="K36" s="454"/>
      <c r="L36" s="120">
        <f t="shared" si="1"/>
      </c>
      <c r="M36" s="142">
        <f t="shared" si="2"/>
      </c>
      <c r="N36" s="122"/>
      <c r="O36" s="122">
        <f t="shared" si="3"/>
      </c>
      <c r="P36" s="143">
        <f t="shared" si="4"/>
        <v>40</v>
      </c>
      <c r="Q36" s="144" t="str">
        <f t="shared" si="5"/>
        <v>--</v>
      </c>
      <c r="R36" s="145" t="str">
        <f t="shared" si="6"/>
        <v>--</v>
      </c>
      <c r="S36" s="146" t="str">
        <f t="shared" si="7"/>
        <v>--</v>
      </c>
      <c r="T36" s="147" t="str">
        <f t="shared" si="8"/>
        <v>--</v>
      </c>
      <c r="U36" s="372" t="str">
        <f t="shared" si="10"/>
        <v> </v>
      </c>
      <c r="V36" s="298">
        <f t="shared" si="9"/>
      </c>
      <c r="W36" s="253"/>
    </row>
    <row r="37" spans="2:23" ht="16.5" customHeight="1">
      <c r="B37" s="326"/>
      <c r="C37" s="398"/>
      <c r="D37" s="398"/>
      <c r="E37" s="398"/>
      <c r="F37" s="411"/>
      <c r="G37" s="411"/>
      <c r="H37" s="412"/>
      <c r="I37" s="361">
        <f t="shared" si="0"/>
        <v>1.739</v>
      </c>
      <c r="J37" s="454"/>
      <c r="K37" s="454"/>
      <c r="L37" s="120">
        <f t="shared" si="1"/>
      </c>
      <c r="M37" s="142">
        <f t="shared" si="2"/>
      </c>
      <c r="N37" s="122"/>
      <c r="O37" s="122">
        <f t="shared" si="3"/>
      </c>
      <c r="P37" s="143">
        <f t="shared" si="4"/>
        <v>40</v>
      </c>
      <c r="Q37" s="144" t="str">
        <f t="shared" si="5"/>
        <v>--</v>
      </c>
      <c r="R37" s="145" t="str">
        <f t="shared" si="6"/>
        <v>--</v>
      </c>
      <c r="S37" s="146" t="str">
        <f t="shared" si="7"/>
        <v>--</v>
      </c>
      <c r="T37" s="147" t="str">
        <f t="shared" si="8"/>
        <v>--</v>
      </c>
      <c r="U37" s="372" t="str">
        <f t="shared" si="10"/>
        <v> </v>
      </c>
      <c r="V37" s="298">
        <f t="shared" si="9"/>
      </c>
      <c r="W37" s="253"/>
    </row>
    <row r="38" spans="2:23" ht="16.5" customHeight="1">
      <c r="B38" s="326"/>
      <c r="C38" s="398"/>
      <c r="D38" s="398"/>
      <c r="E38" s="398"/>
      <c r="F38" s="411"/>
      <c r="G38" s="411"/>
      <c r="H38" s="412"/>
      <c r="I38" s="361">
        <f t="shared" si="0"/>
        <v>1.739</v>
      </c>
      <c r="J38" s="454"/>
      <c r="K38" s="454"/>
      <c r="L38" s="120">
        <f t="shared" si="1"/>
      </c>
      <c r="M38" s="142">
        <f t="shared" si="2"/>
      </c>
      <c r="N38" s="122"/>
      <c r="O38" s="122">
        <f t="shared" si="3"/>
      </c>
      <c r="P38" s="143">
        <f t="shared" si="4"/>
        <v>40</v>
      </c>
      <c r="Q38" s="144" t="str">
        <f t="shared" si="5"/>
        <v>--</v>
      </c>
      <c r="R38" s="145" t="str">
        <f t="shared" si="6"/>
        <v>--</v>
      </c>
      <c r="S38" s="146" t="str">
        <f t="shared" si="7"/>
        <v>--</v>
      </c>
      <c r="T38" s="147" t="str">
        <f t="shared" si="8"/>
        <v>--</v>
      </c>
      <c r="U38" s="372" t="str">
        <f t="shared" si="10"/>
        <v> </v>
      </c>
      <c r="V38" s="298">
        <f t="shared" si="9"/>
      </c>
      <c r="W38" s="253"/>
    </row>
    <row r="39" spans="2:23" ht="16.5" customHeight="1">
      <c r="B39" s="326"/>
      <c r="C39" s="398"/>
      <c r="D39" s="398"/>
      <c r="E39" s="398"/>
      <c r="F39" s="411"/>
      <c r="G39" s="411"/>
      <c r="H39" s="412"/>
      <c r="I39" s="361">
        <f t="shared" si="0"/>
        <v>1.739</v>
      </c>
      <c r="J39" s="454"/>
      <c r="K39" s="454"/>
      <c r="L39" s="120">
        <f t="shared" si="1"/>
      </c>
      <c r="M39" s="142">
        <f t="shared" si="2"/>
      </c>
      <c r="N39" s="122"/>
      <c r="O39" s="122">
        <f t="shared" si="3"/>
      </c>
      <c r="P39" s="143">
        <f t="shared" si="4"/>
        <v>40</v>
      </c>
      <c r="Q39" s="144" t="str">
        <f t="shared" si="5"/>
        <v>--</v>
      </c>
      <c r="R39" s="145" t="str">
        <f t="shared" si="6"/>
        <v>--</v>
      </c>
      <c r="S39" s="146" t="str">
        <f t="shared" si="7"/>
        <v>--</v>
      </c>
      <c r="T39" s="147" t="str">
        <f t="shared" si="8"/>
        <v>--</v>
      </c>
      <c r="U39" s="372" t="str">
        <f t="shared" si="10"/>
        <v> </v>
      </c>
      <c r="V39" s="298">
        <f t="shared" si="9"/>
      </c>
      <c r="W39" s="253"/>
    </row>
    <row r="40" spans="2:23" ht="16.5" customHeight="1">
      <c r="B40" s="326"/>
      <c r="C40" s="398"/>
      <c r="D40" s="398"/>
      <c r="E40" s="398"/>
      <c r="F40" s="411"/>
      <c r="G40" s="411"/>
      <c r="H40" s="412"/>
      <c r="I40" s="361">
        <f t="shared" si="0"/>
        <v>1.739</v>
      </c>
      <c r="J40" s="454"/>
      <c r="K40" s="454"/>
      <c r="L40" s="120">
        <f t="shared" si="1"/>
      </c>
      <c r="M40" s="142">
        <f t="shared" si="2"/>
      </c>
      <c r="N40" s="122"/>
      <c r="O40" s="122">
        <f t="shared" si="3"/>
      </c>
      <c r="P40" s="143">
        <f t="shared" si="4"/>
        <v>40</v>
      </c>
      <c r="Q40" s="144" t="str">
        <f t="shared" si="5"/>
        <v>--</v>
      </c>
      <c r="R40" s="145" t="str">
        <f t="shared" si="6"/>
        <v>--</v>
      </c>
      <c r="S40" s="146" t="str">
        <f t="shared" si="7"/>
        <v>--</v>
      </c>
      <c r="T40" s="147" t="str">
        <f t="shared" si="8"/>
        <v>--</v>
      </c>
      <c r="U40" s="372" t="str">
        <f t="shared" si="10"/>
        <v> </v>
      </c>
      <c r="V40" s="298">
        <f t="shared" si="9"/>
      </c>
      <c r="W40" s="253"/>
    </row>
    <row r="41" spans="2:23" ht="16.5" customHeight="1">
      <c r="B41" s="326"/>
      <c r="C41" s="398"/>
      <c r="D41" s="398"/>
      <c r="E41" s="398"/>
      <c r="F41" s="411"/>
      <c r="G41" s="411"/>
      <c r="H41" s="412"/>
      <c r="I41" s="361">
        <f t="shared" si="0"/>
        <v>1.739</v>
      </c>
      <c r="J41" s="454"/>
      <c r="K41" s="454"/>
      <c r="L41" s="120">
        <f t="shared" si="1"/>
      </c>
      <c r="M41" s="142">
        <f t="shared" si="2"/>
      </c>
      <c r="N41" s="122"/>
      <c r="O41" s="122">
        <f t="shared" si="3"/>
      </c>
      <c r="P41" s="143">
        <f t="shared" si="4"/>
        <v>40</v>
      </c>
      <c r="Q41" s="144" t="str">
        <f t="shared" si="5"/>
        <v>--</v>
      </c>
      <c r="R41" s="145" t="str">
        <f t="shared" si="6"/>
        <v>--</v>
      </c>
      <c r="S41" s="146" t="str">
        <f t="shared" si="7"/>
        <v>--</v>
      </c>
      <c r="T41" s="147" t="str">
        <f t="shared" si="8"/>
        <v>--</v>
      </c>
      <c r="U41" s="372" t="str">
        <f t="shared" si="10"/>
        <v> </v>
      </c>
      <c r="V41" s="298">
        <f t="shared" si="9"/>
      </c>
      <c r="W41" s="253"/>
    </row>
    <row r="42" spans="2:23" ht="16.5" customHeight="1">
      <c r="B42" s="326"/>
      <c r="C42" s="398"/>
      <c r="D42" s="398"/>
      <c r="E42" s="398"/>
      <c r="F42" s="411"/>
      <c r="G42" s="411"/>
      <c r="H42" s="412"/>
      <c r="I42" s="361">
        <f t="shared" si="0"/>
        <v>1.739</v>
      </c>
      <c r="J42" s="454"/>
      <c r="K42" s="454"/>
      <c r="L42" s="120">
        <f t="shared" si="1"/>
      </c>
      <c r="M42" s="142">
        <f t="shared" si="2"/>
      </c>
      <c r="N42" s="122"/>
      <c r="O42" s="122">
        <f t="shared" si="3"/>
      </c>
      <c r="P42" s="143">
        <f t="shared" si="4"/>
        <v>40</v>
      </c>
      <c r="Q42" s="144" t="str">
        <f t="shared" si="5"/>
        <v>--</v>
      </c>
      <c r="R42" s="145" t="str">
        <f t="shared" si="6"/>
        <v>--</v>
      </c>
      <c r="S42" s="146" t="str">
        <f t="shared" si="7"/>
        <v>--</v>
      </c>
      <c r="T42" s="147" t="str">
        <f t="shared" si="8"/>
        <v>--</v>
      </c>
      <c r="U42" s="372" t="str">
        <f t="shared" si="10"/>
        <v> </v>
      </c>
      <c r="V42" s="298">
        <f t="shared" si="9"/>
      </c>
      <c r="W42" s="253"/>
    </row>
    <row r="43" spans="2:23" ht="16.5" customHeight="1" thickBot="1">
      <c r="B43" s="326"/>
      <c r="C43" s="402"/>
      <c r="D43" s="402"/>
      <c r="E43" s="402"/>
      <c r="F43" s="402"/>
      <c r="G43" s="402"/>
      <c r="H43" s="402"/>
      <c r="I43" s="362"/>
      <c r="J43" s="425"/>
      <c r="K43" s="425"/>
      <c r="L43" s="299"/>
      <c r="M43" s="299"/>
      <c r="N43" s="402"/>
      <c r="O43" s="402"/>
      <c r="P43" s="413"/>
      <c r="Q43" s="414"/>
      <c r="R43" s="415"/>
      <c r="S43" s="416"/>
      <c r="T43" s="417"/>
      <c r="U43" s="402"/>
      <c r="V43" s="363"/>
      <c r="W43" s="253"/>
    </row>
    <row r="44" spans="2:23" ht="16.5" customHeight="1" thickBot="1" thickTop="1">
      <c r="B44" s="326"/>
      <c r="C44" s="217" t="s">
        <v>34</v>
      </c>
      <c r="D44" s="456" t="s">
        <v>182</v>
      </c>
      <c r="E44" s="98"/>
      <c r="F44" s="91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64">
        <f>SUM(Q21:Q43)</f>
        <v>2214.6312</v>
      </c>
      <c r="R44" s="365">
        <f>SUM(R21:R43)</f>
        <v>0</v>
      </c>
      <c r="S44" s="365">
        <f>SUM(S21:S43)</f>
        <v>0</v>
      </c>
      <c r="T44" s="366">
        <f>SUM(T21:T43)</f>
        <v>0</v>
      </c>
      <c r="U44" s="367"/>
      <c r="V44" s="310">
        <f>SUM(V21:V43)</f>
        <v>2214.6312</v>
      </c>
      <c r="W44" s="253"/>
    </row>
    <row r="45" spans="2:23" s="233" customFormat="1" ht="9.75" thickTop="1">
      <c r="B45" s="227"/>
      <c r="C45" s="228"/>
      <c r="D45" s="228"/>
      <c r="E45" s="228"/>
      <c r="F45" s="97"/>
      <c r="G45" s="312"/>
      <c r="H45" s="312"/>
      <c r="I45" s="312"/>
      <c r="J45" s="312"/>
      <c r="K45" s="312"/>
      <c r="L45" s="312"/>
      <c r="M45" s="312"/>
      <c r="N45" s="312"/>
      <c r="O45" s="312"/>
      <c r="P45" s="312"/>
      <c r="Q45" s="312"/>
      <c r="R45" s="312"/>
      <c r="S45" s="312"/>
      <c r="T45" s="312"/>
      <c r="U45" s="313"/>
      <c r="V45" s="314"/>
      <c r="W45" s="315"/>
    </row>
    <row r="46" spans="2:23" ht="16.5" customHeight="1" thickBot="1">
      <c r="B46" s="368"/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  <c r="O46" s="369"/>
      <c r="P46" s="369"/>
      <c r="Q46" s="369"/>
      <c r="R46" s="369"/>
      <c r="S46" s="369"/>
      <c r="T46" s="369"/>
      <c r="U46" s="369"/>
      <c r="V46" s="235"/>
      <c r="W46" s="318"/>
    </row>
    <row r="47" ht="13.5" thickTop="1"/>
  </sheetData>
  <sheetProtection/>
  <conditionalFormatting sqref="U23:U42">
    <cfRule type="cellIs" priority="5" dxfId="0" operator="equal" stopIfTrue="1">
      <formula>"SI"</formula>
    </cfRule>
    <cfRule type="cellIs" priority="6" dxfId="0" operator="equal" stopIfTrue="1">
      <formula>"NO"</formula>
    </cfRule>
    <cfRule type="cellIs" priority="7" dxfId="0" operator="equal" stopIfTrue="1">
      <formula>" "</formula>
    </cfRule>
  </conditionalFormatting>
  <conditionalFormatting sqref="L23:L42">
    <cfRule type="cellIs" priority="4" dxfId="3" operator="lessThanOrEqual" stopIfTrue="1">
      <formula>0</formula>
    </cfRule>
  </conditionalFormatting>
  <conditionalFormatting sqref="J23:K42">
    <cfRule type="expression" priority="1" dxfId="1" stopIfTrue="1">
      <formula>MONTH(J23)&lt;&gt;$H$21</formula>
    </cfRule>
    <cfRule type="expression" priority="2" dxfId="1" stopIfTrue="1">
      <formula>YEAR(J23)&lt;&gt;$H$22</formula>
    </cfRule>
    <cfRule type="expression" priority="3" dxfId="0" stopIfTrue="1">
      <formula>""""""</formula>
    </cfRule>
  </conditionalFormatting>
  <printOptions horizontalCentered="1" verticalCentered="1"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1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9"/>
  <sheetViews>
    <sheetView tabSelected="1" zoomScale="50" zoomScaleNormal="50" zoomScalePageLayoutView="0" workbookViewId="0" topLeftCell="A1">
      <selection activeCell="B3" sqref="B3"/>
    </sheetView>
  </sheetViews>
  <sheetFormatPr defaultColWidth="11.421875" defaultRowHeight="12.75"/>
  <cols>
    <col min="1" max="1" width="24.8515625" style="457" customWidth="1"/>
    <col min="2" max="2" width="3.8515625" style="457" customWidth="1"/>
    <col min="3" max="3" width="6.140625" style="457" customWidth="1"/>
    <col min="4" max="4" width="35.421875" style="457" customWidth="1"/>
    <col min="5" max="7" width="10.7109375" style="457" customWidth="1"/>
    <col min="8" max="8" width="22.140625" style="457" customWidth="1"/>
    <col min="9" max="9" width="11.28125" style="457" customWidth="1"/>
    <col min="10" max="22" width="9.7109375" style="457" customWidth="1"/>
    <col min="23" max="23" width="3.57421875" style="457" customWidth="1"/>
    <col min="24" max="16384" width="11.421875" style="457" customWidth="1"/>
  </cols>
  <sheetData>
    <row r="1" ht="34.5" customHeight="1">
      <c r="W1" s="458"/>
    </row>
    <row r="2" spans="2:23" s="459" customFormat="1" ht="32.25" customHeight="1">
      <c r="B2" s="460" t="s">
        <v>193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</row>
    <row r="3" s="461" customFormat="1" ht="11.25">
      <c r="C3" s="462" t="s">
        <v>2</v>
      </c>
    </row>
    <row r="4" spans="2:3" s="461" customFormat="1" ht="11.25">
      <c r="B4" s="462"/>
      <c r="C4" s="462" t="s">
        <v>3</v>
      </c>
    </row>
    <row r="5" spans="1:23" ht="20.25">
      <c r="A5" s="463"/>
      <c r="B5" s="464" t="s">
        <v>0</v>
      </c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  <c r="V5" s="465"/>
      <c r="W5" s="465"/>
    </row>
    <row r="6" spans="1:3" ht="18.75" customHeight="1">
      <c r="A6" s="463"/>
      <c r="B6" s="463"/>
      <c r="C6" s="466"/>
    </row>
    <row r="7" spans="1:23" ht="20.25">
      <c r="A7" s="463"/>
      <c r="B7" s="464" t="s">
        <v>183</v>
      </c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465"/>
      <c r="N7" s="465"/>
      <c r="O7" s="465"/>
      <c r="P7" s="465"/>
      <c r="Q7" s="465"/>
      <c r="R7" s="465"/>
      <c r="S7" s="465"/>
      <c r="T7" s="465"/>
      <c r="U7" s="465"/>
      <c r="V7" s="465"/>
      <c r="W7" s="465"/>
    </row>
    <row r="8" spans="1:3" ht="18.75" customHeight="1">
      <c r="A8" s="463"/>
      <c r="B8" s="463"/>
      <c r="C8" s="466"/>
    </row>
    <row r="9" spans="2:23" ht="20.25">
      <c r="B9" s="467" t="s">
        <v>184</v>
      </c>
      <c r="C9" s="465"/>
      <c r="D9" s="465"/>
      <c r="E9" s="465"/>
      <c r="F9" s="468"/>
      <c r="G9" s="468"/>
      <c r="H9" s="468"/>
      <c r="I9" s="468"/>
      <c r="J9" s="468"/>
      <c r="K9" s="468"/>
      <c r="L9" s="468"/>
      <c r="M9" s="468"/>
      <c r="N9" s="468"/>
      <c r="O9" s="468"/>
      <c r="P9" s="468"/>
      <c r="Q9" s="468"/>
      <c r="R9" s="468"/>
      <c r="S9" s="468"/>
      <c r="T9" s="468"/>
      <c r="U9" s="468"/>
      <c r="V9" s="468"/>
      <c r="W9" s="465"/>
    </row>
    <row r="10" ht="18.75" customHeight="1" thickBot="1"/>
    <row r="11" spans="2:23" ht="18.75" customHeight="1" thickTop="1">
      <c r="B11" s="469"/>
      <c r="C11" s="470"/>
      <c r="D11" s="470"/>
      <c r="E11" s="470"/>
      <c r="F11" s="470"/>
      <c r="G11" s="470"/>
      <c r="H11" s="470"/>
      <c r="I11" s="470"/>
      <c r="J11" s="470"/>
      <c r="K11" s="470"/>
      <c r="L11" s="470"/>
      <c r="M11" s="470"/>
      <c r="N11" s="470"/>
      <c r="O11" s="470"/>
      <c r="P11" s="470"/>
      <c r="Q11" s="470"/>
      <c r="R11" s="470"/>
      <c r="S11" s="470"/>
      <c r="T11" s="470"/>
      <c r="U11" s="470"/>
      <c r="V11" s="470"/>
      <c r="W11" s="471"/>
    </row>
    <row r="12" spans="2:23" ht="19.5">
      <c r="B12" s="472" t="s">
        <v>192</v>
      </c>
      <c r="C12" s="465"/>
      <c r="D12" s="473"/>
      <c r="E12" s="473"/>
      <c r="F12" s="473"/>
      <c r="G12" s="473"/>
      <c r="H12" s="473"/>
      <c r="I12" s="473"/>
      <c r="J12" s="473"/>
      <c r="K12" s="473"/>
      <c r="L12" s="473"/>
      <c r="M12" s="473"/>
      <c r="N12" s="473"/>
      <c r="O12" s="473"/>
      <c r="P12" s="473"/>
      <c r="Q12" s="473"/>
      <c r="R12" s="473"/>
      <c r="S12" s="473"/>
      <c r="T12" s="473"/>
      <c r="U12" s="473"/>
      <c r="V12" s="473"/>
      <c r="W12" s="474"/>
    </row>
    <row r="13" spans="2:23" ht="18.75" customHeight="1" thickBot="1">
      <c r="B13" s="475"/>
      <c r="C13" s="476"/>
      <c r="D13" s="476"/>
      <c r="E13" s="476"/>
      <c r="F13" s="476"/>
      <c r="G13" s="476"/>
      <c r="H13" s="476"/>
      <c r="I13" s="476"/>
      <c r="J13" s="476"/>
      <c r="K13" s="476"/>
      <c r="L13" s="476"/>
      <c r="M13" s="476"/>
      <c r="N13" s="476"/>
      <c r="O13" s="476"/>
      <c r="P13" s="476"/>
      <c r="Q13" s="476"/>
      <c r="R13" s="476"/>
      <c r="S13" s="476"/>
      <c r="T13" s="476"/>
      <c r="U13" s="476"/>
      <c r="V13" s="476"/>
      <c r="W13" s="477"/>
    </row>
    <row r="14" spans="2:23" ht="33.75" customHeight="1" thickBot="1" thickTop="1">
      <c r="B14" s="478"/>
      <c r="C14" s="479"/>
      <c r="D14" s="480" t="s">
        <v>6</v>
      </c>
      <c r="E14" s="480" t="s">
        <v>20</v>
      </c>
      <c r="F14" s="479" t="s">
        <v>1</v>
      </c>
      <c r="G14" s="479" t="s">
        <v>185</v>
      </c>
      <c r="H14" s="481" t="s">
        <v>21</v>
      </c>
      <c r="I14" s="481" t="s">
        <v>22</v>
      </c>
      <c r="J14" s="482">
        <f>IF('[1]BASE'!HS15=0,"",'[1]BASE'!HS15)</f>
        <v>41334</v>
      </c>
      <c r="K14" s="482">
        <f>IF('[1]BASE'!HT15=0,"",'[1]BASE'!HT15)</f>
        <v>41365</v>
      </c>
      <c r="L14" s="482">
        <f>IF('[1]BASE'!HU15=0,"",'[1]BASE'!HU15)</f>
        <v>41395</v>
      </c>
      <c r="M14" s="482">
        <f>IF('[1]BASE'!HV15=0,"",'[1]BASE'!HV15)</f>
        <v>41426</v>
      </c>
      <c r="N14" s="482">
        <f>IF('[1]BASE'!HW15=0,"",'[1]BASE'!HW15)</f>
        <v>41456</v>
      </c>
      <c r="O14" s="482">
        <f>IF('[1]BASE'!HX15=0,"",'[1]BASE'!HX15)</f>
        <v>41487</v>
      </c>
      <c r="P14" s="482">
        <f>IF('[1]BASE'!HY15=0,"",'[1]BASE'!HY15)</f>
        <v>41518</v>
      </c>
      <c r="Q14" s="482">
        <f>IF('[1]BASE'!HZ15=0,"",'[1]BASE'!HZ15)</f>
        <v>41548</v>
      </c>
      <c r="R14" s="482">
        <f>IF('[1]BASE'!IA15=0,"",'[1]BASE'!IA15)</f>
        <v>41579</v>
      </c>
      <c r="S14" s="482">
        <f>IF('[1]BASE'!IB15=0,"",'[1]BASE'!IB15)</f>
        <v>41609</v>
      </c>
      <c r="T14" s="482">
        <f>IF('[1]BASE'!IC15=0,"",'[1]BASE'!IC15)</f>
        <v>41640</v>
      </c>
      <c r="U14" s="482">
        <f>IF('[1]BASE'!ID15=0,"",'[1]BASE'!ID15)</f>
        <v>41671</v>
      </c>
      <c r="V14" s="482">
        <f>IF('[1]BASE'!IE15=0,"",'[1]BASE'!IE15)</f>
        <v>41699</v>
      </c>
      <c r="W14" s="477"/>
    </row>
    <row r="15" spans="2:23" s="483" customFormat="1" ht="13.5" thickTop="1">
      <c r="B15" s="484"/>
      <c r="C15" s="485"/>
      <c r="D15" s="486"/>
      <c r="E15" s="486"/>
      <c r="F15" s="486"/>
      <c r="G15" s="486"/>
      <c r="H15" s="486"/>
      <c r="I15" s="486"/>
      <c r="J15" s="487"/>
      <c r="K15" s="487"/>
      <c r="L15" s="487"/>
      <c r="M15" s="487"/>
      <c r="N15" s="487"/>
      <c r="O15" s="487"/>
      <c r="P15" s="487"/>
      <c r="Q15" s="487"/>
      <c r="R15" s="487"/>
      <c r="S15" s="487"/>
      <c r="T15" s="487"/>
      <c r="U15" s="487"/>
      <c r="V15" s="488"/>
      <c r="W15" s="489"/>
    </row>
    <row r="16" spans="2:23" s="483" customFormat="1" ht="15.75" customHeight="1">
      <c r="B16" s="484"/>
      <c r="C16" s="490">
        <f>IF('[2]BASE'!C17=0,"",'[1]BASE'!C17)</f>
        <v>1</v>
      </c>
      <c r="D16" s="490" t="str">
        <f>IF('[2]BASE'!D17=0,"",'[1]BASE'!D17)</f>
        <v>GALDOS - P. DE MENDOZA 1</v>
      </c>
      <c r="E16" s="490">
        <f>IF('[2]BASE'!E17=0,"",'[1]BASE'!E17)</f>
        <v>1</v>
      </c>
      <c r="F16" s="490" t="str">
        <f>IF('[2]BASE'!F17=0,"",'[1]BASE'!F17)</f>
        <v>C</v>
      </c>
      <c r="G16" s="490">
        <f>IF('[2]BASE'!G17=0,"",'[1]BASE'!G17)</f>
      </c>
      <c r="H16" s="490">
        <f>IF('[2]BASE'!H17=0,"",'[1]BASE'!H17)</f>
        <v>13.2</v>
      </c>
      <c r="I16" s="490">
        <f>IF('[2]BASE'!I17=0,"",'[1]BASE'!I17)</f>
        <v>1</v>
      </c>
      <c r="J16" s="491" t="str">
        <f>IF('[2]BASE'!HS17=0,"",'[2]BASE'!HS17)</f>
        <v>XXXX</v>
      </c>
      <c r="K16" s="491" t="str">
        <f>IF('[2]BASE'!HT17=0,"",'[2]BASE'!HT17)</f>
        <v>XXXX</v>
      </c>
      <c r="L16" s="491" t="str">
        <f>IF('[2]BASE'!HU17=0,"",'[2]BASE'!HU17)</f>
        <v>XXXX</v>
      </c>
      <c r="M16" s="491" t="str">
        <f>IF('[2]BASE'!HV17=0,"",'[2]BASE'!HV17)</f>
        <v>XXXX</v>
      </c>
      <c r="N16" s="491" t="str">
        <f>IF('[2]BASE'!HW17=0,"",'[2]BASE'!HW17)</f>
        <v>XXXX</v>
      </c>
      <c r="O16" s="491" t="str">
        <f>IF('[2]BASE'!HX17=0,"",'[2]BASE'!HX17)</f>
        <v>XXXX</v>
      </c>
      <c r="P16" s="491" t="str">
        <f>IF('[2]BASE'!HY17=0,"",'[2]BASE'!HY17)</f>
        <v>XXXX</v>
      </c>
      <c r="Q16" s="491" t="str">
        <f>IF('[2]BASE'!HZ17=0,"",'[2]BASE'!HZ17)</f>
        <v>XXXX</v>
      </c>
      <c r="R16" s="491" t="str">
        <f>IF('[2]BASE'!IA17=0,"",'[2]BASE'!IA17)</f>
        <v>XXXX</v>
      </c>
      <c r="S16" s="491" t="str">
        <f>IF('[2]BASE'!IB17=0,"",'[2]BASE'!IB17)</f>
        <v>XXXX</v>
      </c>
      <c r="T16" s="491" t="str">
        <f>IF('[2]BASE'!IC17=0,"",'[2]BASE'!IC17)</f>
        <v>XXXX</v>
      </c>
      <c r="U16" s="491" t="str">
        <f>IF('[2]BASE'!ID17=0,"",'[2]BASE'!ID17)</f>
        <v>XXXX</v>
      </c>
      <c r="V16" s="492"/>
      <c r="W16" s="489"/>
    </row>
    <row r="17" spans="2:23" s="483" customFormat="1" ht="15.75" customHeight="1">
      <c r="B17" s="484"/>
      <c r="C17" s="490">
        <f>IF('[2]BASE'!C18=0,"",'[1]BASE'!C18)</f>
        <v>2</v>
      </c>
      <c r="D17" s="490" t="str">
        <f>IF('[2]BASE'!D18=0,"",'[1]BASE'!D18)</f>
        <v>GALDOS - P. DE MENDOZA 2</v>
      </c>
      <c r="E17" s="490">
        <f>IF('[2]BASE'!E18=0,"",'[1]BASE'!E18)</f>
        <v>2</v>
      </c>
      <c r="F17" s="490" t="str">
        <f>IF('[2]BASE'!F18=0,"",'[1]BASE'!F18)</f>
        <v>C</v>
      </c>
      <c r="G17" s="490">
        <f>IF('[2]BASE'!G18=0,"",'[1]BASE'!G18)</f>
      </c>
      <c r="H17" s="490">
        <f>IF('[2]BASE'!H18=0,"",'[1]BASE'!H18)</f>
        <v>13.2</v>
      </c>
      <c r="I17" s="490">
        <f>IF('[2]BASE'!I18=0,"",'[1]BASE'!I18)</f>
        <v>1</v>
      </c>
      <c r="J17" s="491" t="str">
        <f>IF('[2]BASE'!HS18=0,"",'[2]BASE'!HS18)</f>
        <v>XXXX</v>
      </c>
      <c r="K17" s="491" t="str">
        <f>IF('[2]BASE'!HT18=0,"",'[2]BASE'!HT18)</f>
        <v>XXXX</v>
      </c>
      <c r="L17" s="491" t="str">
        <f>IF('[2]BASE'!HU18=0,"",'[2]BASE'!HU18)</f>
        <v>XXXX</v>
      </c>
      <c r="M17" s="491" t="str">
        <f>IF('[2]BASE'!HV18=0,"",'[2]BASE'!HV18)</f>
        <v>XXXX</v>
      </c>
      <c r="N17" s="491" t="str">
        <f>IF('[2]BASE'!HW18=0,"",'[2]BASE'!HW18)</f>
        <v>XXXX</v>
      </c>
      <c r="O17" s="491" t="str">
        <f>IF('[2]BASE'!HX18=0,"",'[2]BASE'!HX18)</f>
        <v>XXXX</v>
      </c>
      <c r="P17" s="491" t="str">
        <f>IF('[2]BASE'!HY18=0,"",'[2]BASE'!HY18)</f>
        <v>XXXX</v>
      </c>
      <c r="Q17" s="491" t="str">
        <f>IF('[2]BASE'!HZ18=0,"",'[2]BASE'!HZ18)</f>
        <v>XXXX</v>
      </c>
      <c r="R17" s="491" t="str">
        <f>IF('[2]BASE'!IA18=0,"",'[2]BASE'!IA18)</f>
        <v>XXXX</v>
      </c>
      <c r="S17" s="491" t="str">
        <f>IF('[2]BASE'!IB18=0,"",'[2]BASE'!IB18)</f>
        <v>XXXX</v>
      </c>
      <c r="T17" s="491" t="str">
        <f>IF('[2]BASE'!IC18=0,"",'[2]BASE'!IC18)</f>
        <v>XXXX</v>
      </c>
      <c r="U17" s="491" t="str">
        <f>IF('[2]BASE'!ID18=0,"",'[2]BASE'!ID18)</f>
        <v>XXXX</v>
      </c>
      <c r="V17" s="493"/>
      <c r="W17" s="489"/>
    </row>
    <row r="18" spans="2:23" s="483" customFormat="1" ht="15.75" customHeight="1">
      <c r="B18" s="484"/>
      <c r="C18" s="490">
        <f>IF('[2]BASE'!C19=0,"",'[1]BASE'!C19)</f>
        <v>3</v>
      </c>
      <c r="D18" s="490" t="str">
        <f>IF('[2]BASE'!D19=0,"",'[1]BASE'!D19)</f>
        <v>EZEIZA - ALTE. BROWN 1 </v>
      </c>
      <c r="E18" s="490">
        <f>IF('[2]BASE'!E19=0,"",'[1]BASE'!E19)</f>
        <v>33</v>
      </c>
      <c r="F18" s="490" t="str">
        <f>IF('[2]BASE'!F19=0,"",'[1]BASE'!F19)</f>
        <v>L</v>
      </c>
      <c r="G18" s="490">
        <f>IF('[2]BASE'!G19=0,"",'[1]BASE'!G19)</f>
        <v>100</v>
      </c>
      <c r="H18" s="490">
        <f>IF('[2]BASE'!H19=0,"",'[1]BASE'!H19)</f>
        <v>220</v>
      </c>
      <c r="I18" s="490">
        <f>IF('[2]BASE'!I19=0,"",'[1]BASE'!I19)</f>
        <v>36.6</v>
      </c>
      <c r="J18" s="491">
        <f>IF('[2]BASE'!HS19=0,"",'[2]BASE'!HS19)</f>
      </c>
      <c r="K18" s="491">
        <f>IF('[2]BASE'!HT19=0,"",'[2]BASE'!HT19)</f>
      </c>
      <c r="L18" s="491">
        <f>IF('[2]BASE'!HU19=0,"",'[2]BASE'!HU19)</f>
      </c>
      <c r="M18" s="491">
        <f>IF('[2]BASE'!HV19=0,"",'[2]BASE'!HV19)</f>
      </c>
      <c r="N18" s="491">
        <f>IF('[2]BASE'!HW19=0,"",'[2]BASE'!HW19)</f>
      </c>
      <c r="O18" s="491">
        <f>IF('[2]BASE'!HX19=0,"",'[2]BASE'!HX19)</f>
      </c>
      <c r="P18" s="491">
        <f>IF('[2]BASE'!HY19=0,"",'[2]BASE'!HY19)</f>
      </c>
      <c r="Q18" s="491">
        <f>IF('[2]BASE'!HZ19=0,"",'[2]BASE'!HZ19)</f>
      </c>
      <c r="R18" s="491">
        <f>IF('[2]BASE'!IA19=0,"",'[2]BASE'!IA19)</f>
      </c>
      <c r="S18" s="491">
        <f>IF('[2]BASE'!IB19=0,"",'[2]BASE'!IB19)</f>
        <v>2</v>
      </c>
      <c r="T18" s="491">
        <f>IF('[2]BASE'!IC19=0,"",'[2]BASE'!IC19)</f>
        <v>1</v>
      </c>
      <c r="U18" s="491">
        <f>IF('[2]BASE'!ID19=0,"",'[2]BASE'!ID19)</f>
      </c>
      <c r="V18" s="493"/>
      <c r="W18" s="489"/>
    </row>
    <row r="19" spans="2:23" s="483" customFormat="1" ht="17.25" customHeight="1">
      <c r="B19" s="484"/>
      <c r="C19" s="490">
        <f>IF('[2]BASE'!C20=0,"",'[1]BASE'!C20)</f>
        <v>4</v>
      </c>
      <c r="D19" s="490" t="str">
        <f>IF('[2]BASE'!D20=0,"",'[1]BASE'!D20)</f>
        <v>EZEIZA - ALTE. BROWN 2 </v>
      </c>
      <c r="E19" s="490">
        <f>IF('[2]BASE'!E20=0,"",'[1]BASE'!E20)</f>
        <v>34</v>
      </c>
      <c r="F19" s="490" t="str">
        <f>IF('[2]BASE'!F20=0,"",'[1]BASE'!F20)</f>
        <v>L</v>
      </c>
      <c r="G19" s="490">
        <f>IF('[2]BASE'!G20=0,"",'[1]BASE'!G20)</f>
        <v>100</v>
      </c>
      <c r="H19" s="490">
        <f>IF('[2]BASE'!H20=0,"",'[1]BASE'!H20)</f>
        <v>220</v>
      </c>
      <c r="I19" s="490">
        <f>IF('[2]BASE'!I20=0,"",'[1]BASE'!I20)</f>
        <v>36.6</v>
      </c>
      <c r="J19" s="491">
        <f>IF('[2]BASE'!HS20=0,"",'[2]BASE'!HS20)</f>
      </c>
      <c r="K19" s="491">
        <f>IF('[2]BASE'!HT20=0,"",'[2]BASE'!HT20)</f>
      </c>
      <c r="L19" s="491">
        <f>IF('[2]BASE'!HU20=0,"",'[2]BASE'!HU20)</f>
      </c>
      <c r="M19" s="491">
        <f>IF('[2]BASE'!HV20=0,"",'[2]BASE'!HV20)</f>
      </c>
      <c r="N19" s="491">
        <f>IF('[2]BASE'!HW20=0,"",'[2]BASE'!HW20)</f>
      </c>
      <c r="O19" s="491">
        <f>IF('[2]BASE'!HX20=0,"",'[2]BASE'!HX20)</f>
      </c>
      <c r="P19" s="491">
        <f>IF('[2]BASE'!HY20=0,"",'[2]BASE'!HY20)</f>
      </c>
      <c r="Q19" s="491">
        <f>IF('[2]BASE'!HZ20=0,"",'[2]BASE'!HZ20)</f>
      </c>
      <c r="R19" s="491">
        <f>IF('[2]BASE'!IA20=0,"",'[2]BASE'!IA20)</f>
      </c>
      <c r="S19" s="491">
        <f>IF('[2]BASE'!IB20=0,"",'[2]BASE'!IB20)</f>
        <v>1</v>
      </c>
      <c r="T19" s="491">
        <f>IF('[2]BASE'!IC20=0,"",'[2]BASE'!IC20)</f>
      </c>
      <c r="U19" s="491">
        <f>IF('[2]BASE'!ID20=0,"",'[2]BASE'!ID20)</f>
      </c>
      <c r="V19" s="493"/>
      <c r="W19" s="489"/>
    </row>
    <row r="20" spans="2:23" s="483" customFormat="1" ht="15.75" customHeight="1">
      <c r="B20" s="484"/>
      <c r="C20" s="490">
        <f>IF('[2]BASE'!C21=0,"",'[1]BASE'!C21)</f>
        <v>5</v>
      </c>
      <c r="D20" s="490" t="str">
        <f>IF('[2]BASE'!D21=0,"",'[1]BASE'!D21)</f>
        <v>BOSQUES - COSTANERA 1</v>
      </c>
      <c r="E20" s="490">
        <f>IF('[2]BASE'!E21=0,"",'[1]BASE'!E21)</f>
        <v>50</v>
      </c>
      <c r="F20" s="490" t="str">
        <f>IF('[2]BASE'!F21=0,"",'[1]BASE'!F21)</f>
        <v>L</v>
      </c>
      <c r="G20" s="490">
        <f>IF('[2]BASE'!G21=0,"",'[1]BASE'!G21)</f>
        <v>100</v>
      </c>
      <c r="H20" s="490">
        <f>IF('[2]BASE'!H21=0,"",'[1]BASE'!H21)</f>
        <v>220</v>
      </c>
      <c r="I20" s="490">
        <f>IF('[2]BASE'!I21=0,"",'[1]BASE'!I21)</f>
        <v>32.6</v>
      </c>
      <c r="J20" s="491" t="str">
        <f>IF('[2]BASE'!HS21=0,"",'[2]BASE'!HS21)</f>
        <v>XXXX</v>
      </c>
      <c r="K20" s="491" t="str">
        <f>IF('[2]BASE'!HT21=0,"",'[2]BASE'!HT21)</f>
        <v>XXXX</v>
      </c>
      <c r="L20" s="491" t="str">
        <f>IF('[2]BASE'!HU21=0,"",'[2]BASE'!HU21)</f>
        <v>XXXX</v>
      </c>
      <c r="M20" s="491" t="str">
        <f>IF('[2]BASE'!HV21=0,"",'[2]BASE'!HV21)</f>
        <v>XXXX</v>
      </c>
      <c r="N20" s="491" t="str">
        <f>IF('[2]BASE'!HW21=0,"",'[2]BASE'!HW21)</f>
        <v>XXXX</v>
      </c>
      <c r="O20" s="491" t="str">
        <f>IF('[2]BASE'!HX21=0,"",'[2]BASE'!HX21)</f>
        <v>XXXX</v>
      </c>
      <c r="P20" s="491" t="str">
        <f>IF('[2]BASE'!HY21=0,"",'[2]BASE'!HY21)</f>
        <v>XXXX</v>
      </c>
      <c r="Q20" s="491" t="str">
        <f>IF('[2]BASE'!HZ21=0,"",'[2]BASE'!HZ21)</f>
        <v>XXXX</v>
      </c>
      <c r="R20" s="491" t="str">
        <f>IF('[2]BASE'!IA21=0,"",'[2]BASE'!IA21)</f>
        <v>XXXX</v>
      </c>
      <c r="S20" s="491" t="str">
        <f>IF('[2]BASE'!IB21=0,"",'[2]BASE'!IB21)</f>
        <v>XXXX</v>
      </c>
      <c r="T20" s="491" t="str">
        <f>IF('[2]BASE'!IC21=0,"",'[2]BASE'!IC21)</f>
        <v>XXXX</v>
      </c>
      <c r="U20" s="491" t="str">
        <f>IF('[2]BASE'!ID21=0,"",'[2]BASE'!ID21)</f>
        <v>XXXX</v>
      </c>
      <c r="V20" s="493"/>
      <c r="W20" s="489"/>
    </row>
    <row r="21" spans="2:23" s="483" customFormat="1" ht="15.75" customHeight="1">
      <c r="B21" s="484"/>
      <c r="C21" s="490">
        <f>IF('[2]BASE'!C22=0,"",'[1]BASE'!C22)</f>
        <v>6</v>
      </c>
      <c r="D21" s="490" t="str">
        <f>IF('[2]BASE'!D22=0,"",'[1]BASE'!D22)</f>
        <v>BOSQUES - COSTANERA 2</v>
      </c>
      <c r="E21" s="490">
        <f>IF('[2]BASE'!E22=0,"",'[1]BASE'!E22)</f>
        <v>51</v>
      </c>
      <c r="F21" s="490" t="str">
        <f>IF('[2]BASE'!F22=0,"",'[1]BASE'!F22)</f>
        <v>L</v>
      </c>
      <c r="G21" s="490">
        <f>IF('[2]BASE'!G22=0,"",'[1]BASE'!G22)</f>
        <v>100</v>
      </c>
      <c r="H21" s="490">
        <f>IF('[2]BASE'!H22=0,"",'[1]BASE'!H22)</f>
        <v>220</v>
      </c>
      <c r="I21" s="490">
        <f>IF('[2]BASE'!I22=0,"",'[1]BASE'!I22)</f>
        <v>32.6</v>
      </c>
      <c r="J21" s="491" t="str">
        <f>IF('[2]BASE'!HS22=0,"",'[2]BASE'!HS22)</f>
        <v>XXXX</v>
      </c>
      <c r="K21" s="491" t="str">
        <f>IF('[2]BASE'!HT22=0,"",'[2]BASE'!HT22)</f>
        <v>XXXX</v>
      </c>
      <c r="L21" s="491" t="str">
        <f>IF('[2]BASE'!HU22=0,"",'[2]BASE'!HU22)</f>
        <v>XXXX</v>
      </c>
      <c r="M21" s="491" t="str">
        <f>IF('[2]BASE'!HV22=0,"",'[2]BASE'!HV22)</f>
        <v>XXXX</v>
      </c>
      <c r="N21" s="491" t="str">
        <f>IF('[2]BASE'!HW22=0,"",'[2]BASE'!HW22)</f>
        <v>XXXX</v>
      </c>
      <c r="O21" s="491" t="str">
        <f>IF('[2]BASE'!HX22=0,"",'[2]BASE'!HX22)</f>
        <v>XXXX</v>
      </c>
      <c r="P21" s="491" t="str">
        <f>IF('[2]BASE'!HY22=0,"",'[2]BASE'!HY22)</f>
        <v>XXXX</v>
      </c>
      <c r="Q21" s="491" t="str">
        <f>IF('[2]BASE'!HZ22=0,"",'[2]BASE'!HZ22)</f>
        <v>XXXX</v>
      </c>
      <c r="R21" s="491" t="str">
        <f>IF('[2]BASE'!IA22=0,"",'[2]BASE'!IA22)</f>
        <v>XXXX</v>
      </c>
      <c r="S21" s="491" t="str">
        <f>IF('[2]BASE'!IB22=0,"",'[2]BASE'!IB22)</f>
        <v>XXXX</v>
      </c>
      <c r="T21" s="491" t="str">
        <f>IF('[2]BASE'!IC22=0,"",'[2]BASE'!IC22)</f>
        <v>XXXX</v>
      </c>
      <c r="U21" s="491" t="str">
        <f>IF('[2]BASE'!ID22=0,"",'[2]BASE'!ID22)</f>
        <v>XXXX</v>
      </c>
      <c r="V21" s="493"/>
      <c r="W21" s="489"/>
    </row>
    <row r="22" spans="2:23" s="483" customFormat="1" ht="15.75" customHeight="1">
      <c r="B22" s="484"/>
      <c r="C22" s="490">
        <f>IF('[2]BASE'!C23=0,"",'[1]BASE'!C23)</f>
        <v>7</v>
      </c>
      <c r="D22" s="490" t="str">
        <f>IF('[2]BASE'!D23=0,"",'[1]BASE'!D23)</f>
        <v>COSTANERA - AZOPARDO II 1</v>
      </c>
      <c r="E22" s="490">
        <f>IF('[2]BASE'!E23=0,"",'[1]BASE'!E23)</f>
        <v>52</v>
      </c>
      <c r="F22" s="490" t="str">
        <f>IF('[2]BASE'!F23=0,"",'[1]BASE'!F23)</f>
        <v>C</v>
      </c>
      <c r="G22" s="490">
        <f>IF('[2]BASE'!G23=0,"",'[1]BASE'!G23)</f>
      </c>
      <c r="H22" s="490">
        <f>IF('[2]BASE'!H23=0,"",'[1]BASE'!H23)</f>
        <v>220</v>
      </c>
      <c r="I22" s="490">
        <f>IF('[2]BASE'!I23=0,"",'[1]BASE'!I23)</f>
        <v>4.2</v>
      </c>
      <c r="J22" s="491">
        <f>IF('[2]BASE'!HS23=0,"",'[2]BASE'!HS23)</f>
      </c>
      <c r="K22" s="491">
        <f>IF('[2]BASE'!HT23=0,"",'[2]BASE'!HT23)</f>
        <v>1</v>
      </c>
      <c r="L22" s="491">
        <f>IF('[2]BASE'!HU23=0,"",'[2]BASE'!HU23)</f>
      </c>
      <c r="M22" s="491">
        <f>IF('[2]BASE'!HV23=0,"",'[2]BASE'!HV23)</f>
      </c>
      <c r="N22" s="491">
        <f>IF('[2]BASE'!HW23=0,"",'[2]BASE'!HW23)</f>
      </c>
      <c r="O22" s="491">
        <f>IF('[2]BASE'!HX23=0,"",'[2]BASE'!HX23)</f>
      </c>
      <c r="P22" s="491">
        <f>IF('[2]BASE'!HY23=0,"",'[2]BASE'!HY23)</f>
      </c>
      <c r="Q22" s="491">
        <f>IF('[2]BASE'!HZ23=0,"",'[2]BASE'!HZ23)</f>
      </c>
      <c r="R22" s="491">
        <f>IF('[2]BASE'!IA23=0,"",'[2]BASE'!IA23)</f>
      </c>
      <c r="S22" s="491">
        <f>IF('[2]BASE'!IB23=0,"",'[2]BASE'!IB23)</f>
        <v>1</v>
      </c>
      <c r="T22" s="491">
        <f>IF('[2]BASE'!IC23=0,"",'[2]BASE'!IC23)</f>
        <v>1</v>
      </c>
      <c r="U22" s="491">
        <f>IF('[2]BASE'!ID23=0,"",'[2]BASE'!ID23)</f>
      </c>
      <c r="V22" s="493"/>
      <c r="W22" s="489"/>
    </row>
    <row r="23" spans="2:23" s="483" customFormat="1" ht="15.75" customHeight="1">
      <c r="B23" s="484"/>
      <c r="C23" s="490">
        <f>IF('[2]BASE'!C24=0,"",'[1]BASE'!C24)</f>
        <v>8</v>
      </c>
      <c r="D23" s="490" t="str">
        <f>IF('[2]BASE'!D24=0,"",'[1]BASE'!D24)</f>
        <v>COSTANERA - AZOPARDO II 2</v>
      </c>
      <c r="E23" s="490">
        <f>IF('[2]BASE'!E24=0,"",'[1]BASE'!E24)</f>
        <v>53</v>
      </c>
      <c r="F23" s="490" t="str">
        <f>IF('[2]BASE'!F24=0,"",'[1]BASE'!F24)</f>
        <v>C</v>
      </c>
      <c r="G23" s="490">
        <f>IF('[2]BASE'!G24=0,"",'[1]BASE'!G24)</f>
      </c>
      <c r="H23" s="490">
        <f>IF('[2]BASE'!H24=0,"",'[1]BASE'!H24)</f>
        <v>220</v>
      </c>
      <c r="I23" s="490">
        <f>IF('[2]BASE'!I24=0,"",'[1]BASE'!I24)</f>
        <v>4.2</v>
      </c>
      <c r="J23" s="491">
        <f>IF('[2]BASE'!HS24=0,"",'[2]BASE'!HS24)</f>
      </c>
      <c r="K23" s="491">
        <f>IF('[2]BASE'!HT24=0,"",'[2]BASE'!HT24)</f>
      </c>
      <c r="L23" s="491">
        <f>IF('[2]BASE'!HU24=0,"",'[2]BASE'!HU24)</f>
      </c>
      <c r="M23" s="491">
        <f>IF('[2]BASE'!HV24=0,"",'[2]BASE'!HV24)</f>
      </c>
      <c r="N23" s="491">
        <f>IF('[2]BASE'!HW24=0,"",'[2]BASE'!HW24)</f>
      </c>
      <c r="O23" s="491">
        <f>IF('[2]BASE'!HX24=0,"",'[2]BASE'!HX24)</f>
      </c>
      <c r="P23" s="491">
        <f>IF('[2]BASE'!HY24=0,"",'[2]BASE'!HY24)</f>
      </c>
      <c r="Q23" s="491">
        <f>IF('[2]BASE'!HZ24=0,"",'[2]BASE'!HZ24)</f>
      </c>
      <c r="R23" s="491">
        <f>IF('[2]BASE'!IA24=0,"",'[2]BASE'!IA24)</f>
      </c>
      <c r="S23" s="491">
        <f>IF('[2]BASE'!IB24=0,"",'[2]BASE'!IB24)</f>
        <v>1</v>
      </c>
      <c r="T23" s="491">
        <f>IF('[2]BASE'!IC24=0,"",'[2]BASE'!IC24)</f>
      </c>
      <c r="U23" s="491">
        <f>IF('[2]BASE'!ID24=0,"",'[2]BASE'!ID24)</f>
      </c>
      <c r="V23" s="493"/>
      <c r="W23" s="489"/>
    </row>
    <row r="24" spans="2:23" s="483" customFormat="1" ht="15.75" customHeight="1">
      <c r="B24" s="484"/>
      <c r="C24" s="490">
        <f>IF('[2]BASE'!C25=0,"",'[1]BASE'!C25)</f>
        <v>9</v>
      </c>
      <c r="D24" s="490" t="str">
        <f>IF('[2]BASE'!D25=0,"",'[1]BASE'!D25)</f>
        <v>BOSQUES - ABASTO 1 </v>
      </c>
      <c r="E24" s="490">
        <f>IF('[2]BASE'!E25=0,"",'[1]BASE'!E25)</f>
        <v>58</v>
      </c>
      <c r="F24" s="490" t="str">
        <f>IF('[2]BASE'!F25=0,"",'[1]BASE'!F25)</f>
        <v>L</v>
      </c>
      <c r="G24" s="490">
        <f>IF('[2]BASE'!G25=0,"",'[1]BASE'!G25)</f>
        <v>100</v>
      </c>
      <c r="H24" s="490">
        <f>IF('[2]BASE'!H25=0,"",'[1]BASE'!H25)</f>
        <v>220</v>
      </c>
      <c r="I24" s="490">
        <f>IF('[2]BASE'!I25=0,"",'[1]BASE'!I25)</f>
        <v>16.3</v>
      </c>
      <c r="J24" s="491">
        <f>IF('[2]BASE'!HS25=0,"",'[2]BASE'!HS25)</f>
        <v>1</v>
      </c>
      <c r="K24" s="491">
        <f>IF('[2]BASE'!HT25=0,"",'[2]BASE'!HT25)</f>
        <v>1</v>
      </c>
      <c r="L24" s="491">
        <f>IF('[2]BASE'!HU25=0,"",'[2]BASE'!HU25)</f>
      </c>
      <c r="M24" s="491">
        <f>IF('[2]BASE'!HV25=0,"",'[2]BASE'!HV25)</f>
      </c>
      <c r="N24" s="491">
        <f>IF('[2]BASE'!HW25=0,"",'[2]BASE'!HW25)</f>
        <v>1</v>
      </c>
      <c r="O24" s="491">
        <f>IF('[2]BASE'!HX25=0,"",'[2]BASE'!HX25)</f>
      </c>
      <c r="P24" s="491">
        <f>IF('[2]BASE'!HY25=0,"",'[2]BASE'!HY25)</f>
        <v>1</v>
      </c>
      <c r="Q24" s="491">
        <f>IF('[2]BASE'!HZ25=0,"",'[2]BASE'!HZ25)</f>
        <v>1</v>
      </c>
      <c r="R24" s="491">
        <f>IF('[2]BASE'!IA25=0,"",'[2]BASE'!IA25)</f>
        <v>1</v>
      </c>
      <c r="S24" s="491">
        <f>IF('[2]BASE'!IB25=0,"",'[2]BASE'!IB25)</f>
        <v>1</v>
      </c>
      <c r="T24" s="491">
        <f>IF('[2]BASE'!IC25=0,"",'[2]BASE'!IC25)</f>
      </c>
      <c r="U24" s="491">
        <f>IF('[2]BASE'!ID25=0,"",'[2]BASE'!ID25)</f>
        <v>1</v>
      </c>
      <c r="V24" s="493"/>
      <c r="W24" s="489"/>
    </row>
    <row r="25" spans="2:23" s="483" customFormat="1" ht="15.75" customHeight="1">
      <c r="B25" s="484"/>
      <c r="C25" s="490">
        <f>IF('[2]BASE'!C26=0,"",'[1]BASE'!C26)</f>
        <v>10</v>
      </c>
      <c r="D25" s="490" t="str">
        <f>IF('[2]BASE'!D26=0,"",'[1]BASE'!D26)</f>
        <v>BOSQUES - ABASTO 2 </v>
      </c>
      <c r="E25" s="490">
        <f>IF('[2]BASE'!E26=0,"",'[1]BASE'!E26)</f>
        <v>59</v>
      </c>
      <c r="F25" s="490" t="str">
        <f>IF('[2]BASE'!F26=0,"",'[1]BASE'!F26)</f>
        <v>L</v>
      </c>
      <c r="G25" s="490">
        <f>IF('[2]BASE'!G26=0,"",'[1]BASE'!G26)</f>
        <v>100</v>
      </c>
      <c r="H25" s="490">
        <f>IF('[2]BASE'!H26=0,"",'[1]BASE'!H26)</f>
        <v>220</v>
      </c>
      <c r="I25" s="490">
        <f>IF('[2]BASE'!I26=0,"",'[1]BASE'!I26)</f>
        <v>16.3</v>
      </c>
      <c r="J25" s="491">
        <f>IF('[2]BASE'!HS26=0,"",'[2]BASE'!HS26)</f>
      </c>
      <c r="K25" s="491">
        <f>IF('[2]BASE'!HT26=0,"",'[2]BASE'!HT26)</f>
      </c>
      <c r="L25" s="491">
        <f>IF('[2]BASE'!HU26=0,"",'[2]BASE'!HU26)</f>
      </c>
      <c r="M25" s="491">
        <f>IF('[2]BASE'!HV26=0,"",'[2]BASE'!HV26)</f>
      </c>
      <c r="N25" s="491">
        <f>IF('[2]BASE'!HW26=0,"",'[2]BASE'!HW26)</f>
        <v>1</v>
      </c>
      <c r="O25" s="491">
        <f>IF('[2]BASE'!HX26=0,"",'[2]BASE'!HX26)</f>
      </c>
      <c r="P25" s="491">
        <f>IF('[2]BASE'!HY26=0,"",'[2]BASE'!HY26)</f>
      </c>
      <c r="Q25" s="491">
        <f>IF('[2]BASE'!HZ26=0,"",'[2]BASE'!HZ26)</f>
      </c>
      <c r="R25" s="491">
        <f>IF('[2]BASE'!IA26=0,"",'[2]BASE'!IA26)</f>
      </c>
      <c r="S25" s="491">
        <f>IF('[2]BASE'!IB26=0,"",'[2]BASE'!IB26)</f>
      </c>
      <c r="T25" s="491">
        <f>IF('[2]BASE'!IC26=0,"",'[2]BASE'!IC26)</f>
      </c>
      <c r="U25" s="491">
        <f>IF('[2]BASE'!ID26=0,"",'[2]BASE'!ID26)</f>
      </c>
      <c r="V25" s="493"/>
      <c r="W25" s="489"/>
    </row>
    <row r="26" spans="2:23" s="483" customFormat="1" ht="15.75" customHeight="1">
      <c r="B26" s="484"/>
      <c r="C26" s="490">
        <f>IF('[2]BASE'!C27=0,"",'[1]BASE'!C27)</f>
        <v>11</v>
      </c>
      <c r="D26" s="490" t="str">
        <f>IF('[2]BASE'!D27=0,"",'[1]BASE'!D27)</f>
        <v>EZEIZA - PERITO MORENO 1</v>
      </c>
      <c r="E26" s="490">
        <f>IF('[2]BASE'!E27=0,"",'[1]BASE'!E27)</f>
        <v>61</v>
      </c>
      <c r="F26" s="490" t="str">
        <f>IF('[2]BASE'!F27=0,"",'[1]BASE'!F27)</f>
        <v>LC</v>
      </c>
      <c r="G26" s="490">
        <f>IF('[2]BASE'!G27=0,"",'[1]BASE'!G27)</f>
        <v>90.23</v>
      </c>
      <c r="H26" s="490">
        <f>IF('[2]BASE'!H27=0,"",'[1]BASE'!H27)</f>
        <v>220</v>
      </c>
      <c r="I26" s="490">
        <f>IF('[2]BASE'!I27=0,"",'[1]BASE'!I27)</f>
        <v>57.3</v>
      </c>
      <c r="J26" s="491">
        <f>IF('[2]BASE'!HS27=0,"",'[2]BASE'!HS27)</f>
      </c>
      <c r="K26" s="491">
        <f>IF('[2]BASE'!HT27=0,"",'[2]BASE'!HT27)</f>
      </c>
      <c r="L26" s="491">
        <f>IF('[2]BASE'!HU27=0,"",'[2]BASE'!HU27)</f>
      </c>
      <c r="M26" s="491">
        <f>IF('[2]BASE'!HV27=0,"",'[2]BASE'!HV27)</f>
      </c>
      <c r="N26" s="491">
        <f>IF('[2]BASE'!HW27=0,"",'[2]BASE'!HW27)</f>
      </c>
      <c r="O26" s="491">
        <f>IF('[2]BASE'!HX27=0,"",'[2]BASE'!HX27)</f>
      </c>
      <c r="P26" s="491">
        <f>IF('[2]BASE'!HY27=0,"",'[2]BASE'!HY27)</f>
      </c>
      <c r="Q26" s="491">
        <f>IF('[2]BASE'!HZ27=0,"",'[2]BASE'!HZ27)</f>
      </c>
      <c r="R26" s="491">
        <f>IF('[2]BASE'!IA27=0,"",'[2]BASE'!IA27)</f>
      </c>
      <c r="S26" s="491">
        <f>IF('[2]BASE'!IB27=0,"",'[2]BASE'!IB27)</f>
      </c>
      <c r="T26" s="491">
        <f>IF('[2]BASE'!IC27=0,"",'[2]BASE'!IC27)</f>
      </c>
      <c r="U26" s="491">
        <f>IF('[2]BASE'!ID27=0,"",'[2]BASE'!ID27)</f>
      </c>
      <c r="V26" s="493"/>
      <c r="W26" s="489"/>
    </row>
    <row r="27" spans="2:23" s="483" customFormat="1" ht="15.75" customHeight="1">
      <c r="B27" s="484"/>
      <c r="C27" s="490">
        <f>IF('[2]BASE'!C28=0,"",'[1]BASE'!C28)</f>
        <v>12</v>
      </c>
      <c r="D27" s="490" t="str">
        <f>IF('[2]BASE'!D28=0,"",'[1]BASE'!D28)</f>
        <v>EZEIZA - PERITO MORENO 2 </v>
      </c>
      <c r="E27" s="490">
        <f>IF('[2]BASE'!E28=0,"",'[1]BASE'!E28)</f>
        <v>62</v>
      </c>
      <c r="F27" s="490" t="str">
        <f>IF('[2]BASE'!F28=0,"",'[1]BASE'!F28)</f>
        <v>LC</v>
      </c>
      <c r="G27" s="490">
        <f>IF('[2]BASE'!G28=0,"",'[1]BASE'!G28)</f>
        <v>89.76</v>
      </c>
      <c r="H27" s="490">
        <f>IF('[2]BASE'!H28=0,"",'[1]BASE'!H28)</f>
        <v>220</v>
      </c>
      <c r="I27" s="490">
        <f>IF('[2]BASE'!I28=0,"",'[1]BASE'!I28)</f>
        <v>57.6</v>
      </c>
      <c r="J27" s="491">
        <f>IF('[2]BASE'!HS28=0,"",'[2]BASE'!HS28)</f>
      </c>
      <c r="K27" s="491">
        <f>IF('[2]BASE'!HT28=0,"",'[2]BASE'!HT28)</f>
        <v>1</v>
      </c>
      <c r="L27" s="491">
        <f>IF('[2]BASE'!HU28=0,"",'[2]BASE'!HU28)</f>
      </c>
      <c r="M27" s="491">
        <f>IF('[2]BASE'!HV28=0,"",'[2]BASE'!HV28)</f>
      </c>
      <c r="N27" s="491">
        <f>IF('[2]BASE'!HW28=0,"",'[2]BASE'!HW28)</f>
        <v>1</v>
      </c>
      <c r="O27" s="491">
        <f>IF('[2]BASE'!HX28=0,"",'[2]BASE'!HX28)</f>
        <v>2</v>
      </c>
      <c r="P27" s="491">
        <f>IF('[2]BASE'!HY28=0,"",'[2]BASE'!HY28)</f>
        <v>1</v>
      </c>
      <c r="Q27" s="491">
        <f>IF('[2]BASE'!HZ28=0,"",'[2]BASE'!HZ28)</f>
      </c>
      <c r="R27" s="491">
        <f>IF('[2]BASE'!IA28=0,"",'[2]BASE'!IA28)</f>
      </c>
      <c r="S27" s="491">
        <f>IF('[2]BASE'!IB28=0,"",'[2]BASE'!IB28)</f>
      </c>
      <c r="T27" s="491">
        <f>IF('[2]BASE'!IC28=0,"",'[2]BASE'!IC28)</f>
      </c>
      <c r="U27" s="491">
        <f>IF('[2]BASE'!ID28=0,"",'[2]BASE'!ID28)</f>
        <v>1</v>
      </c>
      <c r="V27" s="493"/>
      <c r="W27" s="489"/>
    </row>
    <row r="28" spans="2:23" s="483" customFormat="1" ht="15.75" customHeight="1">
      <c r="B28" s="484"/>
      <c r="C28" s="490">
        <f>IF('[2]BASE'!C29=0,"",'[1]BASE'!C29)</f>
        <v>13</v>
      </c>
      <c r="D28" s="490" t="str">
        <f>IF('[2]BASE'!D29=0,"",'[1]BASE'!D29)</f>
        <v>NUEVO PUERTO - RIVADAVIA 1</v>
      </c>
      <c r="E28" s="490">
        <f>IF('[2]BASE'!E29=0,"",'[1]BASE'!E29)</f>
        <v>103</v>
      </c>
      <c r="F28" s="490" t="str">
        <f>IF('[2]BASE'!F29=0,"",'[1]BASE'!F29)</f>
        <v>C</v>
      </c>
      <c r="G28" s="490">
        <f>IF('[2]BASE'!G29=0,"",'[1]BASE'!G29)</f>
      </c>
      <c r="H28" s="490">
        <f>IF('[2]BASE'!H29=0,"",'[1]BASE'!H29)</f>
        <v>132</v>
      </c>
      <c r="I28" s="490">
        <f>IF('[2]BASE'!I29=0,"",'[1]BASE'!I29)</f>
        <v>5.2</v>
      </c>
      <c r="J28" s="491" t="str">
        <f>IF('[2]BASE'!HS29=0,"",'[2]BASE'!HS29)</f>
        <v>XXXX</v>
      </c>
      <c r="K28" s="491" t="str">
        <f>IF('[2]BASE'!HT29=0,"",'[2]BASE'!HT29)</f>
        <v>XXXX</v>
      </c>
      <c r="L28" s="491" t="str">
        <f>IF('[2]BASE'!HU29=0,"",'[2]BASE'!HU29)</f>
        <v>XXXX</v>
      </c>
      <c r="M28" s="491" t="str">
        <f>IF('[2]BASE'!HV29=0,"",'[2]BASE'!HV29)</f>
        <v>XXXX</v>
      </c>
      <c r="N28" s="491" t="str">
        <f>IF('[2]BASE'!HW29=0,"",'[2]BASE'!HW29)</f>
        <v>XXXX</v>
      </c>
      <c r="O28" s="491" t="str">
        <f>IF('[2]BASE'!HX29=0,"",'[2]BASE'!HX29)</f>
        <v>XXXX</v>
      </c>
      <c r="P28" s="491" t="str">
        <f>IF('[2]BASE'!HY29=0,"",'[2]BASE'!HY29)</f>
        <v>XXXX</v>
      </c>
      <c r="Q28" s="491" t="str">
        <f>IF('[2]BASE'!HZ29=0,"",'[2]BASE'!HZ29)</f>
        <v>XXXX</v>
      </c>
      <c r="R28" s="491" t="str">
        <f>IF('[2]BASE'!IA29=0,"",'[2]BASE'!IA29)</f>
        <v>XXXX</v>
      </c>
      <c r="S28" s="491" t="str">
        <f>IF('[2]BASE'!IB29=0,"",'[2]BASE'!IB29)</f>
        <v>XXXX</v>
      </c>
      <c r="T28" s="491" t="str">
        <f>IF('[2]BASE'!IC29=0,"",'[2]BASE'!IC29)</f>
        <v>XXXX</v>
      </c>
      <c r="U28" s="491" t="str">
        <f>IF('[2]BASE'!ID29=0,"",'[2]BASE'!ID29)</f>
        <v>XXXX</v>
      </c>
      <c r="V28" s="493"/>
      <c r="W28" s="489"/>
    </row>
    <row r="29" spans="2:23" s="483" customFormat="1" ht="15.75" customHeight="1">
      <c r="B29" s="484"/>
      <c r="C29" s="490">
        <f>IF('[2]BASE'!C30=0,"",'[1]BASE'!C30)</f>
        <v>79</v>
      </c>
      <c r="D29" s="490" t="str">
        <f>IF('[2]BASE'!D30=0,"",'[1]BASE'!D30)</f>
        <v>NUEVO PUERTO - AZOPARDO 1</v>
      </c>
      <c r="E29" s="490">
        <f>IF('[2]BASE'!E30=0,"",'[1]BASE'!E30)</f>
        <v>103</v>
      </c>
      <c r="F29" s="490" t="str">
        <f>IF('[2]BASE'!F30=0,"",'[1]BASE'!F30)</f>
        <v>C</v>
      </c>
      <c r="G29" s="490">
        <f>IF('[2]BASE'!G30=0,"",'[1]BASE'!G30)</f>
      </c>
      <c r="H29" s="490">
        <f>IF('[2]BASE'!H30=0,"",'[1]BASE'!H30)</f>
        <v>132</v>
      </c>
      <c r="I29" s="490">
        <f>IF('[2]BASE'!I30=0,"",'[1]BASE'!I30)</f>
        <v>6.7</v>
      </c>
      <c r="J29" s="491">
        <f>IF('[2]BASE'!HS30=0,"",'[2]BASE'!HS30)</f>
      </c>
      <c r="K29" s="491">
        <f>IF('[2]BASE'!HT30=0,"",'[2]BASE'!HT30)</f>
      </c>
      <c r="L29" s="491">
        <f>IF('[2]BASE'!HU30=0,"",'[2]BASE'!HU30)</f>
      </c>
      <c r="M29" s="491">
        <f>IF('[2]BASE'!HV30=0,"",'[2]BASE'!HV30)</f>
      </c>
      <c r="N29" s="491">
        <f>IF('[2]BASE'!HW30=0,"",'[2]BASE'!HW30)</f>
      </c>
      <c r="O29" s="491">
        <f>IF('[2]BASE'!HX30=0,"",'[2]BASE'!HX30)</f>
      </c>
      <c r="P29" s="491">
        <f>IF('[2]BASE'!HY30=0,"",'[2]BASE'!HY30)</f>
      </c>
      <c r="Q29" s="491">
        <f>IF('[2]BASE'!HZ30=0,"",'[2]BASE'!HZ30)</f>
      </c>
      <c r="R29" s="491">
        <f>IF('[2]BASE'!IA30=0,"",'[2]BASE'!IA30)</f>
      </c>
      <c r="S29" s="491">
        <f>IF('[2]BASE'!IB30=0,"",'[2]BASE'!IB30)</f>
      </c>
      <c r="T29" s="491">
        <f>IF('[2]BASE'!IC30=0,"",'[2]BASE'!IC30)</f>
      </c>
      <c r="U29" s="491">
        <f>IF('[2]BASE'!ID30=0,"",'[2]BASE'!ID30)</f>
      </c>
      <c r="V29" s="493"/>
      <c r="W29" s="489"/>
    </row>
    <row r="30" spans="2:23" s="483" customFormat="1" ht="15.75" customHeight="1">
      <c r="B30" s="484"/>
      <c r="C30" s="490">
        <f>IF('[2]BASE'!C31=0,"",'[1]BASE'!C31)</f>
        <v>14</v>
      </c>
      <c r="D30" s="490" t="str">
        <f>IF('[2]BASE'!D31=0,"",'[1]BASE'!D31)</f>
        <v>NUEVO PUERTO - PELLEGRINI 2 </v>
      </c>
      <c r="E30" s="490">
        <f>IF('[2]BASE'!E31=0,"",'[1]BASE'!E31)</f>
        <v>104</v>
      </c>
      <c r="F30" s="490" t="str">
        <f>IF('[2]BASE'!F31=0,"",'[1]BASE'!F31)</f>
        <v>C</v>
      </c>
      <c r="G30" s="490">
        <f>IF('[2]BASE'!G31=0,"",'[1]BASE'!G31)</f>
      </c>
      <c r="H30" s="490">
        <f>IF('[2]BASE'!H31=0,"",'[1]BASE'!H31)</f>
        <v>132</v>
      </c>
      <c r="I30" s="490">
        <f>IF('[2]BASE'!I31=0,"",'[1]BASE'!I31)</f>
        <v>5.8</v>
      </c>
      <c r="J30" s="491" t="str">
        <f>IF('[2]BASE'!HS31=0,"",'[2]BASE'!HS31)</f>
        <v>XXXX</v>
      </c>
      <c r="K30" s="491" t="str">
        <f>IF('[2]BASE'!HT31=0,"",'[2]BASE'!HT31)</f>
        <v>XXXX</v>
      </c>
      <c r="L30" s="491" t="str">
        <f>IF('[2]BASE'!HU31=0,"",'[2]BASE'!HU31)</f>
        <v>XXXX</v>
      </c>
      <c r="M30" s="491" t="str">
        <f>IF('[2]BASE'!HV31=0,"",'[2]BASE'!HV31)</f>
        <v>XXXX</v>
      </c>
      <c r="N30" s="491" t="str">
        <f>IF('[2]BASE'!HW31=0,"",'[2]BASE'!HW31)</f>
        <v>XXXX</v>
      </c>
      <c r="O30" s="491" t="str">
        <f>IF('[2]BASE'!HX31=0,"",'[2]BASE'!HX31)</f>
        <v>XXXX</v>
      </c>
      <c r="P30" s="491" t="str">
        <f>IF('[2]BASE'!HY31=0,"",'[2]BASE'!HY31)</f>
        <v>XXXX</v>
      </c>
      <c r="Q30" s="491" t="str">
        <f>IF('[2]BASE'!HZ31=0,"",'[2]BASE'!HZ31)</f>
        <v>XXXX</v>
      </c>
      <c r="R30" s="491" t="str">
        <f>IF('[2]BASE'!IA31=0,"",'[2]BASE'!IA31)</f>
        <v>XXXX</v>
      </c>
      <c r="S30" s="491" t="str">
        <f>IF('[2]BASE'!IB31=0,"",'[2]BASE'!IB31)</f>
        <v>XXXX</v>
      </c>
      <c r="T30" s="491" t="str">
        <f>IF('[2]BASE'!IC31=0,"",'[2]BASE'!IC31)</f>
        <v>XXXX</v>
      </c>
      <c r="U30" s="491" t="str">
        <f>IF('[2]BASE'!ID31=0,"",'[2]BASE'!ID31)</f>
        <v>XXXX</v>
      </c>
      <c r="V30" s="493"/>
      <c r="W30" s="489"/>
    </row>
    <row r="31" spans="2:23" s="483" customFormat="1" ht="15.75" customHeight="1">
      <c r="B31" s="484"/>
      <c r="C31" s="490">
        <f>IF('[2]BASE'!C32=0,"",'[1]BASE'!C32)</f>
        <v>80</v>
      </c>
      <c r="D31" s="490" t="str">
        <f>IF('[2]BASE'!D32=0,"",'[1]BASE'!D32)</f>
        <v>NUEVO PUERTO - AZOPARDO 2</v>
      </c>
      <c r="E31" s="490">
        <f>IF('[2]BASE'!E32=0,"",'[1]BASE'!E32)</f>
        <v>104</v>
      </c>
      <c r="F31" s="490" t="str">
        <f>IF('[2]BASE'!F32=0,"",'[1]BASE'!F32)</f>
        <v>C</v>
      </c>
      <c r="G31" s="490">
        <f>IF('[2]BASE'!G32=0,"",'[1]BASE'!G32)</f>
      </c>
      <c r="H31" s="490">
        <f>IF('[2]BASE'!H32=0,"",'[1]BASE'!H32)</f>
        <v>132</v>
      </c>
      <c r="I31" s="490">
        <f>IF('[2]BASE'!I32=0,"",'[1]BASE'!I32)</f>
        <v>7.3</v>
      </c>
      <c r="J31" s="491">
        <f>IF('[2]BASE'!HS32=0,"",'[2]BASE'!HS32)</f>
      </c>
      <c r="K31" s="491">
        <f>IF('[2]BASE'!HT32=0,"",'[2]BASE'!HT32)</f>
      </c>
      <c r="L31" s="491">
        <f>IF('[2]BASE'!HU32=0,"",'[2]BASE'!HU32)</f>
      </c>
      <c r="M31" s="491">
        <f>IF('[2]BASE'!HV32=0,"",'[2]BASE'!HV32)</f>
      </c>
      <c r="N31" s="491">
        <f>IF('[2]BASE'!HW32=0,"",'[2]BASE'!HW32)</f>
      </c>
      <c r="O31" s="491">
        <f>IF('[2]BASE'!HX32=0,"",'[2]BASE'!HX32)</f>
      </c>
      <c r="P31" s="491">
        <f>IF('[2]BASE'!HY32=0,"",'[2]BASE'!HY32)</f>
      </c>
      <c r="Q31" s="491">
        <f>IF('[2]BASE'!HZ32=0,"",'[2]BASE'!HZ32)</f>
      </c>
      <c r="R31" s="491">
        <f>IF('[2]BASE'!IA32=0,"",'[2]BASE'!IA32)</f>
        <v>1</v>
      </c>
      <c r="S31" s="491">
        <f>IF('[2]BASE'!IB32=0,"",'[2]BASE'!IB32)</f>
      </c>
      <c r="T31" s="491">
        <f>IF('[2]BASE'!IC32=0,"",'[2]BASE'!IC32)</f>
      </c>
      <c r="U31" s="491">
        <f>IF('[2]BASE'!ID32=0,"",'[2]BASE'!ID32)</f>
      </c>
      <c r="V31" s="493"/>
      <c r="W31" s="489"/>
    </row>
    <row r="32" spans="2:23" s="483" customFormat="1" ht="15.75" customHeight="1">
      <c r="B32" s="484"/>
      <c r="C32" s="490">
        <f>IF('[2]BASE'!C33=0,"",'[1]BASE'!C33)</f>
        <v>15</v>
      </c>
      <c r="D32" s="490" t="str">
        <f>IF('[2]BASE'!D33=0,"",'[1]BASE'!D33)</f>
        <v>NUEVO PUERTO - PELLEGRINI 3</v>
      </c>
      <c r="E32" s="490">
        <f>IF('[2]BASE'!E33=0,"",'[1]BASE'!E33)</f>
        <v>105</v>
      </c>
      <c r="F32" s="490" t="str">
        <f>IF('[2]BASE'!F33=0,"",'[1]BASE'!F33)</f>
        <v>C</v>
      </c>
      <c r="G32" s="490">
        <f>IF('[2]BASE'!G33=0,"",'[1]BASE'!G33)</f>
      </c>
      <c r="H32" s="490">
        <f>IF('[2]BASE'!H33=0,"",'[1]BASE'!H33)</f>
        <v>132</v>
      </c>
      <c r="I32" s="490">
        <f>IF('[2]BASE'!I33=0,"",'[1]BASE'!I33)</f>
        <v>5.8</v>
      </c>
      <c r="J32" s="491" t="str">
        <f>IF('[2]BASE'!HS33=0,"",'[2]BASE'!HS33)</f>
        <v>XXXX</v>
      </c>
      <c r="K32" s="491" t="str">
        <f>IF('[2]BASE'!HT33=0,"",'[2]BASE'!HT33)</f>
        <v>XXXX</v>
      </c>
      <c r="L32" s="491" t="str">
        <f>IF('[2]BASE'!HU33=0,"",'[2]BASE'!HU33)</f>
        <v>XXXX</v>
      </c>
      <c r="M32" s="491" t="str">
        <f>IF('[2]BASE'!HV33=0,"",'[2]BASE'!HV33)</f>
        <v>XXXX</v>
      </c>
      <c r="N32" s="491" t="str">
        <f>IF('[2]BASE'!HW33=0,"",'[2]BASE'!HW33)</f>
        <v>XXXX</v>
      </c>
      <c r="O32" s="491" t="str">
        <f>IF('[2]BASE'!HX33=0,"",'[2]BASE'!HX33)</f>
        <v>XXXX</v>
      </c>
      <c r="P32" s="491" t="str">
        <f>IF('[2]BASE'!HY33=0,"",'[2]BASE'!HY33)</f>
        <v>XXXX</v>
      </c>
      <c r="Q32" s="491" t="str">
        <f>IF('[2]BASE'!HZ33=0,"",'[2]BASE'!HZ33)</f>
        <v>XXXX</v>
      </c>
      <c r="R32" s="491" t="str">
        <f>IF('[2]BASE'!IA33=0,"",'[2]BASE'!IA33)</f>
        <v>XXXX</v>
      </c>
      <c r="S32" s="491" t="str">
        <f>IF('[2]BASE'!IB33=0,"",'[2]BASE'!IB33)</f>
        <v>XXXX</v>
      </c>
      <c r="T32" s="491" t="str">
        <f>IF('[2]BASE'!IC33=0,"",'[2]BASE'!IC33)</f>
        <v>XXXX</v>
      </c>
      <c r="U32" s="491" t="str">
        <f>IF('[2]BASE'!ID33=0,"",'[2]BASE'!ID33)</f>
        <v>XXXX</v>
      </c>
      <c r="V32" s="493"/>
      <c r="W32" s="489"/>
    </row>
    <row r="33" spans="2:23" s="483" customFormat="1" ht="15.75" customHeight="1">
      <c r="B33" s="484"/>
      <c r="C33" s="490">
        <f>IF('[2]BASE'!C34=0,"",'[1]BASE'!C34)</f>
        <v>81</v>
      </c>
      <c r="D33" s="490" t="str">
        <f>IF('[2]BASE'!D34=0,"",'[1]BASE'!D34)</f>
        <v>NUEVO PUERTO - AZOPARDO 3</v>
      </c>
      <c r="E33" s="490">
        <f>IF('[2]BASE'!E34=0,"",'[1]BASE'!E34)</f>
        <v>105</v>
      </c>
      <c r="F33" s="490" t="str">
        <f>IF('[2]BASE'!F34=0,"",'[1]BASE'!F34)</f>
        <v>C</v>
      </c>
      <c r="G33" s="490">
        <f>IF('[2]BASE'!G34=0,"",'[1]BASE'!G34)</f>
      </c>
      <c r="H33" s="490">
        <f>IF('[2]BASE'!H34=0,"",'[1]BASE'!H34)</f>
        <v>132</v>
      </c>
      <c r="I33" s="490">
        <f>IF('[2]BASE'!I34=0,"",'[1]BASE'!I34)</f>
        <v>7.3</v>
      </c>
      <c r="J33" s="491">
        <f>IF('[2]BASE'!HS34=0,"",'[2]BASE'!HS34)</f>
      </c>
      <c r="K33" s="491">
        <f>IF('[2]BASE'!HT34=0,"",'[2]BASE'!HT34)</f>
      </c>
      <c r="L33" s="491">
        <f>IF('[2]BASE'!HU34=0,"",'[2]BASE'!HU34)</f>
      </c>
      <c r="M33" s="491">
        <f>IF('[2]BASE'!HV34=0,"",'[2]BASE'!HV34)</f>
      </c>
      <c r="N33" s="491">
        <f>IF('[2]BASE'!HW34=0,"",'[2]BASE'!HW34)</f>
      </c>
      <c r="O33" s="491">
        <f>IF('[2]BASE'!HX34=0,"",'[2]BASE'!HX34)</f>
      </c>
      <c r="P33" s="491">
        <f>IF('[2]BASE'!HY34=0,"",'[2]BASE'!HY34)</f>
      </c>
      <c r="Q33" s="491">
        <f>IF('[2]BASE'!HZ34=0,"",'[2]BASE'!HZ34)</f>
      </c>
      <c r="R33" s="491">
        <f>IF('[2]BASE'!IA34=0,"",'[2]BASE'!IA34)</f>
      </c>
      <c r="S33" s="491">
        <f>IF('[2]BASE'!IB34=0,"",'[2]BASE'!IB34)</f>
      </c>
      <c r="T33" s="491">
        <f>IF('[2]BASE'!IC34=0,"",'[2]BASE'!IC34)</f>
      </c>
      <c r="U33" s="491">
        <f>IF('[2]BASE'!ID34=0,"",'[2]BASE'!ID34)</f>
      </c>
      <c r="V33" s="493"/>
      <c r="W33" s="489"/>
    </row>
    <row r="34" spans="2:23" s="483" customFormat="1" ht="15.75" customHeight="1">
      <c r="B34" s="484"/>
      <c r="C34" s="490">
        <f>IF('[2]BASE'!C35=0,"",'[1]BASE'!C35)</f>
        <v>16</v>
      </c>
      <c r="D34" s="490" t="str">
        <f>IF('[2]BASE'!D35=0,"",'[1]BASE'!D35)</f>
        <v>NUEVO PUERTO - AZCUENAGA 1</v>
      </c>
      <c r="E34" s="490">
        <f>IF('[2]BASE'!E35=0,"",'[1]BASE'!E35)</f>
        <v>106</v>
      </c>
      <c r="F34" s="490" t="str">
        <f>IF('[2]BASE'!F35=0,"",'[1]BASE'!F35)</f>
        <v>C</v>
      </c>
      <c r="G34" s="490">
        <f>IF('[2]BASE'!G35=0,"",'[1]BASE'!G35)</f>
      </c>
      <c r="H34" s="490">
        <f>IF('[2]BASE'!H35=0,"",'[1]BASE'!H35)</f>
        <v>132</v>
      </c>
      <c r="I34" s="490">
        <f>IF('[2]BASE'!I35=0,"",'[1]BASE'!I35)</f>
        <v>5</v>
      </c>
      <c r="J34" s="491">
        <f>IF('[2]BASE'!HS35=0,"",'[2]BASE'!HS35)</f>
      </c>
      <c r="K34" s="491">
        <f>IF('[2]BASE'!HT35=0,"",'[2]BASE'!HT35)</f>
      </c>
      <c r="L34" s="491">
        <f>IF('[2]BASE'!HU35=0,"",'[2]BASE'!HU35)</f>
      </c>
      <c r="M34" s="491">
        <f>IF('[2]BASE'!HV35=0,"",'[2]BASE'!HV35)</f>
      </c>
      <c r="N34" s="491">
        <f>IF('[2]BASE'!HW35=0,"",'[2]BASE'!HW35)</f>
      </c>
      <c r="O34" s="491">
        <f>IF('[2]BASE'!HX35=0,"",'[2]BASE'!HX35)</f>
      </c>
      <c r="P34" s="491">
        <f>IF('[2]BASE'!HY35=0,"",'[2]BASE'!HY35)</f>
      </c>
      <c r="Q34" s="491">
        <f>IF('[2]BASE'!HZ35=0,"",'[2]BASE'!HZ35)</f>
      </c>
      <c r="R34" s="491">
        <f>IF('[2]BASE'!IA35=0,"",'[2]BASE'!IA35)</f>
      </c>
      <c r="S34" s="491">
        <f>IF('[2]BASE'!IB35=0,"",'[2]BASE'!IB35)</f>
      </c>
      <c r="T34" s="491">
        <f>IF('[2]BASE'!IC35=0,"",'[2]BASE'!IC35)</f>
      </c>
      <c r="U34" s="491">
        <f>IF('[2]BASE'!ID35=0,"",'[2]BASE'!ID35)</f>
      </c>
      <c r="V34" s="493"/>
      <c r="W34" s="489"/>
    </row>
    <row r="35" spans="2:23" s="483" customFormat="1" ht="15.75" customHeight="1">
      <c r="B35" s="484"/>
      <c r="C35" s="490">
        <f>IF('[2]BASE'!C36=0,"",'[1]BASE'!C36)</f>
        <v>17</v>
      </c>
      <c r="D35" s="490" t="str">
        <f>IF('[2]BASE'!D36=0,"",'[1]BASE'!D36)</f>
        <v>NUEVO PUERTO - AZCUENAGA 2 </v>
      </c>
      <c r="E35" s="490">
        <f>IF('[2]BASE'!E36=0,"",'[1]BASE'!E36)</f>
        <v>107</v>
      </c>
      <c r="F35" s="490" t="str">
        <f>IF('[2]BASE'!F36=0,"",'[1]BASE'!F36)</f>
        <v>C</v>
      </c>
      <c r="G35" s="490">
        <f>IF('[2]BASE'!G36=0,"",'[1]BASE'!G36)</f>
      </c>
      <c r="H35" s="490">
        <f>IF('[2]BASE'!H36=0,"",'[1]BASE'!H36)</f>
        <v>132</v>
      </c>
      <c r="I35" s="490">
        <f>IF('[2]BASE'!I36=0,"",'[1]BASE'!I36)</f>
        <v>5</v>
      </c>
      <c r="J35" s="491">
        <f>IF('[2]BASE'!HS36=0,"",'[2]BASE'!HS36)</f>
      </c>
      <c r="K35" s="491">
        <f>IF('[2]BASE'!HT36=0,"",'[2]BASE'!HT36)</f>
      </c>
      <c r="L35" s="491">
        <f>IF('[2]BASE'!HU36=0,"",'[2]BASE'!HU36)</f>
      </c>
      <c r="M35" s="491">
        <f>IF('[2]BASE'!HV36=0,"",'[2]BASE'!HV36)</f>
      </c>
      <c r="N35" s="491">
        <f>IF('[2]BASE'!HW36=0,"",'[2]BASE'!HW36)</f>
      </c>
      <c r="O35" s="491">
        <f>IF('[2]BASE'!HX36=0,"",'[2]BASE'!HX36)</f>
      </c>
      <c r="P35" s="491">
        <f>IF('[2]BASE'!HY36=0,"",'[2]BASE'!HY36)</f>
      </c>
      <c r="Q35" s="491">
        <f>IF('[2]BASE'!HZ36=0,"",'[2]BASE'!HZ36)</f>
      </c>
      <c r="R35" s="491">
        <f>IF('[2]BASE'!IA36=0,"",'[2]BASE'!IA36)</f>
      </c>
      <c r="S35" s="491">
        <f>IF('[2]BASE'!IB36=0,"",'[2]BASE'!IB36)</f>
      </c>
      <c r="T35" s="491">
        <f>IF('[2]BASE'!IC36=0,"",'[2]BASE'!IC36)</f>
      </c>
      <c r="U35" s="491">
        <f>IF('[2]BASE'!ID36=0,"",'[2]BASE'!ID36)</f>
      </c>
      <c r="V35" s="493"/>
      <c r="W35" s="489"/>
    </row>
    <row r="36" spans="2:23" s="483" customFormat="1" ht="15.75" customHeight="1">
      <c r="B36" s="484"/>
      <c r="C36" s="490">
        <f>IF('[2]BASE'!C37=0,"",'[1]BASE'!C37)</f>
        <v>18</v>
      </c>
      <c r="D36" s="490" t="str">
        <f>IF('[2]BASE'!D37=0,"",'[1]BASE'!D37)</f>
        <v>PUERTO NUEVO - COSTANERA </v>
      </c>
      <c r="E36" s="490">
        <f>IF('[2]BASE'!E37=0,"",'[1]BASE'!E37)</f>
        <v>111</v>
      </c>
      <c r="F36" s="490" t="str">
        <f>IF('[2]BASE'!F37=0,"",'[1]BASE'!F37)</f>
        <v>C</v>
      </c>
      <c r="G36" s="490">
        <f>IF('[2]BASE'!G37=0,"",'[1]BASE'!G37)</f>
      </c>
      <c r="H36" s="490">
        <f>IF('[2]BASE'!H37=0,"",'[1]BASE'!H37)</f>
        <v>132</v>
      </c>
      <c r="I36" s="490">
        <f>IF('[2]BASE'!I37=0,"",'[1]BASE'!I37)</f>
        <v>5.78</v>
      </c>
      <c r="J36" s="491">
        <f>IF('[2]BASE'!HS37=0,"",'[2]BASE'!HS37)</f>
        <v>1</v>
      </c>
      <c r="K36" s="491">
        <f>IF('[2]BASE'!HT37=0,"",'[2]BASE'!HT37)</f>
      </c>
      <c r="L36" s="491">
        <f>IF('[2]BASE'!HU37=0,"",'[2]BASE'!HU37)</f>
      </c>
      <c r="M36" s="491">
        <f>IF('[2]BASE'!HV37=0,"",'[2]BASE'!HV37)</f>
      </c>
      <c r="N36" s="491">
        <f>IF('[2]BASE'!HW37=0,"",'[2]BASE'!HW37)</f>
      </c>
      <c r="O36" s="491">
        <f>IF('[2]BASE'!HX37=0,"",'[2]BASE'!HX37)</f>
      </c>
      <c r="P36" s="491">
        <f>IF('[2]BASE'!HY37=0,"",'[2]BASE'!HY37)</f>
        <v>1</v>
      </c>
      <c r="Q36" s="491">
        <f>IF('[2]BASE'!HZ37=0,"",'[2]BASE'!HZ37)</f>
      </c>
      <c r="R36" s="491">
        <f>IF('[2]BASE'!IA37=0,"",'[2]BASE'!IA37)</f>
      </c>
      <c r="S36" s="491">
        <f>IF('[2]BASE'!IB37=0,"",'[2]BASE'!IB37)</f>
      </c>
      <c r="T36" s="491">
        <f>IF('[2]BASE'!IC37=0,"",'[2]BASE'!IC37)</f>
        <v>1</v>
      </c>
      <c r="U36" s="491">
        <f>IF('[2]BASE'!ID37=0,"",'[2]BASE'!ID37)</f>
      </c>
      <c r="V36" s="493"/>
      <c r="W36" s="489"/>
    </row>
    <row r="37" spans="2:23" s="483" customFormat="1" ht="15.75" customHeight="1">
      <c r="B37" s="484"/>
      <c r="C37" s="490">
        <f>IF('[2]BASE'!C38=0,"",'[1]BASE'!C38)</f>
        <v>19</v>
      </c>
      <c r="D37" s="490" t="str">
        <f>IF('[2]BASE'!D38=0,"",'[1]BASE'!D38)</f>
        <v>PUERTO NUEVO - COSTANERA 2 </v>
      </c>
      <c r="E37" s="490">
        <f>IF('[2]BASE'!E38=0,"",'[1]BASE'!E38)</f>
        <v>112</v>
      </c>
      <c r="F37" s="490" t="str">
        <f>IF('[2]BASE'!F38=0,"",'[1]BASE'!F38)</f>
        <v>C</v>
      </c>
      <c r="G37" s="490">
        <f>IF('[2]BASE'!G38=0,"",'[1]BASE'!G38)</f>
      </c>
      <c r="H37" s="490">
        <f>IF('[2]BASE'!H38=0,"",'[1]BASE'!H38)</f>
        <v>132</v>
      </c>
      <c r="I37" s="490">
        <f>IF('[2]BASE'!I38=0,"",'[1]BASE'!I38)</f>
        <v>7.4</v>
      </c>
      <c r="J37" s="491" t="str">
        <f>IF('[2]BASE'!HS38=0,"",'[2]BASE'!HS38)</f>
        <v>XXXX</v>
      </c>
      <c r="K37" s="491" t="str">
        <f>IF('[2]BASE'!HT38=0,"",'[2]BASE'!HT38)</f>
        <v>XXXX</v>
      </c>
      <c r="L37" s="491" t="str">
        <f>IF('[2]BASE'!HU38=0,"",'[2]BASE'!HU38)</f>
        <v>XXXX</v>
      </c>
      <c r="M37" s="491" t="str">
        <f>IF('[2]BASE'!HV38=0,"",'[2]BASE'!HV38)</f>
        <v>XXXX</v>
      </c>
      <c r="N37" s="491" t="str">
        <f>IF('[2]BASE'!HW38=0,"",'[2]BASE'!HW38)</f>
        <v>XXXX</v>
      </c>
      <c r="O37" s="491" t="str">
        <f>IF('[2]BASE'!HX38=0,"",'[2]BASE'!HX38)</f>
        <v>XXXX</v>
      </c>
      <c r="P37" s="491" t="str">
        <f>IF('[2]BASE'!HY38=0,"",'[2]BASE'!HY38)</f>
        <v>XXXX</v>
      </c>
      <c r="Q37" s="491" t="str">
        <f>IF('[2]BASE'!HZ38=0,"",'[2]BASE'!HZ38)</f>
        <v>XXXX</v>
      </c>
      <c r="R37" s="491" t="str">
        <f>IF('[2]BASE'!IA38=0,"",'[2]BASE'!IA38)</f>
        <v>XXXX</v>
      </c>
      <c r="S37" s="491" t="str">
        <f>IF('[2]BASE'!IB38=0,"",'[2]BASE'!IB38)</f>
        <v>XXXX</v>
      </c>
      <c r="T37" s="491" t="str">
        <f>IF('[2]BASE'!IC38=0,"",'[2]BASE'!IC38)</f>
        <v>XXXX</v>
      </c>
      <c r="U37" s="491" t="str">
        <f>IF('[2]BASE'!ID38=0,"",'[2]BASE'!ID38)</f>
        <v>XXXX</v>
      </c>
      <c r="V37" s="493"/>
      <c r="W37" s="489"/>
    </row>
    <row r="38" spans="2:23" s="483" customFormat="1" ht="15.75" customHeight="1">
      <c r="B38" s="484"/>
      <c r="C38" s="490">
        <f>IF('[2]BASE'!C39=0,"",'[1]BASE'!C39)</f>
        <v>72</v>
      </c>
      <c r="D38" s="490" t="str">
        <f>IF('[2]BASE'!D39=0,"",'[1]BASE'!D39)</f>
        <v>AZOPARDO - PUERTO NUEVO 2</v>
      </c>
      <c r="E38" s="490">
        <f>IF('[2]BASE'!E39=0,"",'[1]BASE'!E39)</f>
        <v>112</v>
      </c>
      <c r="F38" s="490" t="str">
        <f>IF('[2]BASE'!F39=0,"",'[1]BASE'!F39)</f>
        <v>C</v>
      </c>
      <c r="G38" s="490">
        <f>IF('[2]BASE'!G39=0,"",'[1]BASE'!G39)</f>
      </c>
      <c r="H38" s="490">
        <f>IF('[2]BASE'!H39=0,"",'[1]BASE'!H39)</f>
        <v>132</v>
      </c>
      <c r="I38" s="490">
        <f>IF('[2]BASE'!I39=0,"",'[1]BASE'!I39)</f>
        <v>5.8</v>
      </c>
      <c r="J38" s="491">
        <f>IF('[2]BASE'!HS39=0,"",'[2]BASE'!HS39)</f>
      </c>
      <c r="K38" s="491">
        <f>IF('[2]BASE'!HT39=0,"",'[2]BASE'!HT39)</f>
      </c>
      <c r="L38" s="491">
        <f>IF('[2]BASE'!HU39=0,"",'[2]BASE'!HU39)</f>
      </c>
      <c r="M38" s="491">
        <f>IF('[2]BASE'!HV39=0,"",'[2]BASE'!HV39)</f>
      </c>
      <c r="N38" s="491">
        <f>IF('[2]BASE'!HW39=0,"",'[2]BASE'!HW39)</f>
      </c>
      <c r="O38" s="491">
        <f>IF('[2]BASE'!HX39=0,"",'[2]BASE'!HX39)</f>
      </c>
      <c r="P38" s="491">
        <f>IF('[2]BASE'!HY39=0,"",'[2]BASE'!HY39)</f>
      </c>
      <c r="Q38" s="491">
        <f>IF('[2]BASE'!HZ39=0,"",'[2]BASE'!HZ39)</f>
      </c>
      <c r="R38" s="491">
        <f>IF('[2]BASE'!IA39=0,"",'[2]BASE'!IA39)</f>
      </c>
      <c r="S38" s="491">
        <f>IF('[2]BASE'!IB39=0,"",'[2]BASE'!IB39)</f>
      </c>
      <c r="T38" s="491">
        <f>IF('[2]BASE'!IC39=0,"",'[2]BASE'!IC39)</f>
      </c>
      <c r="U38" s="491">
        <f>IF('[2]BASE'!ID39=0,"",'[2]BASE'!ID39)</f>
      </c>
      <c r="V38" s="493"/>
      <c r="W38" s="489"/>
    </row>
    <row r="39" spans="2:23" s="483" customFormat="1" ht="15.75" customHeight="1">
      <c r="B39" s="484"/>
      <c r="C39" s="490">
        <f>IF('[2]BASE'!C40=0,"",'[1]BASE'!C40)</f>
        <v>20</v>
      </c>
      <c r="D39" s="490" t="str">
        <f>IF('[2]BASE'!D40=0,"",'[1]BASE'!D40)</f>
        <v>PUERTO NUEVO - COSTANERA 3 </v>
      </c>
      <c r="E39" s="490">
        <f>IF('[2]BASE'!E40=0,"",'[1]BASE'!E40)</f>
        <v>113</v>
      </c>
      <c r="F39" s="490" t="str">
        <f>IF('[2]BASE'!F40=0,"",'[1]BASE'!F40)</f>
        <v>C</v>
      </c>
      <c r="G39" s="490">
        <f>IF('[2]BASE'!G40=0,"",'[1]BASE'!G40)</f>
      </c>
      <c r="H39" s="490">
        <f>IF('[2]BASE'!H40=0,"",'[1]BASE'!H40)</f>
        <v>132</v>
      </c>
      <c r="I39" s="490">
        <f>IF('[2]BASE'!I40=0,"",'[1]BASE'!I40)</f>
        <v>5.8</v>
      </c>
      <c r="J39" s="491">
        <f>IF('[2]BASE'!HS40=0,"",'[2]BASE'!HS40)</f>
      </c>
      <c r="K39" s="491">
        <f>IF('[2]BASE'!HT40=0,"",'[2]BASE'!HT40)</f>
      </c>
      <c r="L39" s="491">
        <f>IF('[2]BASE'!HU40=0,"",'[2]BASE'!HU40)</f>
      </c>
      <c r="M39" s="491">
        <f>IF('[2]BASE'!HV40=0,"",'[2]BASE'!HV40)</f>
      </c>
      <c r="N39" s="491">
        <f>IF('[2]BASE'!HW40=0,"",'[2]BASE'!HW40)</f>
      </c>
      <c r="O39" s="491">
        <f>IF('[2]BASE'!HX40=0,"",'[2]BASE'!HX40)</f>
      </c>
      <c r="P39" s="491">
        <f>IF('[2]BASE'!HY40=0,"",'[2]BASE'!HY40)</f>
      </c>
      <c r="Q39" s="491">
        <f>IF('[2]BASE'!HZ40=0,"",'[2]BASE'!HZ40)</f>
      </c>
      <c r="R39" s="491">
        <f>IF('[2]BASE'!IA40=0,"",'[2]BASE'!IA40)</f>
        <v>1</v>
      </c>
      <c r="S39" s="491">
        <f>IF('[2]BASE'!IB40=0,"",'[2]BASE'!IB40)</f>
      </c>
      <c r="T39" s="491">
        <f>IF('[2]BASE'!IC40=0,"",'[2]BASE'!IC40)</f>
      </c>
      <c r="U39" s="491">
        <f>IF('[2]BASE'!ID40=0,"",'[2]BASE'!ID40)</f>
      </c>
      <c r="V39" s="493"/>
      <c r="W39" s="489"/>
    </row>
    <row r="40" spans="2:23" s="483" customFormat="1" ht="15.75" customHeight="1">
      <c r="B40" s="484"/>
      <c r="C40" s="490">
        <f>IF('[2]BASE'!C41=0,"",'[1]BASE'!C41)</f>
        <v>21</v>
      </c>
      <c r="D40" s="490" t="str">
        <f>IF('[2]BASE'!D41=0,"",'[1]BASE'!D41)</f>
        <v>PUERTO NUEVO - AZOPARDO 1</v>
      </c>
      <c r="E40" s="490">
        <f>IF('[2]BASE'!E41=0,"",'[1]BASE'!E41)</f>
        <v>135</v>
      </c>
      <c r="F40" s="490" t="str">
        <f>IF('[2]BASE'!F41=0,"",'[1]BASE'!F41)</f>
        <v>C</v>
      </c>
      <c r="G40" s="490">
        <f>IF('[2]BASE'!G41=0,"",'[1]BASE'!G41)</f>
      </c>
      <c r="H40" s="490">
        <f>IF('[2]BASE'!H41=0,"",'[1]BASE'!H41)</f>
        <v>132</v>
      </c>
      <c r="I40" s="490">
        <f>IF('[2]BASE'!I41=0,"",'[1]BASE'!I41)</f>
        <v>16.7</v>
      </c>
      <c r="J40" s="491">
        <f>IF('[2]BASE'!HS41=0,"",'[2]BASE'!HS41)</f>
      </c>
      <c r="K40" s="491">
        <f>IF('[2]BASE'!HT41=0,"",'[2]BASE'!HT41)</f>
      </c>
      <c r="L40" s="491">
        <f>IF('[2]BASE'!HU41=0,"",'[2]BASE'!HU41)</f>
      </c>
      <c r="M40" s="491">
        <f>IF('[2]BASE'!HV41=0,"",'[2]BASE'!HV41)</f>
      </c>
      <c r="N40" s="491">
        <f>IF('[2]BASE'!HW41=0,"",'[2]BASE'!HW41)</f>
      </c>
      <c r="O40" s="491">
        <f>IF('[2]BASE'!HX41=0,"",'[2]BASE'!HX41)</f>
      </c>
      <c r="P40" s="491">
        <f>IF('[2]BASE'!HY41=0,"",'[2]BASE'!HY41)</f>
        <v>1</v>
      </c>
      <c r="Q40" s="491">
        <f>IF('[2]BASE'!HZ41=0,"",'[2]BASE'!HZ41)</f>
      </c>
      <c r="R40" s="491">
        <f>IF('[2]BASE'!IA41=0,"",'[2]BASE'!IA41)</f>
      </c>
      <c r="S40" s="491">
        <f>IF('[2]BASE'!IB41=0,"",'[2]BASE'!IB41)</f>
        <v>1</v>
      </c>
      <c r="T40" s="491">
        <f>IF('[2]BASE'!IC41=0,"",'[2]BASE'!IC41)</f>
      </c>
      <c r="U40" s="491">
        <f>IF('[2]BASE'!ID41=0,"",'[2]BASE'!ID41)</f>
      </c>
      <c r="V40" s="493"/>
      <c r="W40" s="489"/>
    </row>
    <row r="41" spans="2:23" s="483" customFormat="1" ht="15.75" customHeight="1">
      <c r="B41" s="484"/>
      <c r="C41" s="490">
        <f>IF('[2]BASE'!C42=0,"",'[1]BASE'!C42)</f>
        <v>22</v>
      </c>
      <c r="D41" s="490" t="str">
        <f>IF('[2]BASE'!D42=0,"",'[1]BASE'!D42)</f>
        <v>PUERTO NUEVO - AZOPARDO 2 </v>
      </c>
      <c r="E41" s="490">
        <f>IF('[2]BASE'!E42=0,"",'[1]BASE'!E42)</f>
        <v>136</v>
      </c>
      <c r="F41" s="490" t="str">
        <f>IF('[2]BASE'!F42=0,"",'[1]BASE'!F42)</f>
        <v>C</v>
      </c>
      <c r="G41" s="490">
        <f>IF('[2]BASE'!G42=0,"",'[1]BASE'!G42)</f>
      </c>
      <c r="H41" s="490">
        <f>IF('[2]BASE'!H42=0,"",'[1]BASE'!H42)</f>
        <v>132</v>
      </c>
      <c r="I41" s="490">
        <f>IF('[2]BASE'!I42=0,"",'[1]BASE'!I42)</f>
        <v>16.7</v>
      </c>
      <c r="J41" s="491">
        <f>IF('[2]BASE'!HS42=0,"",'[2]BASE'!HS42)</f>
      </c>
      <c r="K41" s="491">
        <f>IF('[2]BASE'!HT42=0,"",'[2]BASE'!HT42)</f>
      </c>
      <c r="L41" s="491">
        <f>IF('[2]BASE'!HU42=0,"",'[2]BASE'!HU42)</f>
      </c>
      <c r="M41" s="491">
        <f>IF('[2]BASE'!HV42=0,"",'[2]BASE'!HV42)</f>
      </c>
      <c r="N41" s="491">
        <f>IF('[2]BASE'!HW42=0,"",'[2]BASE'!HW42)</f>
      </c>
      <c r="O41" s="491">
        <f>IF('[2]BASE'!HX42=0,"",'[2]BASE'!HX42)</f>
      </c>
      <c r="P41" s="491">
        <f>IF('[2]BASE'!HY42=0,"",'[2]BASE'!HY42)</f>
      </c>
      <c r="Q41" s="491">
        <f>IF('[2]BASE'!HZ42=0,"",'[2]BASE'!HZ42)</f>
      </c>
      <c r="R41" s="491">
        <f>IF('[2]BASE'!IA42=0,"",'[2]BASE'!IA42)</f>
      </c>
      <c r="S41" s="491">
        <f>IF('[2]BASE'!IB42=0,"",'[2]BASE'!IB42)</f>
        <v>1</v>
      </c>
      <c r="T41" s="491">
        <f>IF('[2]BASE'!IC42=0,"",'[2]BASE'!IC42)</f>
      </c>
      <c r="U41" s="491">
        <f>IF('[2]BASE'!ID42=0,"",'[2]BASE'!ID42)</f>
      </c>
      <c r="V41" s="493"/>
      <c r="W41" s="489"/>
    </row>
    <row r="42" spans="2:23" s="483" customFormat="1" ht="15.75" customHeight="1">
      <c r="B42" s="484"/>
      <c r="C42" s="490">
        <f>IF('[2]BASE'!C43=0,"",'[1]BASE'!C43)</f>
        <v>86</v>
      </c>
      <c r="D42" s="490" t="str">
        <f>IF('[2]BASE'!D43=0,"",'[1]BASE'!D43)</f>
        <v>DOCK SUD - SOBRAL 1</v>
      </c>
      <c r="E42" s="490">
        <f>IF('[2]BASE'!E43=0,"",'[1]BASE'!E43)</f>
        <v>201</v>
      </c>
      <c r="F42" s="490" t="str">
        <f>IF('[2]BASE'!F43=0,"",'[1]BASE'!F43)</f>
        <v>L/C</v>
      </c>
      <c r="G42" s="490">
        <f>IF('[2]BASE'!G43=0,"",'[1]BASE'!G43)</f>
        <v>79.44</v>
      </c>
      <c r="H42" s="490">
        <f>IF('[2]BASE'!H43=0,"",'[1]BASE'!H43)</f>
        <v>132</v>
      </c>
      <c r="I42" s="490">
        <f>IF('[2]BASE'!I43=0,"",'[1]BASE'!I43)</f>
        <v>18</v>
      </c>
      <c r="J42" s="491">
        <f>IF('[2]BASE'!HS43=0,"",'[2]BASE'!HS43)</f>
      </c>
      <c r="K42" s="491">
        <f>IF('[2]BASE'!HT43=0,"",'[2]BASE'!HT43)</f>
      </c>
      <c r="L42" s="491">
        <f>IF('[2]BASE'!HU43=0,"",'[2]BASE'!HU43)</f>
      </c>
      <c r="M42" s="491">
        <f>IF('[2]BASE'!HV43=0,"",'[2]BASE'!HV43)</f>
      </c>
      <c r="N42" s="491">
        <f>IF('[2]BASE'!HW43=0,"",'[2]BASE'!HW43)</f>
      </c>
      <c r="O42" s="491">
        <f>IF('[2]BASE'!HX43=0,"",'[2]BASE'!HX43)</f>
      </c>
      <c r="P42" s="491">
        <f>IF('[2]BASE'!HY43=0,"",'[2]BASE'!HY43)</f>
      </c>
      <c r="Q42" s="491">
        <f>IF('[2]BASE'!HZ43=0,"",'[2]BASE'!HZ43)</f>
        <v>1</v>
      </c>
      <c r="R42" s="491">
        <f>IF('[2]BASE'!IA43=0,"",'[2]BASE'!IA43)</f>
      </c>
      <c r="S42" s="491">
        <f>IF('[2]BASE'!IB43=0,"",'[2]BASE'!IB43)</f>
      </c>
      <c r="T42" s="491">
        <f>IF('[2]BASE'!IC43=0,"",'[2]BASE'!IC43)</f>
        <v>1</v>
      </c>
      <c r="U42" s="491">
        <f>IF('[2]BASE'!ID43=0,"",'[2]BASE'!ID43)</f>
      </c>
      <c r="V42" s="493"/>
      <c r="W42" s="489"/>
    </row>
    <row r="43" spans="2:23" s="483" customFormat="1" ht="15.75" customHeight="1">
      <c r="B43" s="484"/>
      <c r="C43" s="490">
        <f>IF('[2]BASE'!C44=0,"",'[1]BASE'!C44)</f>
        <v>87</v>
      </c>
      <c r="D43" s="490" t="str">
        <f>IF('[2]BASE'!D44=0,"",'[1]BASE'!D44)</f>
        <v>DOCK SUD - SOBRAL 2</v>
      </c>
      <c r="E43" s="490">
        <f>IF('[2]BASE'!E44=0,"",'[1]BASE'!E44)</f>
        <v>202</v>
      </c>
      <c r="F43" s="490" t="str">
        <f>IF('[2]BASE'!F44=0,"",'[1]BASE'!F44)</f>
        <v>L/C</v>
      </c>
      <c r="G43" s="490">
        <f>IF('[2]BASE'!G44=0,"",'[1]BASE'!G44)</f>
        <v>79.44</v>
      </c>
      <c r="H43" s="490">
        <f>IF('[2]BASE'!H44=0,"",'[1]BASE'!H44)</f>
        <v>132</v>
      </c>
      <c r="I43" s="490">
        <f>IF('[2]BASE'!I44=0,"",'[1]BASE'!I44)</f>
        <v>18</v>
      </c>
      <c r="J43" s="491">
        <f>IF('[2]BASE'!HS44=0,"",'[2]BASE'!HS44)</f>
      </c>
      <c r="K43" s="491">
        <f>IF('[2]BASE'!HT44=0,"",'[2]BASE'!HT44)</f>
      </c>
      <c r="L43" s="491">
        <f>IF('[2]BASE'!HU44=0,"",'[2]BASE'!HU44)</f>
      </c>
      <c r="M43" s="491">
        <f>IF('[2]BASE'!HV44=0,"",'[2]BASE'!HV44)</f>
      </c>
      <c r="N43" s="491">
        <f>IF('[2]BASE'!HW44=0,"",'[2]BASE'!HW44)</f>
      </c>
      <c r="O43" s="491">
        <f>IF('[2]BASE'!HX44=0,"",'[2]BASE'!HX44)</f>
      </c>
      <c r="P43" s="491">
        <f>IF('[2]BASE'!HY44=0,"",'[2]BASE'!HY44)</f>
      </c>
      <c r="Q43" s="491">
        <f>IF('[2]BASE'!HZ44=0,"",'[2]BASE'!HZ44)</f>
        <v>1</v>
      </c>
      <c r="R43" s="491">
        <f>IF('[2]BASE'!IA44=0,"",'[2]BASE'!IA44)</f>
      </c>
      <c r="S43" s="491">
        <f>IF('[2]BASE'!IB44=0,"",'[2]BASE'!IB44)</f>
      </c>
      <c r="T43" s="491">
        <f>IF('[2]BASE'!IC44=0,"",'[2]BASE'!IC44)</f>
      </c>
      <c r="U43" s="491">
        <f>IF('[2]BASE'!ID44=0,"",'[2]BASE'!ID44)</f>
      </c>
      <c r="V43" s="493"/>
      <c r="W43" s="489"/>
    </row>
    <row r="44" spans="2:23" s="483" customFormat="1" ht="15.75" customHeight="1">
      <c r="B44" s="484"/>
      <c r="C44" s="490">
        <f>IF('[2]BASE'!C45=0,"",'[1]BASE'!C45)</f>
        <v>88</v>
      </c>
      <c r="D44" s="490" t="str">
        <f>IF('[2]BASE'!D45=0,"",'[1]BASE'!D45)</f>
        <v>DOCK SUD - QUILMES 1</v>
      </c>
      <c r="E44" s="490">
        <f>IF('[2]BASE'!E45=0,"",'[1]BASE'!E45)</f>
        <v>203</v>
      </c>
      <c r="F44" s="490" t="str">
        <f>IF('[2]BASE'!F45=0,"",'[1]BASE'!F45)</f>
        <v>L/C</v>
      </c>
      <c r="G44" s="490">
        <f>IF('[2]BASE'!G45=0,"",'[1]BASE'!G45)</f>
        <v>85.89</v>
      </c>
      <c r="H44" s="490">
        <f>IF('[2]BASE'!H45=0,"",'[1]BASE'!H45)</f>
        <v>132</v>
      </c>
      <c r="I44" s="490">
        <f>IF('[2]BASE'!I45=0,"",'[1]BASE'!I45)</f>
        <v>15.6</v>
      </c>
      <c r="J44" s="491">
        <f>IF('[2]BASE'!HS45=0,"",'[2]BASE'!HS45)</f>
      </c>
      <c r="K44" s="491">
        <f>IF('[2]BASE'!HT45=0,"",'[2]BASE'!HT45)</f>
      </c>
      <c r="L44" s="491">
        <f>IF('[2]BASE'!HU45=0,"",'[2]BASE'!HU45)</f>
      </c>
      <c r="M44" s="491">
        <f>IF('[2]BASE'!HV45=0,"",'[2]BASE'!HV45)</f>
      </c>
      <c r="N44" s="491">
        <f>IF('[2]BASE'!HW45=0,"",'[2]BASE'!HW45)</f>
      </c>
      <c r="O44" s="491">
        <f>IF('[2]BASE'!HX45=0,"",'[2]BASE'!HX45)</f>
        <v>1</v>
      </c>
      <c r="P44" s="491">
        <f>IF('[2]BASE'!HY45=0,"",'[2]BASE'!HY45)</f>
        <v>1</v>
      </c>
      <c r="Q44" s="491">
        <f>IF('[2]BASE'!HZ45=0,"",'[2]BASE'!HZ45)</f>
      </c>
      <c r="R44" s="491">
        <f>IF('[2]BASE'!IA45=0,"",'[2]BASE'!IA45)</f>
      </c>
      <c r="S44" s="491">
        <f>IF('[2]BASE'!IB45=0,"",'[2]BASE'!IB45)</f>
      </c>
      <c r="T44" s="491">
        <f>IF('[2]BASE'!IC45=0,"",'[2]BASE'!IC45)</f>
      </c>
      <c r="U44" s="491">
        <f>IF('[2]BASE'!ID45=0,"",'[2]BASE'!ID45)</f>
      </c>
      <c r="V44" s="493"/>
      <c r="W44" s="489"/>
    </row>
    <row r="45" spans="2:23" s="483" customFormat="1" ht="15.75" customHeight="1">
      <c r="B45" s="484"/>
      <c r="C45" s="490">
        <f>IF('[2]BASE'!C46=0,"",'[1]BASE'!C46)</f>
        <v>89</v>
      </c>
      <c r="D45" s="490" t="str">
        <f>IF('[2]BASE'!D46=0,"",'[1]BASE'!D46)</f>
        <v>DOCK SUD - QUILMES 2</v>
      </c>
      <c r="E45" s="490">
        <f>IF('[2]BASE'!E46=0,"",'[1]BASE'!E46)</f>
        <v>204</v>
      </c>
      <c r="F45" s="490" t="str">
        <f>IF('[2]BASE'!F46=0,"",'[1]BASE'!F46)</f>
        <v>L/C</v>
      </c>
      <c r="G45" s="490">
        <f>IF('[2]BASE'!G46=0,"",'[1]BASE'!G46)</f>
        <v>85.89</v>
      </c>
      <c r="H45" s="490">
        <f>IF('[2]BASE'!H46=0,"",'[1]BASE'!H46)</f>
        <v>132</v>
      </c>
      <c r="I45" s="490">
        <f>IF('[2]BASE'!I46=0,"",'[1]BASE'!I46)</f>
        <v>15.6</v>
      </c>
      <c r="J45" s="491">
        <f>IF('[2]BASE'!HS46=0,"",'[2]BASE'!HS46)</f>
        <v>1</v>
      </c>
      <c r="K45" s="491">
        <f>IF('[2]BASE'!HT46=0,"",'[2]BASE'!HT46)</f>
      </c>
      <c r="L45" s="491">
        <f>IF('[2]BASE'!HU46=0,"",'[2]BASE'!HU46)</f>
        <v>3</v>
      </c>
      <c r="M45" s="491">
        <f>IF('[2]BASE'!HV46=0,"",'[2]BASE'!HV46)</f>
      </c>
      <c r="N45" s="491">
        <f>IF('[2]BASE'!HW46=0,"",'[2]BASE'!HW46)</f>
      </c>
      <c r="O45" s="491">
        <f>IF('[2]BASE'!HX46=0,"",'[2]BASE'!HX46)</f>
      </c>
      <c r="P45" s="491">
        <f>IF('[2]BASE'!HY46=0,"",'[2]BASE'!HY46)</f>
      </c>
      <c r="Q45" s="491">
        <f>IF('[2]BASE'!HZ46=0,"",'[2]BASE'!HZ46)</f>
      </c>
      <c r="R45" s="491">
        <f>IF('[2]BASE'!IA46=0,"",'[2]BASE'!IA46)</f>
      </c>
      <c r="S45" s="491">
        <f>IF('[2]BASE'!IB46=0,"",'[2]BASE'!IB46)</f>
      </c>
      <c r="T45" s="491">
        <f>IF('[2]BASE'!IC46=0,"",'[2]BASE'!IC46)</f>
      </c>
      <c r="U45" s="491">
        <f>IF('[2]BASE'!ID46=0,"",'[2]BASE'!ID46)</f>
        <v>1</v>
      </c>
      <c r="V45" s="493"/>
      <c r="W45" s="489"/>
    </row>
    <row r="46" spans="2:23" s="483" customFormat="1" ht="15.75" customHeight="1">
      <c r="B46" s="484"/>
      <c r="C46" s="490">
        <f>IF('[2]BASE'!C47=0,"",'[1]BASE'!C47)</f>
        <v>23</v>
      </c>
      <c r="D46" s="490" t="str">
        <f>IF('[2]BASE'!D47=0,"",'[1]BASE'!D47)</f>
        <v>DOCK SUD - ESCALADA </v>
      </c>
      <c r="E46" s="490">
        <f>IF('[2]BASE'!E47=0,"",'[1]BASE'!E47)</f>
        <v>225</v>
      </c>
      <c r="F46" s="490" t="str">
        <f>IF('[2]BASE'!F47=0,"",'[1]BASE'!F47)</f>
        <v>C</v>
      </c>
      <c r="G46" s="490">
        <f>IF('[2]BASE'!G47=0,"",'[1]BASE'!G47)</f>
      </c>
      <c r="H46" s="490">
        <f>IF('[2]BASE'!H47=0,"",'[1]BASE'!H47)</f>
        <v>132</v>
      </c>
      <c r="I46" s="490">
        <f>IF('[2]BASE'!I47=0,"",'[1]BASE'!I47)</f>
        <v>10</v>
      </c>
      <c r="J46" s="491">
        <f>IF('[2]BASE'!HS47=0,"",'[2]BASE'!HS47)</f>
      </c>
      <c r="K46" s="491">
        <f>IF('[2]BASE'!HT47=0,"",'[2]BASE'!HT47)</f>
      </c>
      <c r="L46" s="491">
        <f>IF('[2]BASE'!HU47=0,"",'[2]BASE'!HU47)</f>
      </c>
      <c r="M46" s="491">
        <f>IF('[2]BASE'!HV47=0,"",'[2]BASE'!HV47)</f>
      </c>
      <c r="N46" s="491">
        <f>IF('[2]BASE'!HW47=0,"",'[2]BASE'!HW47)</f>
      </c>
      <c r="O46" s="491">
        <f>IF('[2]BASE'!HX47=0,"",'[2]BASE'!HX47)</f>
      </c>
      <c r="P46" s="491">
        <f>IF('[2]BASE'!HY47=0,"",'[2]BASE'!HY47)</f>
      </c>
      <c r="Q46" s="491">
        <f>IF('[2]BASE'!HZ47=0,"",'[2]BASE'!HZ47)</f>
      </c>
      <c r="R46" s="491">
        <f>IF('[2]BASE'!IA47=0,"",'[2]BASE'!IA47)</f>
      </c>
      <c r="S46" s="491">
        <f>IF('[2]BASE'!IB47=0,"",'[2]BASE'!IB47)</f>
      </c>
      <c r="T46" s="491">
        <f>IF('[2]BASE'!IC47=0,"",'[2]BASE'!IC47)</f>
      </c>
      <c r="U46" s="491">
        <f>IF('[2]BASE'!ID47=0,"",'[2]BASE'!ID47)</f>
      </c>
      <c r="V46" s="493"/>
      <c r="W46" s="489"/>
    </row>
    <row r="47" spans="2:23" s="483" customFormat="1" ht="15.75" customHeight="1">
      <c r="B47" s="484"/>
      <c r="C47" s="490">
        <f>IF('[2]BASE'!C48=0,"",'[1]BASE'!C48)</f>
        <v>24</v>
      </c>
      <c r="D47" s="490" t="str">
        <f>IF('[2]BASE'!D48=0,"",'[1]BASE'!D48)</f>
        <v>DOCK SUD - CORINA </v>
      </c>
      <c r="E47" s="490">
        <f>IF('[2]BASE'!E48=0,"",'[1]BASE'!E48)</f>
        <v>226</v>
      </c>
      <c r="F47" s="490" t="str">
        <f>IF('[2]BASE'!F48=0,"",'[1]BASE'!F48)</f>
        <v>C</v>
      </c>
      <c r="G47" s="490">
        <f>IF('[2]BASE'!G48=0,"",'[1]BASE'!G48)</f>
      </c>
      <c r="H47" s="490">
        <f>IF('[2]BASE'!H48=0,"",'[1]BASE'!H48)</f>
        <v>132</v>
      </c>
      <c r="I47" s="490">
        <f>IF('[2]BASE'!I48=0,"",'[1]BASE'!I48)</f>
        <v>6.5</v>
      </c>
      <c r="J47" s="491">
        <f>IF('[2]BASE'!HS48=0,"",'[2]BASE'!HS48)</f>
        <v>1</v>
      </c>
      <c r="K47" s="491">
        <f>IF('[2]BASE'!HT48=0,"",'[2]BASE'!HT48)</f>
      </c>
      <c r="L47" s="491">
        <f>IF('[2]BASE'!HU48=0,"",'[2]BASE'!HU48)</f>
      </c>
      <c r="M47" s="491">
        <f>IF('[2]BASE'!HV48=0,"",'[2]BASE'!HV48)</f>
      </c>
      <c r="N47" s="491">
        <f>IF('[2]BASE'!HW48=0,"",'[2]BASE'!HW48)</f>
      </c>
      <c r="O47" s="491">
        <f>IF('[2]BASE'!HX48=0,"",'[2]BASE'!HX48)</f>
      </c>
      <c r="P47" s="491">
        <f>IF('[2]BASE'!HY48=0,"",'[2]BASE'!HY48)</f>
      </c>
      <c r="Q47" s="491">
        <f>IF('[2]BASE'!HZ48=0,"",'[2]BASE'!HZ48)</f>
      </c>
      <c r="R47" s="491">
        <f>IF('[2]BASE'!IA48=0,"",'[2]BASE'!IA48)</f>
      </c>
      <c r="S47" s="491">
        <f>IF('[2]BASE'!IB48=0,"",'[2]BASE'!IB48)</f>
      </c>
      <c r="T47" s="491">
        <f>IF('[2]BASE'!IC48=0,"",'[2]BASE'!IC48)</f>
      </c>
      <c r="U47" s="491">
        <f>IF('[2]BASE'!ID48=0,"",'[2]BASE'!ID48)</f>
      </c>
      <c r="V47" s="493"/>
      <c r="W47" s="489"/>
    </row>
    <row r="48" spans="2:23" s="483" customFormat="1" ht="15.75" customHeight="1">
      <c r="B48" s="484"/>
      <c r="C48" s="490">
        <f>IF('[2]BASE'!C49=0,"",'[1]BASE'!C49)</f>
        <v>25</v>
      </c>
      <c r="D48" s="490" t="str">
        <f>IF('[2]BASE'!D49=0,"",'[1]BASE'!D49)</f>
        <v>DOCK SUD - CITY BELL </v>
      </c>
      <c r="E48" s="490">
        <f>IF('[2]BASE'!E49=0,"",'[1]BASE'!E49)</f>
        <v>230</v>
      </c>
      <c r="F48" s="490" t="str">
        <f>IF('[2]BASE'!F49=0,"",'[1]BASE'!F49)</f>
        <v>C</v>
      </c>
      <c r="G48" s="490">
        <f>IF('[2]BASE'!G49=0,"",'[1]BASE'!G49)</f>
      </c>
      <c r="H48" s="490">
        <f>IF('[2]BASE'!H49=0,"",'[1]BASE'!H49)</f>
        <v>132</v>
      </c>
      <c r="I48" s="490">
        <f>IF('[2]BASE'!I49=0,"",'[1]BASE'!I49)</f>
        <v>42.2</v>
      </c>
      <c r="J48" s="491">
        <f>IF('[2]BASE'!HS49=0,"",'[2]BASE'!HS49)</f>
      </c>
      <c r="K48" s="491">
        <f>IF('[2]BASE'!HT49=0,"",'[2]BASE'!HT49)</f>
      </c>
      <c r="L48" s="491">
        <f>IF('[2]BASE'!HU49=0,"",'[2]BASE'!HU49)</f>
      </c>
      <c r="M48" s="491">
        <f>IF('[2]BASE'!HV49=0,"",'[2]BASE'!HV49)</f>
      </c>
      <c r="N48" s="491">
        <f>IF('[2]BASE'!HW49=0,"",'[2]BASE'!HW49)</f>
      </c>
      <c r="O48" s="491">
        <f>IF('[2]BASE'!HX49=0,"",'[2]BASE'!HX49)</f>
      </c>
      <c r="P48" s="491">
        <f>IF('[2]BASE'!HY49=0,"",'[2]BASE'!HY49)</f>
      </c>
      <c r="Q48" s="491">
        <f>IF('[2]BASE'!HZ49=0,"",'[2]BASE'!HZ49)</f>
      </c>
      <c r="R48" s="491">
        <f>IF('[2]BASE'!IA49=0,"",'[2]BASE'!IA49)</f>
      </c>
      <c r="S48" s="491">
        <f>IF('[2]BASE'!IB49=0,"",'[2]BASE'!IB49)</f>
      </c>
      <c r="T48" s="491">
        <f>IF('[2]BASE'!IC49=0,"",'[2]BASE'!IC49)</f>
        <v>1</v>
      </c>
      <c r="U48" s="491">
        <f>IF('[2]BASE'!ID49=0,"",'[2]BASE'!ID49)</f>
      </c>
      <c r="V48" s="493"/>
      <c r="W48" s="489"/>
    </row>
    <row r="49" spans="2:23" s="483" customFormat="1" ht="15.75" customHeight="1">
      <c r="B49" s="484"/>
      <c r="C49" s="490">
        <f>IF('[2]BASE'!C50=0,"",'[1]BASE'!C50)</f>
        <v>26</v>
      </c>
      <c r="D49" s="490" t="str">
        <f>IF('[2]BASE'!D50=0,"",'[1]BASE'!D50)</f>
        <v>DOCK SUD - DON BOSCO 1</v>
      </c>
      <c r="E49" s="490">
        <f>IF('[2]BASE'!E50=0,"",'[1]BASE'!E50)</f>
        <v>231</v>
      </c>
      <c r="F49" s="490" t="str">
        <f>IF('[2]BASE'!F50=0,"",'[1]BASE'!F50)</f>
        <v>LC</v>
      </c>
      <c r="G49" s="490">
        <f>IF('[2]BASE'!G50=0,"",'[1]BASE'!G50)</f>
        <v>63.72549019607844</v>
      </c>
      <c r="H49" s="490">
        <f>IF('[2]BASE'!H50=0,"",'[1]BASE'!H50)</f>
        <v>132</v>
      </c>
      <c r="I49" s="490">
        <f>IF('[2]BASE'!I50=0,"",'[1]BASE'!I50)</f>
        <v>10.2</v>
      </c>
      <c r="J49" s="491">
        <f>IF('[2]BASE'!HS50=0,"",'[2]BASE'!HS50)</f>
        <v>1</v>
      </c>
      <c r="K49" s="491">
        <f>IF('[2]BASE'!HT50=0,"",'[2]BASE'!HT50)</f>
      </c>
      <c r="L49" s="491">
        <f>IF('[2]BASE'!HU50=0,"",'[2]BASE'!HU50)</f>
        <v>1</v>
      </c>
      <c r="M49" s="491">
        <f>IF('[2]BASE'!HV50=0,"",'[2]BASE'!HV50)</f>
      </c>
      <c r="N49" s="491">
        <f>IF('[2]BASE'!HW50=0,"",'[2]BASE'!HW50)</f>
      </c>
      <c r="O49" s="491">
        <f>IF('[2]BASE'!HX50=0,"",'[2]BASE'!HX50)</f>
      </c>
      <c r="P49" s="491">
        <f>IF('[2]BASE'!HY50=0,"",'[2]BASE'!HY50)</f>
      </c>
      <c r="Q49" s="491">
        <f>IF('[2]BASE'!HZ50=0,"",'[2]BASE'!HZ50)</f>
      </c>
      <c r="R49" s="491">
        <f>IF('[2]BASE'!IA50=0,"",'[2]BASE'!IA50)</f>
        <v>1</v>
      </c>
      <c r="S49" s="491">
        <f>IF('[2]BASE'!IB50=0,"",'[2]BASE'!IB50)</f>
      </c>
      <c r="T49" s="491">
        <f>IF('[2]BASE'!IC50=0,"",'[2]BASE'!IC50)</f>
      </c>
      <c r="U49" s="491">
        <f>IF('[2]BASE'!ID50=0,"",'[2]BASE'!ID50)</f>
      </c>
      <c r="V49" s="493"/>
      <c r="W49" s="489"/>
    </row>
    <row r="50" spans="2:23" s="483" customFormat="1" ht="15.75" customHeight="1">
      <c r="B50" s="484"/>
      <c r="C50" s="490">
        <f>IF('[2]BASE'!C51=0,"",'[1]BASE'!C51)</f>
        <v>27</v>
      </c>
      <c r="D50" s="490" t="str">
        <f>IF('[2]BASE'!D51=0,"",'[1]BASE'!D51)</f>
        <v>DOCK SUD - DON BOSCO 2 </v>
      </c>
      <c r="E50" s="490">
        <f>IF('[2]BASE'!E51=0,"",'[1]BASE'!E51)</f>
        <v>232</v>
      </c>
      <c r="F50" s="490" t="str">
        <f>IF('[2]BASE'!F51=0,"",'[1]BASE'!F51)</f>
        <v>LC</v>
      </c>
      <c r="G50" s="490">
        <f>IF('[2]BASE'!G51=0,"",'[1]BASE'!G51)</f>
        <v>63.72549019607844</v>
      </c>
      <c r="H50" s="490">
        <f>IF('[2]BASE'!H51=0,"",'[1]BASE'!H51)</f>
        <v>132</v>
      </c>
      <c r="I50" s="490">
        <f>IF('[2]BASE'!I51=0,"",'[1]BASE'!I51)</f>
        <v>10.2</v>
      </c>
      <c r="J50" s="491">
        <f>IF('[2]BASE'!HS51=0,"",'[2]BASE'!HS51)</f>
        <v>1</v>
      </c>
      <c r="K50" s="491">
        <f>IF('[2]BASE'!HT51=0,"",'[2]BASE'!HT51)</f>
      </c>
      <c r="L50" s="491">
        <f>IF('[2]BASE'!HU51=0,"",'[2]BASE'!HU51)</f>
      </c>
      <c r="M50" s="491">
        <f>IF('[2]BASE'!HV51=0,"",'[2]BASE'!HV51)</f>
      </c>
      <c r="N50" s="491">
        <f>IF('[2]BASE'!HW51=0,"",'[2]BASE'!HW51)</f>
        <v>2</v>
      </c>
      <c r="O50" s="491">
        <f>IF('[2]BASE'!HX51=0,"",'[2]BASE'!HX51)</f>
      </c>
      <c r="P50" s="491">
        <f>IF('[2]BASE'!HY51=0,"",'[2]BASE'!HY51)</f>
      </c>
      <c r="Q50" s="491">
        <f>IF('[2]BASE'!HZ51=0,"",'[2]BASE'!HZ51)</f>
      </c>
      <c r="R50" s="491">
        <f>IF('[2]BASE'!IA51=0,"",'[2]BASE'!IA51)</f>
      </c>
      <c r="S50" s="491">
        <f>IF('[2]BASE'!IB51=0,"",'[2]BASE'!IB51)</f>
        <v>1</v>
      </c>
      <c r="T50" s="491">
        <f>IF('[2]BASE'!IC51=0,"",'[2]BASE'!IC51)</f>
      </c>
      <c r="U50" s="491">
        <f>IF('[2]BASE'!ID51=0,"",'[2]BASE'!ID51)</f>
      </c>
      <c r="V50" s="493"/>
      <c r="W50" s="489"/>
    </row>
    <row r="51" spans="2:23" s="483" customFormat="1" ht="15.75" customHeight="1">
      <c r="B51" s="484"/>
      <c r="C51" s="490">
        <f>IF('[2]BASE'!C52=0,"",'[1]BASE'!C52)</f>
        <v>28</v>
      </c>
      <c r="D51" s="490" t="str">
        <f>IF('[2]BASE'!D52=0,"",'[1]BASE'!D52)</f>
        <v>DOCK SUD - 9 DE JULIO </v>
      </c>
      <c r="E51" s="490">
        <f>IF('[2]BASE'!E52=0,"",'[1]BASE'!E52)</f>
        <v>233</v>
      </c>
      <c r="F51" s="490" t="str">
        <f>IF('[2]BASE'!F52=0,"",'[1]BASE'!F52)</f>
        <v>C</v>
      </c>
      <c r="G51" s="490">
        <f>IF('[2]BASE'!G52=0,"",'[1]BASE'!G52)</f>
      </c>
      <c r="H51" s="490">
        <f>IF('[2]BASE'!H52=0,"",'[1]BASE'!H52)</f>
        <v>132</v>
      </c>
      <c r="I51" s="490">
        <f>IF('[2]BASE'!I52=0,"",'[1]BASE'!I52)</f>
        <v>3.5</v>
      </c>
      <c r="J51" s="491">
        <f>IF('[2]BASE'!HS52=0,"",'[2]BASE'!HS52)</f>
      </c>
      <c r="K51" s="491">
        <f>IF('[2]BASE'!HT52=0,"",'[2]BASE'!HT52)</f>
      </c>
      <c r="L51" s="491">
        <f>IF('[2]BASE'!HU52=0,"",'[2]BASE'!HU52)</f>
      </c>
      <c r="M51" s="491">
        <f>IF('[2]BASE'!HV52=0,"",'[2]BASE'!HV52)</f>
      </c>
      <c r="N51" s="491">
        <f>IF('[2]BASE'!HW52=0,"",'[2]BASE'!HW52)</f>
      </c>
      <c r="O51" s="491">
        <f>IF('[2]BASE'!HX52=0,"",'[2]BASE'!HX52)</f>
      </c>
      <c r="P51" s="491">
        <f>IF('[2]BASE'!HY52=0,"",'[2]BASE'!HY52)</f>
        <v>1</v>
      </c>
      <c r="Q51" s="491">
        <f>IF('[2]BASE'!HZ52=0,"",'[2]BASE'!HZ52)</f>
      </c>
      <c r="R51" s="491">
        <f>IF('[2]BASE'!IA52=0,"",'[2]BASE'!IA52)</f>
      </c>
      <c r="S51" s="491">
        <f>IF('[2]BASE'!IB52=0,"",'[2]BASE'!IB52)</f>
      </c>
      <c r="T51" s="491">
        <f>IF('[2]BASE'!IC52=0,"",'[2]BASE'!IC52)</f>
        <v>1</v>
      </c>
      <c r="U51" s="491">
        <f>IF('[2]BASE'!ID52=0,"",'[2]BASE'!ID52)</f>
      </c>
      <c r="V51" s="493"/>
      <c r="W51" s="489"/>
    </row>
    <row r="52" spans="2:23" s="483" customFormat="1" ht="15.75" customHeight="1">
      <c r="B52" s="484"/>
      <c r="C52" s="490">
        <f>IF('[2]BASE'!C53=0,"",'[1]BASE'!C53)</f>
        <v>29</v>
      </c>
      <c r="D52" s="490" t="str">
        <f>IF('[2]BASE'!D53=0,"",'[1]BASE'!D53)</f>
        <v>COSTANERA - DOCK SUD 1</v>
      </c>
      <c r="E52" s="490">
        <f>IF('[2]BASE'!E53=0,"",'[1]BASE'!E53)</f>
        <v>321</v>
      </c>
      <c r="F52" s="490" t="str">
        <f>IF('[2]BASE'!F53=0,"",'[1]BASE'!F53)</f>
        <v>C</v>
      </c>
      <c r="G52" s="490">
        <f>IF('[2]BASE'!G53=0,"",'[1]BASE'!G53)</f>
      </c>
      <c r="H52" s="490">
        <f>IF('[2]BASE'!H53=0,"",'[1]BASE'!H53)</f>
        <v>132</v>
      </c>
      <c r="I52" s="490">
        <f>IF('[2]BASE'!I53=0,"",'[1]BASE'!I53)</f>
        <v>5.3</v>
      </c>
      <c r="J52" s="491">
        <f>IF('[2]BASE'!HS53=0,"",'[2]BASE'!HS53)</f>
      </c>
      <c r="K52" s="491">
        <f>IF('[2]BASE'!HT53=0,"",'[2]BASE'!HT53)</f>
      </c>
      <c r="L52" s="491">
        <f>IF('[2]BASE'!HU53=0,"",'[2]BASE'!HU53)</f>
      </c>
      <c r="M52" s="491">
        <f>IF('[2]BASE'!HV53=0,"",'[2]BASE'!HV53)</f>
      </c>
      <c r="N52" s="491">
        <f>IF('[2]BASE'!HW53=0,"",'[2]BASE'!HW53)</f>
      </c>
      <c r="O52" s="491">
        <f>IF('[2]BASE'!HX53=0,"",'[2]BASE'!HX53)</f>
      </c>
      <c r="P52" s="491">
        <f>IF('[2]BASE'!HY53=0,"",'[2]BASE'!HY53)</f>
      </c>
      <c r="Q52" s="491">
        <f>IF('[2]BASE'!HZ53=0,"",'[2]BASE'!HZ53)</f>
      </c>
      <c r="R52" s="491">
        <f>IF('[2]BASE'!IA53=0,"",'[2]BASE'!IA53)</f>
      </c>
      <c r="S52" s="491">
        <f>IF('[2]BASE'!IB53=0,"",'[2]BASE'!IB53)</f>
      </c>
      <c r="T52" s="491">
        <f>IF('[2]BASE'!IC53=0,"",'[2]BASE'!IC53)</f>
      </c>
      <c r="U52" s="491">
        <f>IF('[2]BASE'!ID53=0,"",'[2]BASE'!ID53)</f>
      </c>
      <c r="V52" s="493"/>
      <c r="W52" s="489"/>
    </row>
    <row r="53" spans="2:23" s="483" customFormat="1" ht="15.75" customHeight="1">
      <c r="B53" s="484"/>
      <c r="C53" s="490">
        <f>IF('[2]BASE'!C54=0,"",'[1]BASE'!C54)</f>
        <v>30</v>
      </c>
      <c r="D53" s="490" t="str">
        <f>IF('[2]BASE'!D54=0,"",'[1]BASE'!D54)</f>
        <v>COSTANERA - DOCK SUD 2 </v>
      </c>
      <c r="E53" s="490">
        <f>IF('[2]BASE'!E54=0,"",'[1]BASE'!E54)</f>
        <v>322</v>
      </c>
      <c r="F53" s="490" t="str">
        <f>IF('[2]BASE'!F54=0,"",'[1]BASE'!F54)</f>
        <v>C</v>
      </c>
      <c r="G53" s="490">
        <f>IF('[2]BASE'!G54=0,"",'[1]BASE'!G54)</f>
      </c>
      <c r="H53" s="490">
        <f>IF('[2]BASE'!H54=0,"",'[1]BASE'!H54)</f>
        <v>132</v>
      </c>
      <c r="I53" s="490">
        <f>IF('[2]BASE'!I54=0,"",'[1]BASE'!I54)</f>
        <v>5.3</v>
      </c>
      <c r="J53" s="491">
        <f>IF('[2]BASE'!HS54=0,"",'[2]BASE'!HS54)</f>
      </c>
      <c r="K53" s="491">
        <f>IF('[2]BASE'!HT54=0,"",'[2]BASE'!HT54)</f>
      </c>
      <c r="L53" s="491">
        <f>IF('[2]BASE'!HU54=0,"",'[2]BASE'!HU54)</f>
        <v>1</v>
      </c>
      <c r="M53" s="491">
        <f>IF('[2]BASE'!HV54=0,"",'[2]BASE'!HV54)</f>
      </c>
      <c r="N53" s="491">
        <f>IF('[2]BASE'!HW54=0,"",'[2]BASE'!HW54)</f>
      </c>
      <c r="O53" s="491">
        <f>IF('[2]BASE'!HX54=0,"",'[2]BASE'!HX54)</f>
      </c>
      <c r="P53" s="491">
        <f>IF('[2]BASE'!HY54=0,"",'[2]BASE'!HY54)</f>
      </c>
      <c r="Q53" s="491">
        <f>IF('[2]BASE'!HZ54=0,"",'[2]BASE'!HZ54)</f>
      </c>
      <c r="R53" s="491">
        <f>IF('[2]BASE'!IA54=0,"",'[2]BASE'!IA54)</f>
      </c>
      <c r="S53" s="491">
        <f>IF('[2]BASE'!IB54=0,"",'[2]BASE'!IB54)</f>
      </c>
      <c r="T53" s="491">
        <f>IF('[2]BASE'!IC54=0,"",'[2]BASE'!IC54)</f>
      </c>
      <c r="U53" s="491">
        <f>IF('[2]BASE'!ID54=0,"",'[2]BASE'!ID54)</f>
      </c>
      <c r="V53" s="493"/>
      <c r="W53" s="489"/>
    </row>
    <row r="54" spans="2:23" s="483" customFormat="1" ht="15.75" customHeight="1">
      <c r="B54" s="484"/>
      <c r="C54" s="490">
        <f>IF('[2]BASE'!C55=0,"",'[1]BASE'!C55)</f>
        <v>31</v>
      </c>
      <c r="D54" s="490" t="str">
        <f>IF('[2]BASE'!D55=0,"",'[1]BASE'!D55)</f>
        <v>COSTANERA - DOCK SUD 3</v>
      </c>
      <c r="E54" s="490">
        <f>IF('[2]BASE'!E55=0,"",'[1]BASE'!E55)</f>
        <v>323</v>
      </c>
      <c r="F54" s="490" t="str">
        <f>IF('[2]BASE'!F55=0,"",'[1]BASE'!F55)</f>
        <v>C</v>
      </c>
      <c r="G54" s="490">
        <f>IF('[2]BASE'!G55=0,"",'[1]BASE'!G55)</f>
      </c>
      <c r="H54" s="490">
        <f>IF('[2]BASE'!H55=0,"",'[1]BASE'!H55)</f>
        <v>132</v>
      </c>
      <c r="I54" s="490">
        <f>IF('[2]BASE'!I55=0,"",'[1]BASE'!I55)</f>
        <v>5.4</v>
      </c>
      <c r="J54" s="491">
        <f>IF('[2]BASE'!HS55=0,"",'[2]BASE'!HS55)</f>
      </c>
      <c r="K54" s="491">
        <f>IF('[2]BASE'!HT55=0,"",'[2]BASE'!HT55)</f>
      </c>
      <c r="L54" s="491">
        <f>IF('[2]BASE'!HU55=0,"",'[2]BASE'!HU55)</f>
      </c>
      <c r="M54" s="491">
        <f>IF('[2]BASE'!HV55=0,"",'[2]BASE'!HV55)</f>
      </c>
      <c r="N54" s="491">
        <f>IF('[2]BASE'!HW55=0,"",'[2]BASE'!HW55)</f>
        <v>1</v>
      </c>
      <c r="O54" s="491">
        <f>IF('[2]BASE'!HX55=0,"",'[2]BASE'!HX55)</f>
      </c>
      <c r="P54" s="491">
        <f>IF('[2]BASE'!HY55=0,"",'[2]BASE'!HY55)</f>
      </c>
      <c r="Q54" s="491">
        <f>IF('[2]BASE'!HZ55=0,"",'[2]BASE'!HZ55)</f>
      </c>
      <c r="R54" s="491">
        <f>IF('[2]BASE'!IA55=0,"",'[2]BASE'!IA55)</f>
      </c>
      <c r="S54" s="491">
        <f>IF('[2]BASE'!IB55=0,"",'[2]BASE'!IB55)</f>
      </c>
      <c r="T54" s="491">
        <f>IF('[2]BASE'!IC55=0,"",'[2]BASE'!IC55)</f>
      </c>
      <c r="U54" s="491">
        <f>IF('[2]BASE'!ID55=0,"",'[2]BASE'!ID55)</f>
      </c>
      <c r="V54" s="493"/>
      <c r="W54" s="489"/>
    </row>
    <row r="55" spans="2:23" s="483" customFormat="1" ht="15.75" customHeight="1">
      <c r="B55" s="484"/>
      <c r="C55" s="490">
        <f>IF('[2]BASE'!C56=0,"",'[1]BASE'!C56)</f>
        <v>32</v>
      </c>
      <c r="D55" s="490" t="str">
        <f>IF('[2]BASE'!D56=0,"",'[1]BASE'!D56)</f>
        <v>COSTANERA - DOCK SUD 4</v>
      </c>
      <c r="E55" s="490">
        <f>IF('[2]BASE'!E56=0,"",'[1]BASE'!E56)</f>
        <v>324</v>
      </c>
      <c r="F55" s="490" t="str">
        <f>IF('[2]BASE'!F56=0,"",'[1]BASE'!F56)</f>
        <v>C</v>
      </c>
      <c r="G55" s="490">
        <f>IF('[2]BASE'!G56=0,"",'[1]BASE'!G56)</f>
      </c>
      <c r="H55" s="490">
        <f>IF('[2]BASE'!H56=0,"",'[1]BASE'!H56)</f>
        <v>132</v>
      </c>
      <c r="I55" s="490">
        <f>IF('[2]BASE'!I56=0,"",'[1]BASE'!I56)</f>
        <v>5.4</v>
      </c>
      <c r="J55" s="491">
        <f>IF('[2]BASE'!HS56=0,"",'[2]BASE'!HS56)</f>
        <v>1</v>
      </c>
      <c r="K55" s="491">
        <f>IF('[2]BASE'!HT56=0,"",'[2]BASE'!HT56)</f>
      </c>
      <c r="L55" s="491">
        <f>IF('[2]BASE'!HU56=0,"",'[2]BASE'!HU56)</f>
        <v>1</v>
      </c>
      <c r="M55" s="491">
        <f>IF('[2]BASE'!HV56=0,"",'[2]BASE'!HV56)</f>
        <v>1</v>
      </c>
      <c r="N55" s="491">
        <f>IF('[2]BASE'!HW56=0,"",'[2]BASE'!HW56)</f>
      </c>
      <c r="O55" s="491">
        <f>IF('[2]BASE'!HX56=0,"",'[2]BASE'!HX56)</f>
      </c>
      <c r="P55" s="491">
        <f>IF('[2]BASE'!HY56=0,"",'[2]BASE'!HY56)</f>
      </c>
      <c r="Q55" s="491">
        <f>IF('[2]BASE'!HZ56=0,"",'[2]BASE'!HZ56)</f>
      </c>
      <c r="R55" s="491">
        <f>IF('[2]BASE'!IA56=0,"",'[2]BASE'!IA56)</f>
      </c>
      <c r="S55" s="491">
        <f>IF('[2]BASE'!IB56=0,"",'[2]BASE'!IB56)</f>
      </c>
      <c r="T55" s="491">
        <f>IF('[2]BASE'!IC56=0,"",'[2]BASE'!IC56)</f>
        <v>1</v>
      </c>
      <c r="U55" s="491">
        <f>IF('[2]BASE'!ID56=0,"",'[2]BASE'!ID56)</f>
      </c>
      <c r="V55" s="493"/>
      <c r="W55" s="489"/>
    </row>
    <row r="56" spans="2:23" s="483" customFormat="1" ht="15.75" customHeight="1">
      <c r="B56" s="484"/>
      <c r="C56" s="490">
        <f>IF('[2]BASE'!C57=0,"",'[1]BASE'!C57)</f>
        <v>33</v>
      </c>
      <c r="D56" s="490" t="str">
        <f>IF('[2]BASE'!D57=0,"",'[1]BASE'!D57)</f>
        <v>COSTANERA - CENTENARIO 1</v>
      </c>
      <c r="E56" s="490">
        <f>IF('[2]BASE'!E57=0,"",'[1]BASE'!E57)</f>
        <v>331</v>
      </c>
      <c r="F56" s="490" t="str">
        <f>IF('[2]BASE'!F57=0,"",'[1]BASE'!F57)</f>
        <v>C</v>
      </c>
      <c r="G56" s="490">
        <f>IF('[2]BASE'!G57=0,"",'[1]BASE'!G57)</f>
      </c>
      <c r="H56" s="490">
        <f>IF('[2]BASE'!H57=0,"",'[1]BASE'!H57)</f>
        <v>132</v>
      </c>
      <c r="I56" s="490">
        <f>IF('[2]BASE'!I57=0,"",'[1]BASE'!I57)</f>
        <v>11.3</v>
      </c>
      <c r="J56" s="491">
        <f>IF('[2]BASE'!HS57=0,"",'[2]BASE'!HS57)</f>
      </c>
      <c r="K56" s="491">
        <f>IF('[2]BASE'!HT57=0,"",'[2]BASE'!HT57)</f>
      </c>
      <c r="L56" s="491">
        <f>IF('[2]BASE'!HU57=0,"",'[2]BASE'!HU57)</f>
      </c>
      <c r="M56" s="491">
        <f>IF('[2]BASE'!HV57=0,"",'[2]BASE'!HV57)</f>
      </c>
      <c r="N56" s="491">
        <f>IF('[2]BASE'!HW57=0,"",'[2]BASE'!HW57)</f>
      </c>
      <c r="O56" s="491">
        <f>IF('[2]BASE'!HX57=0,"",'[2]BASE'!HX57)</f>
      </c>
      <c r="P56" s="491">
        <f>IF('[2]BASE'!HY57=0,"",'[2]BASE'!HY57)</f>
      </c>
      <c r="Q56" s="491">
        <f>IF('[2]BASE'!HZ57=0,"",'[2]BASE'!HZ57)</f>
      </c>
      <c r="R56" s="491">
        <f>IF('[2]BASE'!IA57=0,"",'[2]BASE'!IA57)</f>
      </c>
      <c r="S56" s="491">
        <f>IF('[2]BASE'!IB57=0,"",'[2]BASE'!IB57)</f>
      </c>
      <c r="T56" s="491">
        <f>IF('[2]BASE'!IC57=0,"",'[2]BASE'!IC57)</f>
      </c>
      <c r="U56" s="491">
        <f>IF('[2]BASE'!ID57=0,"",'[2]BASE'!ID57)</f>
      </c>
      <c r="V56" s="493"/>
      <c r="W56" s="489"/>
    </row>
    <row r="57" spans="2:23" s="483" customFormat="1" ht="15.75" customHeight="1">
      <c r="B57" s="484"/>
      <c r="C57" s="490">
        <f>IF('[2]BASE'!C58=0,"",'[1]BASE'!C58)</f>
        <v>90</v>
      </c>
      <c r="D57" s="490" t="str">
        <f>IF('[2]BASE'!D58=0,"",'[1]BASE'!D58)</f>
        <v>COSTANERA - PERITO MORENO 1</v>
      </c>
      <c r="E57" s="490">
        <f>IF('[2]BASE'!E58=0,"",'[1]BASE'!E58)</f>
        <v>333</v>
      </c>
      <c r="F57" s="490" t="str">
        <f>IF('[2]BASE'!F58=0,"",'[1]BASE'!F58)</f>
        <v>C</v>
      </c>
      <c r="G57" s="490">
        <f>IF('[2]BASE'!G58=0,"",'[1]BASE'!G58)</f>
      </c>
      <c r="H57" s="490">
        <f>IF('[2]BASE'!H58=0,"",'[1]BASE'!H58)</f>
        <v>132</v>
      </c>
      <c r="I57" s="490">
        <f>IF('[2]BASE'!I58=0,"",'[1]BASE'!I58)</f>
        <v>14.9</v>
      </c>
      <c r="J57" s="491">
        <f>IF('[2]BASE'!HS58=0,"",'[2]BASE'!HS58)</f>
      </c>
      <c r="K57" s="491">
        <f>IF('[2]BASE'!HT58=0,"",'[2]BASE'!HT58)</f>
        <v>1</v>
      </c>
      <c r="L57" s="491">
        <f>IF('[2]BASE'!HU58=0,"",'[2]BASE'!HU58)</f>
      </c>
      <c r="M57" s="491">
        <f>IF('[2]BASE'!HV58=0,"",'[2]BASE'!HV58)</f>
      </c>
      <c r="N57" s="491">
        <f>IF('[2]BASE'!HW58=0,"",'[2]BASE'!HW58)</f>
      </c>
      <c r="O57" s="491">
        <f>IF('[2]BASE'!HX58=0,"",'[2]BASE'!HX58)</f>
      </c>
      <c r="P57" s="491">
        <f>IF('[2]BASE'!HY58=0,"",'[2]BASE'!HY58)</f>
      </c>
      <c r="Q57" s="491">
        <f>IF('[2]BASE'!HZ58=0,"",'[2]BASE'!HZ58)</f>
      </c>
      <c r="R57" s="491">
        <f>IF('[2]BASE'!IA58=0,"",'[2]BASE'!IA58)</f>
      </c>
      <c r="S57" s="491">
        <f>IF('[2]BASE'!IB58=0,"",'[2]BASE'!IB58)</f>
      </c>
      <c r="T57" s="491">
        <f>IF('[2]BASE'!IC58=0,"",'[2]BASE'!IC58)</f>
      </c>
      <c r="U57" s="491">
        <f>IF('[2]BASE'!ID58=0,"",'[2]BASE'!ID58)</f>
        <v>1</v>
      </c>
      <c r="V57" s="493"/>
      <c r="W57" s="489"/>
    </row>
    <row r="58" spans="2:23" s="483" customFormat="1" ht="15.75" customHeight="1">
      <c r="B58" s="484"/>
      <c r="C58" s="490">
        <f>IF('[2]BASE'!C59=0,"",'[1]BASE'!C59)</f>
        <v>34</v>
      </c>
      <c r="D58" s="490" t="str">
        <f>IF('[2]BASE'!D59=0,"",'[1]BASE'!D59)</f>
        <v>COSTANERA - PERITO MORENO 2</v>
      </c>
      <c r="E58" s="490">
        <f>IF('[2]BASE'!E59=0,"",'[1]BASE'!E59)</f>
        <v>334</v>
      </c>
      <c r="F58" s="490" t="str">
        <f>IF('[2]BASE'!F59=0,"",'[1]BASE'!F59)</f>
        <v>C</v>
      </c>
      <c r="G58" s="490">
        <f>IF('[2]BASE'!G59=0,"",'[1]BASE'!G59)</f>
      </c>
      <c r="H58" s="490">
        <f>IF('[2]BASE'!H59=0,"",'[1]BASE'!H59)</f>
        <v>132</v>
      </c>
      <c r="I58" s="490">
        <f>IF('[2]BASE'!I59=0,"",'[1]BASE'!I59)</f>
        <v>14.9</v>
      </c>
      <c r="J58" s="491">
        <f>IF('[2]BASE'!HS59=0,"",'[2]BASE'!HS59)</f>
      </c>
      <c r="K58" s="491">
        <f>IF('[2]BASE'!HT59=0,"",'[2]BASE'!HT59)</f>
        <v>1</v>
      </c>
      <c r="L58" s="491">
        <f>IF('[2]BASE'!HU59=0,"",'[2]BASE'!HU59)</f>
      </c>
      <c r="M58" s="491">
        <f>IF('[2]BASE'!HV59=0,"",'[2]BASE'!HV59)</f>
      </c>
      <c r="N58" s="491">
        <f>IF('[2]BASE'!HW59=0,"",'[2]BASE'!HW59)</f>
      </c>
      <c r="O58" s="491">
        <f>IF('[2]BASE'!HX59=0,"",'[2]BASE'!HX59)</f>
      </c>
      <c r="P58" s="491">
        <f>IF('[2]BASE'!HY59=0,"",'[2]BASE'!HY59)</f>
      </c>
      <c r="Q58" s="491">
        <f>IF('[2]BASE'!HZ59=0,"",'[2]BASE'!HZ59)</f>
      </c>
      <c r="R58" s="491">
        <f>IF('[2]BASE'!IA59=0,"",'[2]BASE'!IA59)</f>
      </c>
      <c r="S58" s="491">
        <f>IF('[2]BASE'!IB59=0,"",'[2]BASE'!IB59)</f>
      </c>
      <c r="T58" s="491">
        <f>IF('[2]BASE'!IC59=0,"",'[2]BASE'!IC59)</f>
        <v>1</v>
      </c>
      <c r="U58" s="491">
        <f>IF('[2]BASE'!ID59=0,"",'[2]BASE'!ID59)</f>
      </c>
      <c r="V58" s="493"/>
      <c r="W58" s="489"/>
    </row>
    <row r="59" spans="2:23" s="483" customFormat="1" ht="15.75" customHeight="1">
      <c r="B59" s="484"/>
      <c r="C59" s="490">
        <f>IF('[2]BASE'!C60=0,"",'[1]BASE'!C60)</f>
        <v>35</v>
      </c>
      <c r="D59" s="490" t="str">
        <f>IF('[2]BASE'!D60=0,"",'[1]BASE'!D60)</f>
        <v>COSTANERA - P. PATRICIOS </v>
      </c>
      <c r="E59" s="490">
        <f>IF('[2]BASE'!E60=0,"",'[1]BASE'!E60)</f>
        <v>335</v>
      </c>
      <c r="F59" s="490" t="str">
        <f>IF('[2]BASE'!F60=0,"",'[1]BASE'!F60)</f>
        <v>C</v>
      </c>
      <c r="G59" s="490">
        <f>IF('[2]BASE'!G60=0,"",'[1]BASE'!G60)</f>
      </c>
      <c r="H59" s="490">
        <f>IF('[2]BASE'!H60=0,"",'[1]BASE'!H60)</f>
        <v>132</v>
      </c>
      <c r="I59" s="490">
        <f>IF('[2]BASE'!I60=0,"",'[1]BASE'!I60)</f>
        <v>8.5</v>
      </c>
      <c r="J59" s="491">
        <f>IF('[2]BASE'!HS60=0,"",'[2]BASE'!HS60)</f>
      </c>
      <c r="K59" s="491">
        <f>IF('[2]BASE'!HT60=0,"",'[2]BASE'!HT60)</f>
      </c>
      <c r="L59" s="491">
        <f>IF('[2]BASE'!HU60=0,"",'[2]BASE'!HU60)</f>
      </c>
      <c r="M59" s="491">
        <f>IF('[2]BASE'!HV60=0,"",'[2]BASE'!HV60)</f>
      </c>
      <c r="N59" s="491">
        <f>IF('[2]BASE'!HW60=0,"",'[2]BASE'!HW60)</f>
      </c>
      <c r="O59" s="491">
        <f>IF('[2]BASE'!HX60=0,"",'[2]BASE'!HX60)</f>
      </c>
      <c r="P59" s="491">
        <f>IF('[2]BASE'!HY60=0,"",'[2]BASE'!HY60)</f>
      </c>
      <c r="Q59" s="491">
        <f>IF('[2]BASE'!HZ60=0,"",'[2]BASE'!HZ60)</f>
      </c>
      <c r="R59" s="491">
        <f>IF('[2]BASE'!IA60=0,"",'[2]BASE'!IA60)</f>
      </c>
      <c r="S59" s="491">
        <f>IF('[2]BASE'!IB60=0,"",'[2]BASE'!IB60)</f>
      </c>
      <c r="T59" s="491">
        <f>IF('[2]BASE'!IC60=0,"",'[2]BASE'!IC60)</f>
      </c>
      <c r="U59" s="491">
        <f>IF('[2]BASE'!ID60=0,"",'[2]BASE'!ID60)</f>
      </c>
      <c r="V59" s="493"/>
      <c r="W59" s="489"/>
    </row>
    <row r="60" spans="2:23" s="483" customFormat="1" ht="15.75" customHeight="1">
      <c r="B60" s="484"/>
      <c r="C60" s="490">
        <f>IF('[2]BASE'!C61=0,"",'[1]BASE'!C61)</f>
        <v>36</v>
      </c>
      <c r="D60" s="490" t="str">
        <f>IF('[2]BASE'!D61=0,"",'[1]BASE'!D61)</f>
        <v>COSTANERA - GURMENDI 1</v>
      </c>
      <c r="E60" s="490">
        <f>IF('[2]BASE'!E61=0,"",'[1]BASE'!E61)</f>
        <v>338</v>
      </c>
      <c r="F60" s="490" t="str">
        <f>IF('[2]BASE'!F61=0,"",'[1]BASE'!F61)</f>
        <v>C</v>
      </c>
      <c r="G60" s="490">
        <f>IF('[2]BASE'!G61=0,"",'[1]BASE'!G61)</f>
      </c>
      <c r="H60" s="490">
        <f>IF('[2]BASE'!H61=0,"",'[1]BASE'!H61)</f>
        <v>132</v>
      </c>
      <c r="I60" s="490">
        <f>IF('[2]BASE'!I61=0,"",'[1]BASE'!I61)</f>
        <v>10</v>
      </c>
      <c r="J60" s="491">
        <f>IF('[2]BASE'!HS61=0,"",'[2]BASE'!HS61)</f>
      </c>
      <c r="K60" s="491">
        <f>IF('[2]BASE'!HT61=0,"",'[2]BASE'!HT61)</f>
      </c>
      <c r="L60" s="491">
        <f>IF('[2]BASE'!HU61=0,"",'[2]BASE'!HU61)</f>
      </c>
      <c r="M60" s="491">
        <f>IF('[2]BASE'!HV61=0,"",'[2]BASE'!HV61)</f>
      </c>
      <c r="N60" s="491">
        <f>IF('[2]BASE'!HW61=0,"",'[2]BASE'!HW61)</f>
        <v>1</v>
      </c>
      <c r="O60" s="491">
        <f>IF('[2]BASE'!HX61=0,"",'[2]BASE'!HX61)</f>
      </c>
      <c r="P60" s="491">
        <f>IF('[2]BASE'!HY61=0,"",'[2]BASE'!HY61)</f>
      </c>
      <c r="Q60" s="491">
        <f>IF('[2]BASE'!HZ61=0,"",'[2]BASE'!HZ61)</f>
      </c>
      <c r="R60" s="491">
        <f>IF('[2]BASE'!IA61=0,"",'[2]BASE'!IA61)</f>
      </c>
      <c r="S60" s="491">
        <f>IF('[2]BASE'!IB61=0,"",'[2]BASE'!IB61)</f>
      </c>
      <c r="T60" s="491">
        <f>IF('[2]BASE'!IC61=0,"",'[2]BASE'!IC61)</f>
      </c>
      <c r="U60" s="491">
        <f>IF('[2]BASE'!ID61=0,"",'[2]BASE'!ID61)</f>
        <v>1</v>
      </c>
      <c r="V60" s="493"/>
      <c r="W60" s="489"/>
    </row>
    <row r="61" spans="2:23" s="483" customFormat="1" ht="15.75" customHeight="1">
      <c r="B61" s="484"/>
      <c r="C61" s="490">
        <f>IF('[2]BASE'!C62=0,"",'[1]BASE'!C62)</f>
        <v>37</v>
      </c>
      <c r="D61" s="490" t="str">
        <f>IF('[2]BASE'!D62=0,"",'[1]BASE'!D62)</f>
        <v>COSTANERA - HERNANDARIAS 2 </v>
      </c>
      <c r="E61" s="490">
        <f>IF('[2]BASE'!E62=0,"",'[1]BASE'!E62)</f>
        <v>339</v>
      </c>
      <c r="F61" s="490" t="str">
        <f>IF('[2]BASE'!F62=0,"",'[1]BASE'!F62)</f>
        <v>C</v>
      </c>
      <c r="G61" s="490">
        <f>IF('[2]BASE'!G62=0,"",'[1]BASE'!G62)</f>
      </c>
      <c r="H61" s="490">
        <f>IF('[2]BASE'!H62=0,"",'[1]BASE'!H62)</f>
        <v>132</v>
      </c>
      <c r="I61" s="490">
        <f>IF('[2]BASE'!I62=0,"",'[1]BASE'!I62)</f>
        <v>11</v>
      </c>
      <c r="J61" s="491">
        <f>IF('[2]BASE'!HS62=0,"",'[2]BASE'!HS62)</f>
      </c>
      <c r="K61" s="491">
        <f>IF('[2]BASE'!HT62=0,"",'[2]BASE'!HT62)</f>
      </c>
      <c r="L61" s="491">
        <f>IF('[2]BASE'!HU62=0,"",'[2]BASE'!HU62)</f>
      </c>
      <c r="M61" s="491">
        <f>IF('[2]BASE'!HV62=0,"",'[2]BASE'!HV62)</f>
      </c>
      <c r="N61" s="491">
        <f>IF('[2]BASE'!HW62=0,"",'[2]BASE'!HW62)</f>
      </c>
      <c r="O61" s="491">
        <f>IF('[2]BASE'!HX62=0,"",'[2]BASE'!HX62)</f>
      </c>
      <c r="P61" s="491">
        <f>IF('[2]BASE'!HY62=0,"",'[2]BASE'!HY62)</f>
      </c>
      <c r="Q61" s="491">
        <f>IF('[2]BASE'!HZ62=0,"",'[2]BASE'!HZ62)</f>
      </c>
      <c r="R61" s="491">
        <f>IF('[2]BASE'!IA62=0,"",'[2]BASE'!IA62)</f>
      </c>
      <c r="S61" s="491">
        <f>IF('[2]BASE'!IB62=0,"",'[2]BASE'!IB62)</f>
      </c>
      <c r="T61" s="491">
        <f>IF('[2]BASE'!IC62=0,"",'[2]BASE'!IC62)</f>
      </c>
      <c r="U61" s="491">
        <f>IF('[2]BASE'!ID62=0,"",'[2]BASE'!ID62)</f>
        <v>1</v>
      </c>
      <c r="V61" s="493"/>
      <c r="W61" s="489"/>
    </row>
    <row r="62" spans="2:23" s="483" customFormat="1" ht="15.75" customHeight="1">
      <c r="B62" s="484"/>
      <c r="C62" s="490">
        <f>IF('[2]BASE'!C63=0,"",'[1]BASE'!C63)</f>
        <v>73</v>
      </c>
      <c r="D62" s="490" t="str">
        <f>IF('[2]BASE'!D63=0,"",'[1]BASE'!D63)</f>
        <v>AZOPARDO - COSTANERA 1</v>
      </c>
      <c r="E62" s="490">
        <f>IF('[2]BASE'!E63=0,"",'[1]BASE'!E63)</f>
        <v>341</v>
      </c>
      <c r="F62" s="490" t="str">
        <f>IF('[2]BASE'!F63=0,"",'[1]BASE'!F63)</f>
        <v>C</v>
      </c>
      <c r="G62" s="490">
        <f>IF('[2]BASE'!G63=0,"",'[1]BASE'!G63)</f>
      </c>
      <c r="H62" s="490">
        <f>IF('[2]BASE'!H63=0,"",'[1]BASE'!H63)</f>
        <v>132</v>
      </c>
      <c r="I62" s="490">
        <f>IF('[2]BASE'!I63=0,"",'[1]BASE'!I63)</f>
        <v>3.6</v>
      </c>
      <c r="J62" s="491">
        <f>IF('[2]BASE'!HS63=0,"",'[2]BASE'!HS63)</f>
      </c>
      <c r="K62" s="491">
        <f>IF('[2]BASE'!HT63=0,"",'[2]BASE'!HT63)</f>
      </c>
      <c r="L62" s="491">
        <f>IF('[2]BASE'!HU63=0,"",'[2]BASE'!HU63)</f>
      </c>
      <c r="M62" s="491">
        <f>IF('[2]BASE'!HV63=0,"",'[2]BASE'!HV63)</f>
      </c>
      <c r="N62" s="491">
        <f>IF('[2]BASE'!HW63=0,"",'[2]BASE'!HW63)</f>
      </c>
      <c r="O62" s="491">
        <f>IF('[2]BASE'!HX63=0,"",'[2]BASE'!HX63)</f>
      </c>
      <c r="P62" s="491">
        <f>IF('[2]BASE'!HY63=0,"",'[2]BASE'!HY63)</f>
      </c>
      <c r="Q62" s="491">
        <f>IF('[2]BASE'!HZ63=0,"",'[2]BASE'!HZ63)</f>
      </c>
      <c r="R62" s="491">
        <f>IF('[2]BASE'!IA63=0,"",'[2]BASE'!IA63)</f>
      </c>
      <c r="S62" s="491">
        <f>IF('[2]BASE'!IB63=0,"",'[2]BASE'!IB63)</f>
      </c>
      <c r="T62" s="491">
        <f>IF('[2]BASE'!IC63=0,"",'[2]BASE'!IC63)</f>
      </c>
      <c r="U62" s="491">
        <f>IF('[2]BASE'!ID63=0,"",'[2]BASE'!ID63)</f>
      </c>
      <c r="V62" s="493"/>
      <c r="W62" s="489"/>
    </row>
    <row r="63" spans="2:23" s="483" customFormat="1" ht="15.75" customHeight="1">
      <c r="B63" s="484"/>
      <c r="C63" s="490">
        <f>IF('[2]BASE'!C64=0,"",'[1]BASE'!C64)</f>
        <v>82</v>
      </c>
      <c r="D63" s="490" t="str">
        <f>IF('[2]BASE'!D64=0,"",'[1]BASE'!D64)</f>
        <v>AZOPARDO - COSTANERA 2</v>
      </c>
      <c r="E63" s="490">
        <f>IF('[2]BASE'!E64=0,"",'[1]BASE'!E64)</f>
        <v>342</v>
      </c>
      <c r="F63" s="490" t="str">
        <f>IF('[2]BASE'!F64=0,"",'[1]BASE'!F64)</f>
        <v>C</v>
      </c>
      <c r="G63" s="490">
        <f>IF('[2]BASE'!G64=0,"",'[1]BASE'!G64)</f>
      </c>
      <c r="H63" s="490">
        <f>IF('[2]BASE'!H64=0,"",'[1]BASE'!H64)</f>
        <v>132</v>
      </c>
      <c r="I63" s="490">
        <f>IF('[2]BASE'!I64=0,"",'[1]BASE'!I64)</f>
        <v>3.6</v>
      </c>
      <c r="J63" s="491">
        <f>IF('[2]BASE'!HS64=0,"",'[2]BASE'!HS64)</f>
      </c>
      <c r="K63" s="491">
        <f>IF('[2]BASE'!HT64=0,"",'[2]BASE'!HT64)</f>
      </c>
      <c r="L63" s="491">
        <f>IF('[2]BASE'!HU64=0,"",'[2]BASE'!HU64)</f>
      </c>
      <c r="M63" s="491">
        <f>IF('[2]BASE'!HV64=0,"",'[2]BASE'!HV64)</f>
      </c>
      <c r="N63" s="491">
        <f>IF('[2]BASE'!HW64=0,"",'[2]BASE'!HW64)</f>
      </c>
      <c r="O63" s="491">
        <f>IF('[2]BASE'!HX64=0,"",'[2]BASE'!HX64)</f>
      </c>
      <c r="P63" s="491">
        <f>IF('[2]BASE'!HY64=0,"",'[2]BASE'!HY64)</f>
      </c>
      <c r="Q63" s="491">
        <f>IF('[2]BASE'!HZ64=0,"",'[2]BASE'!HZ64)</f>
      </c>
      <c r="R63" s="491">
        <f>IF('[2]BASE'!IA64=0,"",'[2]BASE'!IA64)</f>
      </c>
      <c r="S63" s="491">
        <f>IF('[2]BASE'!IB64=0,"",'[2]BASE'!IB64)</f>
      </c>
      <c r="T63" s="491">
        <f>IF('[2]BASE'!IC64=0,"",'[2]BASE'!IC64)</f>
      </c>
      <c r="U63" s="491">
        <f>IF('[2]BASE'!ID64=0,"",'[2]BASE'!ID64)</f>
      </c>
      <c r="V63" s="493"/>
      <c r="W63" s="489"/>
    </row>
    <row r="64" spans="2:23" s="483" customFormat="1" ht="15.75" customHeight="1">
      <c r="B64" s="484"/>
      <c r="C64" s="490">
        <f>IF('[2]BASE'!C65=0,"",'[1]BASE'!C65)</f>
        <v>83</v>
      </c>
      <c r="D64" s="490" t="str">
        <f>IF('[2]BASE'!D65=0,"",'[1]BASE'!D65)</f>
        <v>AZOPARDO - COSTANERA 3</v>
      </c>
      <c r="E64" s="490">
        <f>IF('[2]BASE'!E65=0,"",'[1]BASE'!E65)</f>
        <v>343</v>
      </c>
      <c r="F64" s="490" t="str">
        <f>IF('[2]BASE'!F65=0,"",'[1]BASE'!F65)</f>
        <v>C</v>
      </c>
      <c r="G64" s="490">
        <f>IF('[2]BASE'!G65=0,"",'[1]BASE'!G65)</f>
      </c>
      <c r="H64" s="490">
        <f>IF('[2]BASE'!H65=0,"",'[1]BASE'!H65)</f>
        <v>132</v>
      </c>
      <c r="I64" s="490">
        <f>IF('[2]BASE'!I65=0,"",'[1]BASE'!I65)</f>
        <v>3.6</v>
      </c>
      <c r="J64" s="491">
        <f>IF('[2]BASE'!HS65=0,"",'[2]BASE'!HS65)</f>
        <v>1</v>
      </c>
      <c r="K64" s="491">
        <f>IF('[2]BASE'!HT65=0,"",'[2]BASE'!HT65)</f>
      </c>
      <c r="L64" s="491">
        <f>IF('[2]BASE'!HU65=0,"",'[2]BASE'!HU65)</f>
        <v>1</v>
      </c>
      <c r="M64" s="491">
        <f>IF('[2]BASE'!HV65=0,"",'[2]BASE'!HV65)</f>
      </c>
      <c r="N64" s="491">
        <f>IF('[2]BASE'!HW65=0,"",'[2]BASE'!HW65)</f>
        <v>1</v>
      </c>
      <c r="O64" s="491">
        <f>IF('[2]BASE'!HX65=0,"",'[2]BASE'!HX65)</f>
        <v>1</v>
      </c>
      <c r="P64" s="491">
        <f>IF('[2]BASE'!HY65=0,"",'[2]BASE'!HY65)</f>
      </c>
      <c r="Q64" s="491">
        <f>IF('[2]BASE'!HZ65=0,"",'[2]BASE'!HZ65)</f>
        <v>1</v>
      </c>
      <c r="R64" s="491">
        <f>IF('[2]BASE'!IA65=0,"",'[2]BASE'!IA65)</f>
      </c>
      <c r="S64" s="491">
        <f>IF('[2]BASE'!IB65=0,"",'[2]BASE'!IB65)</f>
      </c>
      <c r="T64" s="491">
        <f>IF('[2]BASE'!IC65=0,"",'[2]BASE'!IC65)</f>
        <v>1</v>
      </c>
      <c r="U64" s="491">
        <f>IF('[2]BASE'!ID65=0,"",'[2]BASE'!ID65)</f>
      </c>
      <c r="V64" s="493"/>
      <c r="W64" s="489"/>
    </row>
    <row r="65" spans="2:23" s="483" customFormat="1" ht="15.75" customHeight="1">
      <c r="B65" s="484"/>
      <c r="C65" s="490">
        <f>IF('[2]BASE'!C66=0,"",'[1]BASE'!C66)</f>
        <v>84</v>
      </c>
      <c r="D65" s="490" t="str">
        <f>IF('[2]BASE'!D66=0,"",'[1]BASE'!D66)</f>
        <v>AZOPARDO - COSTANERA</v>
      </c>
      <c r="E65" s="490">
        <f>IF('[2]BASE'!E66=0,"",'[1]BASE'!E66)</f>
        <v>351</v>
      </c>
      <c r="F65" s="490" t="str">
        <f>IF('[2]BASE'!F66=0,"",'[1]BASE'!F66)</f>
        <v>C</v>
      </c>
      <c r="G65" s="490">
        <f>IF('[2]BASE'!G66=0,"",'[1]BASE'!G66)</f>
      </c>
      <c r="H65" s="490">
        <f>IF('[2]BASE'!H66=0,"",'[1]BASE'!H66)</f>
        <v>132</v>
      </c>
      <c r="I65" s="490">
        <f>IF('[2]BASE'!I66=0,"",'[1]BASE'!I66)</f>
        <v>4.2</v>
      </c>
      <c r="J65" s="491">
        <f>IF('[2]BASE'!HS66=0,"",'[2]BASE'!HS66)</f>
      </c>
      <c r="K65" s="491">
        <f>IF('[2]BASE'!HT66=0,"",'[2]BASE'!HT66)</f>
      </c>
      <c r="L65" s="491">
        <f>IF('[2]BASE'!HU66=0,"",'[2]BASE'!HU66)</f>
      </c>
      <c r="M65" s="491">
        <f>IF('[2]BASE'!HV66=0,"",'[2]BASE'!HV66)</f>
      </c>
      <c r="N65" s="491">
        <f>IF('[2]BASE'!HW66=0,"",'[2]BASE'!HW66)</f>
      </c>
      <c r="O65" s="491">
        <f>IF('[2]BASE'!HX66=0,"",'[2]BASE'!HX66)</f>
      </c>
      <c r="P65" s="491">
        <f>IF('[2]BASE'!HY66=0,"",'[2]BASE'!HY66)</f>
      </c>
      <c r="Q65" s="491">
        <f>IF('[2]BASE'!HZ66=0,"",'[2]BASE'!HZ66)</f>
      </c>
      <c r="R65" s="491">
        <f>IF('[2]BASE'!IA66=0,"",'[2]BASE'!IA66)</f>
      </c>
      <c r="S65" s="491">
        <f>IF('[2]BASE'!IB66=0,"",'[2]BASE'!IB66)</f>
      </c>
      <c r="T65" s="491">
        <f>IF('[2]BASE'!IC66=0,"",'[2]BASE'!IC66)</f>
      </c>
      <c r="U65" s="491">
        <f>IF('[2]BASE'!ID66=0,"",'[2]BASE'!ID66)</f>
      </c>
      <c r="V65" s="493"/>
      <c r="W65" s="489"/>
    </row>
    <row r="66" spans="2:23" s="483" customFormat="1" ht="15.75" customHeight="1">
      <c r="B66" s="484"/>
      <c r="C66" s="490">
        <f>IF('[2]BASE'!C67=0,"",'[1]BASE'!C67)</f>
        <v>85</v>
      </c>
      <c r="D66" s="490" t="str">
        <f>IF('[2]BASE'!D67=0,"",'[1]BASE'!D67)</f>
        <v>AZOPARDO - COSTANERA</v>
      </c>
      <c r="E66" s="490">
        <f>IF('[2]BASE'!E67=0,"",'[1]BASE'!E67)</f>
        <v>352</v>
      </c>
      <c r="F66" s="490" t="str">
        <f>IF('[2]BASE'!F67=0,"",'[1]BASE'!F67)</f>
        <v>C</v>
      </c>
      <c r="G66" s="490">
        <f>IF('[2]BASE'!G67=0,"",'[1]BASE'!G67)</f>
      </c>
      <c r="H66" s="490">
        <f>IF('[2]BASE'!H67=0,"",'[1]BASE'!H67)</f>
        <v>132</v>
      </c>
      <c r="I66" s="490">
        <f>IF('[2]BASE'!I67=0,"",'[1]BASE'!I67)</f>
        <v>4.2</v>
      </c>
      <c r="J66" s="491">
        <f>IF('[2]BASE'!HS67=0,"",'[2]BASE'!HS67)</f>
      </c>
      <c r="K66" s="491">
        <f>IF('[2]BASE'!HT67=0,"",'[2]BASE'!HT67)</f>
      </c>
      <c r="L66" s="491">
        <f>IF('[2]BASE'!HU67=0,"",'[2]BASE'!HU67)</f>
      </c>
      <c r="M66" s="491">
        <f>IF('[2]BASE'!HV67=0,"",'[2]BASE'!HV67)</f>
      </c>
      <c r="N66" s="491">
        <f>IF('[2]BASE'!HW67=0,"",'[2]BASE'!HW67)</f>
      </c>
      <c r="O66" s="491">
        <f>IF('[2]BASE'!HX67=0,"",'[2]BASE'!HX67)</f>
      </c>
      <c r="P66" s="491">
        <f>IF('[2]BASE'!HY67=0,"",'[2]BASE'!HY67)</f>
      </c>
      <c r="Q66" s="491">
        <f>IF('[2]BASE'!HZ67=0,"",'[2]BASE'!HZ67)</f>
      </c>
      <c r="R66" s="491">
        <f>IF('[2]BASE'!IA67=0,"",'[2]BASE'!IA67)</f>
      </c>
      <c r="S66" s="491">
        <f>IF('[2]BASE'!IB67=0,"",'[2]BASE'!IB67)</f>
      </c>
      <c r="T66" s="491">
        <f>IF('[2]BASE'!IC67=0,"",'[2]BASE'!IC67)</f>
      </c>
      <c r="U66" s="491">
        <f>IF('[2]BASE'!ID67=0,"",'[2]BASE'!ID67)</f>
      </c>
      <c r="V66" s="493"/>
      <c r="W66" s="489"/>
    </row>
    <row r="67" spans="2:23" s="483" customFormat="1" ht="15.75" customHeight="1">
      <c r="B67" s="484"/>
      <c r="C67" s="490">
        <f>IF('[2]BASE'!C68=0,"",'[1]BASE'!C68)</f>
        <v>78</v>
      </c>
      <c r="D67" s="490" t="str">
        <f>IF('[2]BASE'!D68=0,"",'[1]BASE'!D68)</f>
        <v>PERITO MORENO - LURO GBA 2</v>
      </c>
      <c r="E67" s="490">
        <f>IF('[2]BASE'!E68=0,"",'[1]BASE'!E68)</f>
        <v>412</v>
      </c>
      <c r="F67" s="490" t="str">
        <f>IF('[2]BASE'!F68=0,"",'[1]BASE'!F68)</f>
        <v>C</v>
      </c>
      <c r="G67" s="490">
        <f>IF('[2]BASE'!G68=0,"",'[1]BASE'!G68)</f>
      </c>
      <c r="H67" s="490">
        <f>IF('[2]BASE'!H68=0,"",'[1]BASE'!H68)</f>
        <v>132</v>
      </c>
      <c r="I67" s="490">
        <f>IF('[2]BASE'!I68=0,"",'[1]BASE'!I68)</f>
        <v>5.3</v>
      </c>
      <c r="J67" s="491">
        <f>IF('[2]BASE'!HS68=0,"",'[2]BASE'!HS68)</f>
      </c>
      <c r="K67" s="491">
        <f>IF('[2]BASE'!HT68=0,"",'[2]BASE'!HT68)</f>
      </c>
      <c r="L67" s="491">
        <f>IF('[2]BASE'!HU68=0,"",'[2]BASE'!HU68)</f>
      </c>
      <c r="M67" s="491">
        <f>IF('[2]BASE'!HV68=0,"",'[2]BASE'!HV68)</f>
      </c>
      <c r="N67" s="491">
        <f>IF('[2]BASE'!HW68=0,"",'[2]BASE'!HW68)</f>
      </c>
      <c r="O67" s="491">
        <f>IF('[2]BASE'!HX68=0,"",'[2]BASE'!HX68)</f>
      </c>
      <c r="P67" s="491">
        <f>IF('[2]BASE'!HY68=0,"",'[2]BASE'!HY68)</f>
      </c>
      <c r="Q67" s="491">
        <f>IF('[2]BASE'!HZ68=0,"",'[2]BASE'!HZ68)</f>
      </c>
      <c r="R67" s="491">
        <f>IF('[2]BASE'!IA68=0,"",'[2]BASE'!IA68)</f>
      </c>
      <c r="S67" s="491">
        <f>IF('[2]BASE'!IB68=0,"",'[2]BASE'!IB68)</f>
      </c>
      <c r="T67" s="491">
        <f>IF('[2]BASE'!IC68=0,"",'[2]BASE'!IC68)</f>
      </c>
      <c r="U67" s="491">
        <f>IF('[2]BASE'!ID68=0,"",'[2]BASE'!ID68)</f>
      </c>
      <c r="V67" s="493"/>
      <c r="W67" s="489"/>
    </row>
    <row r="68" spans="2:23" s="483" customFormat="1" ht="15.75" customHeight="1">
      <c r="B68" s="484"/>
      <c r="C68" s="490">
        <f>IF('[2]BASE'!C69=0,"",'[1]BASE'!C69)</f>
        <v>91</v>
      </c>
      <c r="D68" s="490" t="str">
        <f>IF('[2]BASE'!D69=0,"",'[1]BASE'!D69)</f>
        <v>PERITO MORENO - LURO GBA 1</v>
      </c>
      <c r="E68" s="490">
        <f>IF('[2]BASE'!E69=0,"",'[1]BASE'!E69)</f>
        <v>411</v>
      </c>
      <c r="F68" s="490" t="str">
        <f>IF('[2]BASE'!F69=0,"",'[1]BASE'!F69)</f>
        <v>C</v>
      </c>
      <c r="G68" s="490">
        <f>IF('[2]BASE'!G69=0,"",'[1]BASE'!G69)</f>
      </c>
      <c r="H68" s="490">
        <f>IF('[2]BASE'!H69=0,"",'[1]BASE'!H69)</f>
        <v>132</v>
      </c>
      <c r="I68" s="490">
        <f>IF('[2]BASE'!I69=0,"",'[1]BASE'!I69)</f>
        <v>5.3</v>
      </c>
      <c r="J68" s="491">
        <f>IF('[2]BASE'!HS69=0,"",'[2]BASE'!HS69)</f>
      </c>
      <c r="K68" s="491">
        <f>IF('[2]BASE'!HT69=0,"",'[2]BASE'!HT69)</f>
      </c>
      <c r="L68" s="491">
        <f>IF('[2]BASE'!HU69=0,"",'[2]BASE'!HU69)</f>
      </c>
      <c r="M68" s="491">
        <f>IF('[2]BASE'!HV69=0,"",'[2]BASE'!HV69)</f>
      </c>
      <c r="N68" s="491">
        <f>IF('[2]BASE'!HW69=0,"",'[2]BASE'!HW69)</f>
      </c>
      <c r="O68" s="491">
        <f>IF('[2]BASE'!HX69=0,"",'[2]BASE'!HX69)</f>
      </c>
      <c r="P68" s="491">
        <f>IF('[2]BASE'!HY69=0,"",'[2]BASE'!HY69)</f>
      </c>
      <c r="Q68" s="491">
        <f>IF('[2]BASE'!HZ69=0,"",'[2]BASE'!HZ69)</f>
      </c>
      <c r="R68" s="491">
        <f>IF('[2]BASE'!IA69=0,"",'[2]BASE'!IA69)</f>
      </c>
      <c r="S68" s="491">
        <f>IF('[2]BASE'!IB69=0,"",'[2]BASE'!IB69)</f>
      </c>
      <c r="T68" s="491">
        <f>IF('[2]BASE'!IC69=0,"",'[2]BASE'!IC69)</f>
      </c>
      <c r="U68" s="491">
        <f>IF('[2]BASE'!ID69=0,"",'[2]BASE'!ID69)</f>
      </c>
      <c r="V68" s="493"/>
      <c r="W68" s="489"/>
    </row>
    <row r="69" spans="2:23" s="483" customFormat="1" ht="15.75" customHeight="1">
      <c r="B69" s="484"/>
      <c r="C69" s="490">
        <f>IF('[2]BASE'!C70=0,"",'[1]BASE'!C70)</f>
        <v>38</v>
      </c>
      <c r="D69" s="490" t="str">
        <f>IF('[2]BASE'!D70=0,"",'[1]BASE'!D70)</f>
        <v>CENTENARIO COLEGIALES</v>
      </c>
      <c r="E69" s="490">
        <f>IF('[2]BASE'!E70=0,"",'[1]BASE'!E70)</f>
        <v>433</v>
      </c>
      <c r="F69" s="490" t="str">
        <f>IF('[2]BASE'!F70=0,"",'[1]BASE'!F70)</f>
        <v>C</v>
      </c>
      <c r="G69" s="490">
        <f>IF('[2]BASE'!G70=0,"",'[1]BASE'!G70)</f>
      </c>
      <c r="H69" s="490">
        <f>IF('[2]BASE'!H70=0,"",'[1]BASE'!H70)</f>
        <v>132</v>
      </c>
      <c r="I69" s="490">
        <f>IF('[2]BASE'!I70=0,"",'[1]BASE'!I70)</f>
        <v>4.8</v>
      </c>
      <c r="J69" s="491">
        <f>IF('[2]BASE'!HS70=0,"",'[2]BASE'!HS70)</f>
      </c>
      <c r="K69" s="491">
        <f>IF('[2]BASE'!HT70=0,"",'[2]BASE'!HT70)</f>
      </c>
      <c r="L69" s="491">
        <f>IF('[2]BASE'!HU70=0,"",'[2]BASE'!HU70)</f>
      </c>
      <c r="M69" s="491">
        <f>IF('[2]BASE'!HV70=0,"",'[2]BASE'!HV70)</f>
      </c>
      <c r="N69" s="491">
        <f>IF('[2]BASE'!HW70=0,"",'[2]BASE'!HW70)</f>
      </c>
      <c r="O69" s="491">
        <f>IF('[2]BASE'!HX70=0,"",'[2]BASE'!HX70)</f>
      </c>
      <c r="P69" s="491">
        <f>IF('[2]BASE'!HY70=0,"",'[2]BASE'!HY70)</f>
      </c>
      <c r="Q69" s="491">
        <f>IF('[2]BASE'!HZ70=0,"",'[2]BASE'!HZ70)</f>
      </c>
      <c r="R69" s="491">
        <f>IF('[2]BASE'!IA70=0,"",'[2]BASE'!IA70)</f>
      </c>
      <c r="S69" s="491">
        <f>IF('[2]BASE'!IB70=0,"",'[2]BASE'!IB70)</f>
      </c>
      <c r="T69" s="491">
        <f>IF('[2]BASE'!IC70=0,"",'[2]BASE'!IC70)</f>
      </c>
      <c r="U69" s="491">
        <f>IF('[2]BASE'!ID70=0,"",'[2]BASE'!ID70)</f>
        <v>1</v>
      </c>
      <c r="V69" s="493"/>
      <c r="W69" s="489"/>
    </row>
    <row r="70" spans="2:23" s="483" customFormat="1" ht="15.75" customHeight="1">
      <c r="B70" s="484"/>
      <c r="C70" s="490">
        <f>IF('[2]BASE'!C71=0,"",'[1]BASE'!C71)</f>
        <v>39</v>
      </c>
      <c r="D70" s="490" t="str">
        <f>IF('[2]BASE'!D71=0,"",'[1]BASE'!D71)</f>
        <v>CENTENARIO COLEGIALES</v>
      </c>
      <c r="E70" s="490">
        <f>IF('[2]BASE'!E71=0,"",'[1]BASE'!E71)</f>
        <v>434</v>
      </c>
      <c r="F70" s="490" t="str">
        <f>IF('[2]BASE'!F71=0,"",'[1]BASE'!F71)</f>
        <v>C</v>
      </c>
      <c r="G70" s="490">
        <f>IF('[2]BASE'!G71=0,"",'[1]BASE'!G71)</f>
      </c>
      <c r="H70" s="490">
        <f>IF('[2]BASE'!H71=0,"",'[1]BASE'!H71)</f>
        <v>132</v>
      </c>
      <c r="I70" s="490">
        <f>IF('[2]BASE'!I71=0,"",'[1]BASE'!I71)</f>
        <v>4.9</v>
      </c>
      <c r="J70" s="491">
        <f>IF('[2]BASE'!HS71=0,"",'[2]BASE'!HS71)</f>
      </c>
      <c r="K70" s="491">
        <f>IF('[2]BASE'!HT71=0,"",'[2]BASE'!HT71)</f>
      </c>
      <c r="L70" s="491">
        <f>IF('[2]BASE'!HU71=0,"",'[2]BASE'!HU71)</f>
      </c>
      <c r="M70" s="491">
        <f>IF('[2]BASE'!HV71=0,"",'[2]BASE'!HV71)</f>
      </c>
      <c r="N70" s="491">
        <f>IF('[2]BASE'!HW71=0,"",'[2]BASE'!HW71)</f>
      </c>
      <c r="O70" s="491">
        <f>IF('[2]BASE'!HX71=0,"",'[2]BASE'!HX71)</f>
      </c>
      <c r="P70" s="491">
        <f>IF('[2]BASE'!HY71=0,"",'[2]BASE'!HY71)</f>
        <v>1</v>
      </c>
      <c r="Q70" s="491">
        <f>IF('[2]BASE'!HZ71=0,"",'[2]BASE'!HZ71)</f>
      </c>
      <c r="R70" s="491">
        <f>IF('[2]BASE'!IA71=0,"",'[2]BASE'!IA71)</f>
      </c>
      <c r="S70" s="491">
        <f>IF('[2]BASE'!IB71=0,"",'[2]BASE'!IB71)</f>
      </c>
      <c r="T70" s="491">
        <f>IF('[2]BASE'!IC71=0,"",'[2]BASE'!IC71)</f>
      </c>
      <c r="U70" s="491">
        <f>IF('[2]BASE'!ID71=0,"",'[2]BASE'!ID71)</f>
      </c>
      <c r="V70" s="493"/>
      <c r="W70" s="489"/>
    </row>
    <row r="71" spans="2:23" s="483" customFormat="1" ht="15.75" customHeight="1">
      <c r="B71" s="484"/>
      <c r="C71" s="490">
        <f>IF('[2]BASE'!C72=0,"",'[1]BASE'!C72)</f>
        <v>40</v>
      </c>
      <c r="D71" s="490" t="str">
        <f>IF('[2]BASE'!D72=0,"",'[1]BASE'!D72)</f>
        <v>PERITO MORENO - POMPEYA </v>
      </c>
      <c r="E71" s="490">
        <f>IF('[2]BASE'!E72=0,"",'[1]BASE'!E72)</f>
        <v>441</v>
      </c>
      <c r="F71" s="490" t="str">
        <f>IF('[2]BASE'!F72=0,"",'[1]BASE'!F72)</f>
        <v>C</v>
      </c>
      <c r="G71" s="490">
        <f>IF('[2]BASE'!G72=0,"",'[1]BASE'!G72)</f>
      </c>
      <c r="H71" s="490">
        <f>IF('[2]BASE'!H72=0,"",'[1]BASE'!H72)</f>
        <v>132</v>
      </c>
      <c r="I71" s="490">
        <f>IF('[2]BASE'!I72=0,"",'[1]BASE'!I72)</f>
        <v>4.7</v>
      </c>
      <c r="J71" s="491">
        <f>IF('[2]BASE'!HS72=0,"",'[2]BASE'!HS72)</f>
      </c>
      <c r="K71" s="491">
        <f>IF('[2]BASE'!HT72=0,"",'[2]BASE'!HT72)</f>
      </c>
      <c r="L71" s="491">
        <f>IF('[2]BASE'!HU72=0,"",'[2]BASE'!HU72)</f>
      </c>
      <c r="M71" s="491">
        <f>IF('[2]BASE'!HV72=0,"",'[2]BASE'!HV72)</f>
      </c>
      <c r="N71" s="491">
        <f>IF('[2]BASE'!HW72=0,"",'[2]BASE'!HW72)</f>
      </c>
      <c r="O71" s="491">
        <f>IF('[2]BASE'!HX72=0,"",'[2]BASE'!HX72)</f>
      </c>
      <c r="P71" s="491">
        <f>IF('[2]BASE'!HY72=0,"",'[2]BASE'!HY72)</f>
      </c>
      <c r="Q71" s="491">
        <f>IF('[2]BASE'!HZ72=0,"",'[2]BASE'!HZ72)</f>
      </c>
      <c r="R71" s="491">
        <f>IF('[2]BASE'!IA72=0,"",'[2]BASE'!IA72)</f>
      </c>
      <c r="S71" s="491">
        <f>IF('[2]BASE'!IB72=0,"",'[2]BASE'!IB72)</f>
      </c>
      <c r="T71" s="491">
        <f>IF('[2]BASE'!IC72=0,"",'[2]BASE'!IC72)</f>
      </c>
      <c r="U71" s="491">
        <f>IF('[2]BASE'!ID72=0,"",'[2]BASE'!ID72)</f>
      </c>
      <c r="V71" s="493"/>
      <c r="W71" s="489"/>
    </row>
    <row r="72" spans="2:23" s="483" customFormat="1" ht="15.75" customHeight="1">
      <c r="B72" s="484"/>
      <c r="C72" s="490">
        <f>IF('[2]BASE'!C73=0,"",'[1]BASE'!C73)</f>
        <v>41</v>
      </c>
      <c r="D72" s="490" t="str">
        <f>IF('[2]BASE'!D73=0,"",'[1]BASE'!D73)</f>
        <v>POMPEYA - P. PATRICIOS </v>
      </c>
      <c r="E72" s="490">
        <f>IF('[2]BASE'!E73=0,"",'[1]BASE'!E73)</f>
        <v>442</v>
      </c>
      <c r="F72" s="490" t="str">
        <f>IF('[2]BASE'!F73=0,"",'[1]BASE'!F73)</f>
        <v>C</v>
      </c>
      <c r="G72" s="490">
        <f>IF('[2]BASE'!G73=0,"",'[1]BASE'!G73)</f>
      </c>
      <c r="H72" s="490">
        <f>IF('[2]BASE'!H73=0,"",'[1]BASE'!H73)</f>
        <v>132</v>
      </c>
      <c r="I72" s="490">
        <f>IF('[2]BASE'!I73=0,"",'[1]BASE'!I73)</f>
        <v>3.9</v>
      </c>
      <c r="J72" s="491">
        <f>IF('[2]BASE'!HS73=0,"",'[2]BASE'!HS73)</f>
      </c>
      <c r="K72" s="491">
        <f>IF('[2]BASE'!HT73=0,"",'[2]BASE'!HT73)</f>
      </c>
      <c r="L72" s="491">
        <f>IF('[2]BASE'!HU73=0,"",'[2]BASE'!HU73)</f>
      </c>
      <c r="M72" s="491">
        <f>IF('[2]BASE'!HV73=0,"",'[2]BASE'!HV73)</f>
      </c>
      <c r="N72" s="491">
        <f>IF('[2]BASE'!HW73=0,"",'[2]BASE'!HW73)</f>
      </c>
      <c r="O72" s="491">
        <f>IF('[2]BASE'!HX73=0,"",'[2]BASE'!HX73)</f>
      </c>
      <c r="P72" s="491">
        <f>IF('[2]BASE'!HY73=0,"",'[2]BASE'!HY73)</f>
      </c>
      <c r="Q72" s="491">
        <f>IF('[2]BASE'!HZ73=0,"",'[2]BASE'!HZ73)</f>
      </c>
      <c r="R72" s="491">
        <f>IF('[2]BASE'!IA73=0,"",'[2]BASE'!IA73)</f>
      </c>
      <c r="S72" s="491">
        <f>IF('[2]BASE'!IB73=0,"",'[2]BASE'!IB73)</f>
      </c>
      <c r="T72" s="491">
        <f>IF('[2]BASE'!IC73=0,"",'[2]BASE'!IC73)</f>
      </c>
      <c r="U72" s="491">
        <f>IF('[2]BASE'!ID73=0,"",'[2]BASE'!ID73)</f>
      </c>
      <c r="V72" s="493"/>
      <c r="W72" s="489"/>
    </row>
    <row r="73" spans="2:23" s="483" customFormat="1" ht="15.75" customHeight="1">
      <c r="B73" s="484"/>
      <c r="C73" s="490">
        <f>IF('[2]BASE'!C74=0,"",'[1]BASE'!C74)</f>
        <v>42</v>
      </c>
      <c r="D73" s="490" t="str">
        <f>IF('[2]BASE'!D74=0,"",'[1]BASE'!D74)</f>
        <v>PERITO MORENO - CABALLITO 1 </v>
      </c>
      <c r="E73" s="490">
        <f>IF('[2]BASE'!E74=0,"",'[1]BASE'!E74)</f>
        <v>445</v>
      </c>
      <c r="F73" s="490" t="str">
        <f>IF('[2]BASE'!F74=0,"",'[1]BASE'!F74)</f>
        <v>C</v>
      </c>
      <c r="G73" s="490">
        <f>IF('[2]BASE'!G74=0,"",'[1]BASE'!G74)</f>
      </c>
      <c r="H73" s="490">
        <f>IF('[2]BASE'!H74=0,"",'[1]BASE'!H74)</f>
        <v>132</v>
      </c>
      <c r="I73" s="490">
        <f>IF('[2]BASE'!I74=0,"",'[1]BASE'!I74)</f>
        <v>6.3</v>
      </c>
      <c r="J73" s="491">
        <f>IF('[2]BASE'!HS74=0,"",'[2]BASE'!HS74)</f>
      </c>
      <c r="K73" s="491">
        <f>IF('[2]BASE'!HT74=0,"",'[2]BASE'!HT74)</f>
      </c>
      <c r="L73" s="491">
        <f>IF('[2]BASE'!HU74=0,"",'[2]BASE'!HU74)</f>
      </c>
      <c r="M73" s="491">
        <f>IF('[2]BASE'!HV74=0,"",'[2]BASE'!HV74)</f>
      </c>
      <c r="N73" s="491">
        <f>IF('[2]BASE'!HW74=0,"",'[2]BASE'!HW74)</f>
      </c>
      <c r="O73" s="491">
        <f>IF('[2]BASE'!HX74=0,"",'[2]BASE'!HX74)</f>
      </c>
      <c r="P73" s="491">
        <f>IF('[2]BASE'!HY74=0,"",'[2]BASE'!HY74)</f>
      </c>
      <c r="Q73" s="491">
        <f>IF('[2]BASE'!HZ74=0,"",'[2]BASE'!HZ74)</f>
      </c>
      <c r="R73" s="491">
        <f>IF('[2]BASE'!IA74=0,"",'[2]BASE'!IA74)</f>
      </c>
      <c r="S73" s="491">
        <f>IF('[2]BASE'!IB74=0,"",'[2]BASE'!IB74)</f>
      </c>
      <c r="T73" s="491">
        <f>IF('[2]BASE'!IC74=0,"",'[2]BASE'!IC74)</f>
      </c>
      <c r="U73" s="491">
        <f>IF('[2]BASE'!ID74=0,"",'[2]BASE'!ID74)</f>
      </c>
      <c r="V73" s="493"/>
      <c r="W73" s="489"/>
    </row>
    <row r="74" spans="2:23" s="483" customFormat="1" ht="15.75" customHeight="1">
      <c r="B74" s="484"/>
      <c r="C74" s="490">
        <f>IF('[2]BASE'!C75=0,"",'[1]BASE'!C75)</f>
        <v>43</v>
      </c>
      <c r="D74" s="490" t="str">
        <f>IF('[2]BASE'!D75=0,"",'[1]BASE'!D75)</f>
        <v>PERITO MORENO - CABALLITO 2 </v>
      </c>
      <c r="E74" s="490">
        <f>IF('[2]BASE'!E75=0,"",'[1]BASE'!E75)</f>
        <v>446</v>
      </c>
      <c r="F74" s="490" t="str">
        <f>IF('[2]BASE'!F75=0,"",'[1]BASE'!F75)</f>
        <v>C</v>
      </c>
      <c r="G74" s="490">
        <f>IF('[2]BASE'!G75=0,"",'[1]BASE'!G75)</f>
      </c>
      <c r="H74" s="490">
        <f>IF('[2]BASE'!H75=0,"",'[1]BASE'!H75)</f>
        <v>132</v>
      </c>
      <c r="I74" s="490">
        <f>IF('[2]BASE'!I75=0,"",'[1]BASE'!I75)</f>
        <v>6.3</v>
      </c>
      <c r="J74" s="491">
        <f>IF('[2]BASE'!HS75=0,"",'[2]BASE'!HS75)</f>
      </c>
      <c r="K74" s="491">
        <f>IF('[2]BASE'!HT75=0,"",'[2]BASE'!HT75)</f>
      </c>
      <c r="L74" s="491">
        <f>IF('[2]BASE'!HU75=0,"",'[2]BASE'!HU75)</f>
      </c>
      <c r="M74" s="491">
        <f>IF('[2]BASE'!HV75=0,"",'[2]BASE'!HV75)</f>
      </c>
      <c r="N74" s="491">
        <f>IF('[2]BASE'!HW75=0,"",'[2]BASE'!HW75)</f>
      </c>
      <c r="O74" s="491">
        <f>IF('[2]BASE'!HX75=0,"",'[2]BASE'!HX75)</f>
      </c>
      <c r="P74" s="491">
        <f>IF('[2]BASE'!HY75=0,"",'[2]BASE'!HY75)</f>
      </c>
      <c r="Q74" s="491">
        <f>IF('[2]BASE'!HZ75=0,"",'[2]BASE'!HZ75)</f>
      </c>
      <c r="R74" s="491">
        <f>IF('[2]BASE'!IA75=0,"",'[2]BASE'!IA75)</f>
      </c>
      <c r="S74" s="491">
        <f>IF('[2]BASE'!IB75=0,"",'[2]BASE'!IB75)</f>
      </c>
      <c r="T74" s="491">
        <f>IF('[2]BASE'!IC75=0,"",'[2]BASE'!IC75)</f>
      </c>
      <c r="U74" s="491">
        <f>IF('[2]BASE'!ID75=0,"",'[2]BASE'!ID75)</f>
      </c>
      <c r="V74" s="493"/>
      <c r="W74" s="489"/>
    </row>
    <row r="75" spans="2:23" s="483" customFormat="1" ht="15.75" customHeight="1">
      <c r="B75" s="484"/>
      <c r="C75" s="490">
        <f>IF('[2]BASE'!C76=0,"",'[1]BASE'!C76)</f>
        <v>44</v>
      </c>
      <c r="D75" s="490" t="str">
        <f>IF('[2]BASE'!D76=0,"",'[1]BASE'!D76)</f>
        <v>PERITO MORENO - LINIERS 1</v>
      </c>
      <c r="E75" s="490">
        <f>IF('[2]BASE'!E76=0,"",'[1]BASE'!E76)</f>
        <v>447</v>
      </c>
      <c r="F75" s="490" t="str">
        <f>IF('[2]BASE'!F76=0,"",'[1]BASE'!F76)</f>
        <v>C</v>
      </c>
      <c r="G75" s="490">
        <f>IF('[2]BASE'!G76=0,"",'[1]BASE'!G76)</f>
      </c>
      <c r="H75" s="490">
        <f>IF('[2]BASE'!H76=0,"",'[1]BASE'!H76)</f>
        <v>132</v>
      </c>
      <c r="I75" s="490">
        <f>IF('[2]BASE'!I76=0,"",'[1]BASE'!I76)</f>
        <v>2.8</v>
      </c>
      <c r="J75" s="491">
        <f>IF('[2]BASE'!HS76=0,"",'[2]BASE'!HS76)</f>
      </c>
      <c r="K75" s="491">
        <f>IF('[2]BASE'!HT76=0,"",'[2]BASE'!HT76)</f>
      </c>
      <c r="L75" s="491">
        <f>IF('[2]BASE'!HU76=0,"",'[2]BASE'!HU76)</f>
      </c>
      <c r="M75" s="491">
        <f>IF('[2]BASE'!HV76=0,"",'[2]BASE'!HV76)</f>
      </c>
      <c r="N75" s="491">
        <f>IF('[2]BASE'!HW76=0,"",'[2]BASE'!HW76)</f>
      </c>
      <c r="O75" s="491">
        <f>IF('[2]BASE'!HX76=0,"",'[2]BASE'!HX76)</f>
      </c>
      <c r="P75" s="491">
        <f>IF('[2]BASE'!HY76=0,"",'[2]BASE'!HY76)</f>
      </c>
      <c r="Q75" s="491">
        <f>IF('[2]BASE'!HZ76=0,"",'[2]BASE'!HZ76)</f>
      </c>
      <c r="R75" s="491">
        <f>IF('[2]BASE'!IA76=0,"",'[2]BASE'!IA76)</f>
      </c>
      <c r="S75" s="491">
        <f>IF('[2]BASE'!IB76=0,"",'[2]BASE'!IB76)</f>
      </c>
      <c r="T75" s="491">
        <f>IF('[2]BASE'!IC76=0,"",'[2]BASE'!IC76)</f>
      </c>
      <c r="U75" s="491">
        <f>IF('[2]BASE'!ID76=0,"",'[2]BASE'!ID76)</f>
      </c>
      <c r="V75" s="493"/>
      <c r="W75" s="489"/>
    </row>
    <row r="76" spans="2:23" s="483" customFormat="1" ht="15.75" customHeight="1">
      <c r="B76" s="484"/>
      <c r="C76" s="490">
        <f>IF('[2]BASE'!C77=0,"",'[1]BASE'!C77)</f>
        <v>45</v>
      </c>
      <c r="D76" s="490" t="str">
        <f>IF('[2]BASE'!D77=0,"",'[1]BASE'!D77)</f>
        <v>PERITO MORENO - LINIERS 2</v>
      </c>
      <c r="E76" s="490">
        <f>IF('[2]BASE'!E77=0,"",'[1]BASE'!E77)</f>
        <v>448</v>
      </c>
      <c r="F76" s="490" t="str">
        <f>IF('[2]BASE'!F77=0,"",'[1]BASE'!F77)</f>
        <v>C</v>
      </c>
      <c r="G76" s="490">
        <f>IF('[2]BASE'!G77=0,"",'[1]BASE'!G77)</f>
      </c>
      <c r="H76" s="490">
        <f>IF('[2]BASE'!H77=0,"",'[1]BASE'!H77)</f>
        <v>132</v>
      </c>
      <c r="I76" s="490">
        <f>IF('[2]BASE'!I77=0,"",'[1]BASE'!I77)</f>
        <v>2.8</v>
      </c>
      <c r="J76" s="491">
        <f>IF('[2]BASE'!HS77=0,"",'[2]BASE'!HS77)</f>
        <v>1</v>
      </c>
      <c r="K76" s="491">
        <f>IF('[2]BASE'!HT77=0,"",'[2]BASE'!HT77)</f>
      </c>
      <c r="L76" s="491">
        <f>IF('[2]BASE'!HU77=0,"",'[2]BASE'!HU77)</f>
      </c>
      <c r="M76" s="491">
        <f>IF('[2]BASE'!HV77=0,"",'[2]BASE'!HV77)</f>
      </c>
      <c r="N76" s="491">
        <f>IF('[2]BASE'!HW77=0,"",'[2]BASE'!HW77)</f>
      </c>
      <c r="O76" s="491">
        <f>IF('[2]BASE'!HX77=0,"",'[2]BASE'!HX77)</f>
      </c>
      <c r="P76" s="491">
        <f>IF('[2]BASE'!HY77=0,"",'[2]BASE'!HY77)</f>
      </c>
      <c r="Q76" s="491">
        <f>IF('[2]BASE'!HZ77=0,"",'[2]BASE'!HZ77)</f>
      </c>
      <c r="R76" s="491">
        <f>IF('[2]BASE'!IA77=0,"",'[2]BASE'!IA77)</f>
      </c>
      <c r="S76" s="491">
        <f>IF('[2]BASE'!IB77=0,"",'[2]BASE'!IB77)</f>
      </c>
      <c r="T76" s="491">
        <f>IF('[2]BASE'!IC77=0,"",'[2]BASE'!IC77)</f>
        <v>1</v>
      </c>
      <c r="U76" s="491">
        <f>IF('[2]BASE'!ID77=0,"",'[2]BASE'!ID77)</f>
      </c>
      <c r="V76" s="493"/>
      <c r="W76" s="489"/>
    </row>
    <row r="77" spans="2:23" s="483" customFormat="1" ht="15.75" customHeight="1">
      <c r="B77" s="484"/>
      <c r="C77" s="490">
        <f>IF('[2]BASE'!C78=0,"",'[1]BASE'!C78)</f>
        <v>76</v>
      </c>
      <c r="D77" s="490" t="str">
        <f>IF('[2]BASE'!D78=0,"",'[1]BASE'!D78)</f>
        <v>AZOPARDO II CHARCAS </v>
      </c>
      <c r="E77" s="490">
        <f>IF('[2]BASE'!E78=0,"",'[1]BASE'!E78)</f>
        <v>451</v>
      </c>
      <c r="F77" s="490" t="str">
        <f>IF('[2]BASE'!F78=0,"",'[1]BASE'!F78)</f>
        <v>C</v>
      </c>
      <c r="G77" s="490">
        <f>IF('[2]BASE'!G78=0,"",'[1]BASE'!G78)</f>
      </c>
      <c r="H77" s="490">
        <f>IF('[2]BASE'!H78=0,"",'[1]BASE'!H78)</f>
        <v>132</v>
      </c>
      <c r="I77" s="490">
        <f>IF('[2]BASE'!I78=0,"",'[1]BASE'!I78)</f>
        <v>2.4</v>
      </c>
      <c r="J77" s="491">
        <f>IF('[2]BASE'!HS78=0,"",'[2]BASE'!HS78)</f>
      </c>
      <c r="K77" s="491">
        <f>IF('[2]BASE'!HT78=0,"",'[2]BASE'!HT78)</f>
        <v>3</v>
      </c>
      <c r="L77" s="491">
        <f>IF('[2]BASE'!HU78=0,"",'[2]BASE'!HU78)</f>
        <v>6</v>
      </c>
      <c r="M77" s="491">
        <f>IF('[2]BASE'!HV78=0,"",'[2]BASE'!HV78)</f>
        <v>3</v>
      </c>
      <c r="N77" s="491">
        <f>IF('[2]BASE'!HW78=0,"",'[2]BASE'!HW78)</f>
        <v>2</v>
      </c>
      <c r="O77" s="491">
        <f>IF('[2]BASE'!HX78=0,"",'[2]BASE'!HX78)</f>
        <v>2</v>
      </c>
      <c r="P77" s="491">
        <f>IF('[2]BASE'!HY78=0,"",'[2]BASE'!HY78)</f>
        <v>1</v>
      </c>
      <c r="Q77" s="491">
        <f>IF('[2]BASE'!HZ78=0,"",'[2]BASE'!HZ78)</f>
        <v>2</v>
      </c>
      <c r="R77" s="491">
        <f>IF('[2]BASE'!IA78=0,"",'[2]BASE'!IA78)</f>
        <v>3</v>
      </c>
      <c r="S77" s="491">
        <f>IF('[2]BASE'!IB78=0,"",'[2]BASE'!IB78)</f>
        <v>1</v>
      </c>
      <c r="T77" s="491">
        <f>IF('[2]BASE'!IC78=0,"",'[2]BASE'!IC78)</f>
      </c>
      <c r="U77" s="491">
        <f>IF('[2]BASE'!ID78=0,"",'[2]BASE'!ID78)</f>
      </c>
      <c r="V77" s="493"/>
      <c r="W77" s="489"/>
    </row>
    <row r="78" spans="2:23" s="483" customFormat="1" ht="15.75" customHeight="1">
      <c r="B78" s="484"/>
      <c r="C78" s="490">
        <f>IF('[2]BASE'!C79=0,"",'[1]BASE'!C79)</f>
        <v>77</v>
      </c>
      <c r="D78" s="490" t="str">
        <f>IF('[2]BASE'!D79=0,"",'[1]BASE'!D79)</f>
        <v>AZOPARDO II CHARCAS </v>
      </c>
      <c r="E78" s="490">
        <f>IF('[2]BASE'!E79=0,"",'[1]BASE'!E79)</f>
        <v>452</v>
      </c>
      <c r="F78" s="490" t="str">
        <f>IF('[2]BASE'!F79=0,"",'[1]BASE'!F79)</f>
        <v>C</v>
      </c>
      <c r="G78" s="490">
        <f>IF('[2]BASE'!G79=0,"",'[1]BASE'!G79)</f>
      </c>
      <c r="H78" s="490">
        <f>IF('[2]BASE'!H79=0,"",'[1]BASE'!H79)</f>
        <v>132</v>
      </c>
      <c r="I78" s="490">
        <f>IF('[2]BASE'!I79=0,"",'[1]BASE'!I79)</f>
        <v>2.4</v>
      </c>
      <c r="J78" s="491">
        <f>IF('[2]BASE'!HS79=0,"",'[2]BASE'!HS79)</f>
      </c>
      <c r="K78" s="491">
        <f>IF('[2]BASE'!HT79=0,"",'[2]BASE'!HT79)</f>
      </c>
      <c r="L78" s="491">
        <f>IF('[2]BASE'!HU79=0,"",'[2]BASE'!HU79)</f>
      </c>
      <c r="M78" s="491">
        <f>IF('[2]BASE'!HV79=0,"",'[2]BASE'!HV79)</f>
      </c>
      <c r="N78" s="491">
        <f>IF('[2]BASE'!HW79=0,"",'[2]BASE'!HW79)</f>
      </c>
      <c r="O78" s="491">
        <f>IF('[2]BASE'!HX79=0,"",'[2]BASE'!HX79)</f>
      </c>
      <c r="P78" s="491">
        <f>IF('[2]BASE'!HY79=0,"",'[2]BASE'!HY79)</f>
        <v>1</v>
      </c>
      <c r="Q78" s="491">
        <f>IF('[2]BASE'!HZ79=0,"",'[2]BASE'!HZ79)</f>
        <v>1</v>
      </c>
      <c r="R78" s="491">
        <f>IF('[2]BASE'!IA79=0,"",'[2]BASE'!IA79)</f>
      </c>
      <c r="S78" s="491">
        <f>IF('[2]BASE'!IB79=0,"",'[2]BASE'!IB79)</f>
      </c>
      <c r="T78" s="491">
        <f>IF('[2]BASE'!IC79=0,"",'[2]BASE'!IC79)</f>
      </c>
      <c r="U78" s="491">
        <f>IF('[2]BASE'!ID79=0,"",'[2]BASE'!ID79)</f>
      </c>
      <c r="V78" s="493"/>
      <c r="W78" s="489"/>
    </row>
    <row r="79" spans="2:23" s="483" customFormat="1" ht="15.75" customHeight="1">
      <c r="B79" s="484"/>
      <c r="C79" s="490">
        <f>IF('[2]BASE'!C80=0,"",'[1]BASE'!C80)</f>
        <v>46</v>
      </c>
      <c r="D79" s="490" t="str">
        <f>IF('[2]BASE'!D80=0,"",'[1]BASE'!D80)</f>
        <v>AZOPARDO II - PELLEGRINI 1</v>
      </c>
      <c r="E79" s="490">
        <f>IF('[2]BASE'!E80=0,"",'[1]BASE'!E80)</f>
        <v>457</v>
      </c>
      <c r="F79" s="490" t="str">
        <f>IF('[2]BASE'!F80=0,"",'[1]BASE'!F80)</f>
        <v>C</v>
      </c>
      <c r="G79" s="490">
        <f>IF('[2]BASE'!G80=0,"",'[1]BASE'!G80)</f>
      </c>
      <c r="H79" s="490">
        <f>IF('[2]BASE'!H80=0,"",'[1]BASE'!H80)</f>
        <v>132</v>
      </c>
      <c r="I79" s="490">
        <f>IF('[2]BASE'!I80=0,"",'[1]BASE'!I80)</f>
        <v>2</v>
      </c>
      <c r="J79" s="491">
        <f>IF('[2]BASE'!HS80=0,"",'[2]BASE'!HS80)</f>
      </c>
      <c r="K79" s="491">
        <f>IF('[2]BASE'!HT80=0,"",'[2]BASE'!HT80)</f>
      </c>
      <c r="L79" s="491">
        <f>IF('[2]BASE'!HU80=0,"",'[2]BASE'!HU80)</f>
      </c>
      <c r="M79" s="491">
        <f>IF('[2]BASE'!HV80=0,"",'[2]BASE'!HV80)</f>
      </c>
      <c r="N79" s="491">
        <f>IF('[2]BASE'!HW80=0,"",'[2]BASE'!HW80)</f>
      </c>
      <c r="O79" s="491">
        <f>IF('[2]BASE'!HX80=0,"",'[2]BASE'!HX80)</f>
      </c>
      <c r="P79" s="491">
        <f>IF('[2]BASE'!HY80=0,"",'[2]BASE'!HY80)</f>
      </c>
      <c r="Q79" s="491">
        <f>IF('[2]BASE'!HZ80=0,"",'[2]BASE'!HZ80)</f>
      </c>
      <c r="R79" s="491">
        <f>IF('[2]BASE'!IA80=0,"",'[2]BASE'!IA80)</f>
      </c>
      <c r="S79" s="491">
        <f>IF('[2]BASE'!IB80=0,"",'[2]BASE'!IB80)</f>
      </c>
      <c r="T79" s="491">
        <f>IF('[2]BASE'!IC80=0,"",'[2]BASE'!IC80)</f>
      </c>
      <c r="U79" s="491">
        <f>IF('[2]BASE'!ID80=0,"",'[2]BASE'!ID80)</f>
      </c>
      <c r="V79" s="493"/>
      <c r="W79" s="489"/>
    </row>
    <row r="80" spans="2:23" s="483" customFormat="1" ht="15.75" customHeight="1">
      <c r="B80" s="484"/>
      <c r="C80" s="490">
        <f>IF('[2]BASE'!C81=0,"",'[1]BASE'!C81)</f>
        <v>47</v>
      </c>
      <c r="D80" s="490" t="str">
        <f>IF('[2]BASE'!D81=0,"",'[1]BASE'!D81)</f>
        <v>AZOPARDO II - PELLEGRINI 2</v>
      </c>
      <c r="E80" s="490">
        <f>IF('[2]BASE'!E81=0,"",'[1]BASE'!E81)</f>
        <v>458</v>
      </c>
      <c r="F80" s="490" t="str">
        <f>IF('[2]BASE'!F81=0,"",'[1]BASE'!F81)</f>
        <v>C</v>
      </c>
      <c r="G80" s="490">
        <f>IF('[2]BASE'!G81=0,"",'[1]BASE'!G81)</f>
      </c>
      <c r="H80" s="490">
        <f>IF('[2]BASE'!H81=0,"",'[1]BASE'!H81)</f>
        <v>132</v>
      </c>
      <c r="I80" s="490">
        <f>IF('[2]BASE'!I81=0,"",'[1]BASE'!I81)</f>
        <v>2</v>
      </c>
      <c r="J80" s="491">
        <f>IF('[2]BASE'!HS81=0,"",'[2]BASE'!HS81)</f>
      </c>
      <c r="K80" s="491">
        <f>IF('[2]BASE'!HT81=0,"",'[2]BASE'!HT81)</f>
      </c>
      <c r="L80" s="491">
        <f>IF('[2]BASE'!HU81=0,"",'[2]BASE'!HU81)</f>
      </c>
      <c r="M80" s="491">
        <f>IF('[2]BASE'!HV81=0,"",'[2]BASE'!HV81)</f>
      </c>
      <c r="N80" s="491">
        <f>IF('[2]BASE'!HW81=0,"",'[2]BASE'!HW81)</f>
        <v>1</v>
      </c>
      <c r="O80" s="491">
        <f>IF('[2]BASE'!HX81=0,"",'[2]BASE'!HX81)</f>
      </c>
      <c r="P80" s="491">
        <f>IF('[2]BASE'!HY81=0,"",'[2]BASE'!HY81)</f>
      </c>
      <c r="Q80" s="491">
        <f>IF('[2]BASE'!HZ81=0,"",'[2]BASE'!HZ81)</f>
      </c>
      <c r="R80" s="491">
        <f>IF('[2]BASE'!IA81=0,"",'[2]BASE'!IA81)</f>
      </c>
      <c r="S80" s="491">
        <f>IF('[2]BASE'!IB81=0,"",'[2]BASE'!IB81)</f>
      </c>
      <c r="T80" s="491">
        <f>IF('[2]BASE'!IC81=0,"",'[2]BASE'!IC81)</f>
      </c>
      <c r="U80" s="491">
        <f>IF('[2]BASE'!ID81=0,"",'[2]BASE'!ID81)</f>
      </c>
      <c r="V80" s="493"/>
      <c r="W80" s="489"/>
    </row>
    <row r="81" spans="2:23" s="483" customFormat="1" ht="15.75" customHeight="1">
      <c r="B81" s="484"/>
      <c r="C81" s="490">
        <f>IF('[2]BASE'!C82=0,"",'[1]BASE'!C82)</f>
        <v>48</v>
      </c>
      <c r="D81" s="490" t="str">
        <f>IF('[2]BASE'!D82=0,"",'[1]BASE'!D82)</f>
        <v>SANTA RITA - AGRONOMIA 1</v>
      </c>
      <c r="E81" s="490">
        <f>IF('[2]BASE'!E82=0,"",'[1]BASE'!E82)</f>
        <v>461</v>
      </c>
      <c r="F81" s="490" t="str">
        <f>IF('[2]BASE'!F82=0,"",'[1]BASE'!F82)</f>
        <v>C</v>
      </c>
      <c r="G81" s="490">
        <f>IF('[2]BASE'!G82=0,"",'[1]BASE'!G82)</f>
      </c>
      <c r="H81" s="490">
        <f>IF('[2]BASE'!H82=0,"",'[1]BASE'!H82)</f>
        <v>132</v>
      </c>
      <c r="I81" s="490">
        <f>IF('[2]BASE'!I82=0,"",'[1]BASE'!I82)</f>
        <v>2.4</v>
      </c>
      <c r="J81" s="491">
        <f>IF('[2]BASE'!HS82=0,"",'[2]BASE'!HS82)</f>
      </c>
      <c r="K81" s="491">
        <f>IF('[2]BASE'!HT82=0,"",'[2]BASE'!HT82)</f>
      </c>
      <c r="L81" s="491">
        <f>IF('[2]BASE'!HU82=0,"",'[2]BASE'!HU82)</f>
      </c>
      <c r="M81" s="491">
        <f>IF('[2]BASE'!HV82=0,"",'[2]BASE'!HV82)</f>
      </c>
      <c r="N81" s="491">
        <f>IF('[2]BASE'!HW82=0,"",'[2]BASE'!HW82)</f>
      </c>
      <c r="O81" s="491">
        <f>IF('[2]BASE'!HX82=0,"",'[2]BASE'!HX82)</f>
      </c>
      <c r="P81" s="491">
        <f>IF('[2]BASE'!HY82=0,"",'[2]BASE'!HY82)</f>
        <v>1</v>
      </c>
      <c r="Q81" s="491">
        <f>IF('[2]BASE'!HZ82=0,"",'[2]BASE'!HZ82)</f>
      </c>
      <c r="R81" s="491">
        <f>IF('[2]BASE'!IA82=0,"",'[2]BASE'!IA82)</f>
      </c>
      <c r="S81" s="491">
        <f>IF('[2]BASE'!IB82=0,"",'[2]BASE'!IB82)</f>
      </c>
      <c r="T81" s="491">
        <f>IF('[2]BASE'!IC82=0,"",'[2]BASE'!IC82)</f>
      </c>
      <c r="U81" s="491">
        <f>IF('[2]BASE'!ID82=0,"",'[2]BASE'!ID82)</f>
      </c>
      <c r="V81" s="493"/>
      <c r="W81" s="489"/>
    </row>
    <row r="82" spans="2:23" s="483" customFormat="1" ht="15.75" customHeight="1">
      <c r="B82" s="484"/>
      <c r="C82" s="490">
        <f>IF('[2]BASE'!C83=0,"",'[1]BASE'!C83)</f>
        <v>49</v>
      </c>
      <c r="D82" s="490" t="str">
        <f>IF('[2]BASE'!D83=0,"",'[1]BASE'!D83)</f>
        <v>SANTA RITA - AGRONOMIA 2 </v>
      </c>
      <c r="E82" s="490">
        <f>IF('[2]BASE'!E83=0,"",'[1]BASE'!E83)</f>
        <v>462</v>
      </c>
      <c r="F82" s="490" t="str">
        <f>IF('[2]BASE'!F83=0,"",'[1]BASE'!F83)</f>
        <v>C</v>
      </c>
      <c r="G82" s="490">
        <f>IF('[2]BASE'!G83=0,"",'[1]BASE'!G83)</f>
      </c>
      <c r="H82" s="490">
        <f>IF('[2]BASE'!H83=0,"",'[1]BASE'!H83)</f>
        <v>132</v>
      </c>
      <c r="I82" s="490">
        <f>IF('[2]BASE'!I83=0,"",'[1]BASE'!I83)</f>
        <v>2.4</v>
      </c>
      <c r="J82" s="491">
        <f>IF('[2]BASE'!HS83=0,"",'[2]BASE'!HS83)</f>
      </c>
      <c r="K82" s="491">
        <f>IF('[2]BASE'!HT83=0,"",'[2]BASE'!HT83)</f>
      </c>
      <c r="L82" s="491">
        <f>IF('[2]BASE'!HU83=0,"",'[2]BASE'!HU83)</f>
      </c>
      <c r="M82" s="491">
        <f>IF('[2]BASE'!HV83=0,"",'[2]BASE'!HV83)</f>
      </c>
      <c r="N82" s="491">
        <f>IF('[2]BASE'!HW83=0,"",'[2]BASE'!HW83)</f>
      </c>
      <c r="O82" s="491">
        <f>IF('[2]BASE'!HX83=0,"",'[2]BASE'!HX83)</f>
      </c>
      <c r="P82" s="491">
        <f>IF('[2]BASE'!HY83=0,"",'[2]BASE'!HY83)</f>
      </c>
      <c r="Q82" s="491">
        <f>IF('[2]BASE'!HZ83=0,"",'[2]BASE'!HZ83)</f>
      </c>
      <c r="R82" s="491">
        <f>IF('[2]BASE'!IA83=0,"",'[2]BASE'!IA83)</f>
      </c>
      <c r="S82" s="491">
        <f>IF('[2]BASE'!IB83=0,"",'[2]BASE'!IB83)</f>
      </c>
      <c r="T82" s="491">
        <f>IF('[2]BASE'!IC83=0,"",'[2]BASE'!IC83)</f>
      </c>
      <c r="U82" s="491">
        <f>IF('[2]BASE'!ID83=0,"",'[2]BASE'!ID83)</f>
      </c>
      <c r="V82" s="493"/>
      <c r="W82" s="489"/>
    </row>
    <row r="83" spans="2:23" s="483" customFormat="1" ht="15.75" customHeight="1">
      <c r="B83" s="484"/>
      <c r="C83" s="490">
        <f>IF('[2]BASE'!C84=0,"",'[1]BASE'!C84)</f>
        <v>50</v>
      </c>
      <c r="D83" s="490" t="str">
        <f>IF('[2]BASE'!D84=0,"",'[1]BASE'!D84)</f>
        <v>BOSQUES - QUILMES 1 </v>
      </c>
      <c r="E83" s="490">
        <f>IF('[2]BASE'!E84=0,"",'[1]BASE'!E84)</f>
        <v>511</v>
      </c>
      <c r="F83" s="490" t="str">
        <f>IF('[2]BASE'!F84=0,"",'[1]BASE'!F84)</f>
        <v>L</v>
      </c>
      <c r="G83" s="490">
        <f>IF('[2]BASE'!G84=0,"",'[1]BASE'!G84)</f>
        <v>100</v>
      </c>
      <c r="H83" s="490">
        <f>IF('[2]BASE'!H84=0,"",'[1]BASE'!H84)</f>
        <v>132</v>
      </c>
      <c r="I83" s="490">
        <f>IF('[2]BASE'!I84=0,"",'[1]BASE'!I84)</f>
        <v>29.2</v>
      </c>
      <c r="J83" s="491" t="str">
        <f>IF('[2]BASE'!HS84=0,"",'[2]BASE'!HS84)</f>
        <v>XXXX</v>
      </c>
      <c r="K83" s="491" t="str">
        <f>IF('[2]BASE'!HT84=0,"",'[2]BASE'!HT84)</f>
        <v>XXXX</v>
      </c>
      <c r="L83" s="491" t="str">
        <f>IF('[2]BASE'!HU84=0,"",'[2]BASE'!HU84)</f>
        <v>XXXX</v>
      </c>
      <c r="M83" s="491" t="str">
        <f>IF('[2]BASE'!HV84=0,"",'[2]BASE'!HV84)</f>
        <v>XXXX</v>
      </c>
      <c r="N83" s="491" t="str">
        <f>IF('[2]BASE'!HW84=0,"",'[2]BASE'!HW84)</f>
        <v>XXXX</v>
      </c>
      <c r="O83" s="491" t="str">
        <f>IF('[2]BASE'!HX84=0,"",'[2]BASE'!HX84)</f>
        <v>XXXX</v>
      </c>
      <c r="P83" s="491" t="str">
        <f>IF('[2]BASE'!HY84=0,"",'[2]BASE'!HY84)</f>
        <v>XXXX</v>
      </c>
      <c r="Q83" s="491" t="str">
        <f>IF('[2]BASE'!HZ84=0,"",'[2]BASE'!HZ84)</f>
        <v>XXXX</v>
      </c>
      <c r="R83" s="491" t="str">
        <f>IF('[2]BASE'!IA84=0,"",'[2]BASE'!IA84)</f>
        <v>XXXX</v>
      </c>
      <c r="S83" s="491" t="str">
        <f>IF('[2]BASE'!IB84=0,"",'[2]BASE'!IB84)</f>
        <v>XXXX</v>
      </c>
      <c r="T83" s="491" t="str">
        <f>IF('[2]BASE'!IC84=0,"",'[2]BASE'!IC84)</f>
        <v>XXXX</v>
      </c>
      <c r="U83" s="491" t="str">
        <f>IF('[2]BASE'!ID84=0,"",'[2]BASE'!ID84)</f>
        <v>XXXX</v>
      </c>
      <c r="V83" s="493"/>
      <c r="W83" s="489"/>
    </row>
    <row r="84" spans="2:23" s="483" customFormat="1" ht="15.75" customHeight="1">
      <c r="B84" s="484"/>
      <c r="C84" s="490">
        <f>IF('[2]BASE'!C85=0,"",'[1]BASE'!C85)</f>
        <v>51</v>
      </c>
      <c r="D84" s="490" t="str">
        <f>IF('[2]BASE'!D85=0,"",'[1]BASE'!D85)</f>
        <v>BOSQUES - QUILMES 2 </v>
      </c>
      <c r="E84" s="490">
        <f>IF('[2]BASE'!E85=0,"",'[1]BASE'!E85)</f>
        <v>512</v>
      </c>
      <c r="F84" s="490" t="str">
        <f>IF('[2]BASE'!F85=0,"",'[1]BASE'!F85)</f>
        <v>L</v>
      </c>
      <c r="G84" s="490">
        <f>IF('[2]BASE'!G85=0,"",'[1]BASE'!G85)</f>
        <v>100</v>
      </c>
      <c r="H84" s="490">
        <f>IF('[2]BASE'!H85=0,"",'[1]BASE'!H85)</f>
        <v>132</v>
      </c>
      <c r="I84" s="490">
        <f>IF('[2]BASE'!I85=0,"",'[1]BASE'!I85)</f>
        <v>28.6</v>
      </c>
      <c r="J84" s="491" t="str">
        <f>IF('[2]BASE'!HS85=0,"",'[2]BASE'!HS85)</f>
        <v>XXXX</v>
      </c>
      <c r="K84" s="491" t="str">
        <f>IF('[2]BASE'!HT85=0,"",'[2]BASE'!HT85)</f>
        <v>XXXX</v>
      </c>
      <c r="L84" s="491" t="str">
        <f>IF('[2]BASE'!HU85=0,"",'[2]BASE'!HU85)</f>
        <v>XXXX</v>
      </c>
      <c r="M84" s="491" t="str">
        <f>IF('[2]BASE'!HV85=0,"",'[2]BASE'!HV85)</f>
        <v>XXXX</v>
      </c>
      <c r="N84" s="491" t="str">
        <f>IF('[2]BASE'!HW85=0,"",'[2]BASE'!HW85)</f>
        <v>XXXX</v>
      </c>
      <c r="O84" s="491" t="str">
        <f>IF('[2]BASE'!HX85=0,"",'[2]BASE'!HX85)</f>
        <v>XXXX</v>
      </c>
      <c r="P84" s="491" t="str">
        <f>IF('[2]BASE'!HY85=0,"",'[2]BASE'!HY85)</f>
        <v>XXXX</v>
      </c>
      <c r="Q84" s="491" t="str">
        <f>IF('[2]BASE'!HZ85=0,"",'[2]BASE'!HZ85)</f>
        <v>XXXX</v>
      </c>
      <c r="R84" s="491" t="str">
        <f>IF('[2]BASE'!IA85=0,"",'[2]BASE'!IA85)</f>
        <v>XXXX</v>
      </c>
      <c r="S84" s="491" t="str">
        <f>IF('[2]BASE'!IB85=0,"",'[2]BASE'!IB85)</f>
        <v>XXXX</v>
      </c>
      <c r="T84" s="491" t="str">
        <f>IF('[2]BASE'!IC85=0,"",'[2]BASE'!IC85)</f>
        <v>XXXX</v>
      </c>
      <c r="U84" s="491" t="str">
        <f>IF('[2]BASE'!ID85=0,"",'[2]BASE'!ID85)</f>
        <v>XXXX</v>
      </c>
      <c r="V84" s="493"/>
      <c r="W84" s="489"/>
    </row>
    <row r="85" spans="2:23" s="483" customFormat="1" ht="15.75" customHeight="1">
      <c r="B85" s="484"/>
      <c r="C85" s="490">
        <f>IF('[2]BASE'!C86=0,"",'[1]BASE'!C86)</f>
        <v>92</v>
      </c>
      <c r="D85" s="490" t="str">
        <f>IF('[2]BASE'!D86=0,"",'[1]BASE'!D86)</f>
        <v>BOSQUES - QUILMES 1 </v>
      </c>
      <c r="E85" s="490">
        <f>IF('[2]BASE'!E86=0,"",'[1]BASE'!E86)</f>
        <v>511</v>
      </c>
      <c r="F85" s="490" t="str">
        <f>IF('[2]BASE'!F86=0,"",'[1]BASE'!F86)</f>
        <v>L</v>
      </c>
      <c r="G85" s="490">
        <f>IF('[2]BASE'!G86=0,"",'[1]BASE'!G86)</f>
        <v>100</v>
      </c>
      <c r="H85" s="490">
        <f>IF('[2]BASE'!H86=0,"",'[1]BASE'!H86)</f>
        <v>132</v>
      </c>
      <c r="I85" s="490">
        <f>IF('[2]BASE'!I86=0,"",'[1]BASE'!I86)</f>
        <v>17.4</v>
      </c>
      <c r="J85" s="491">
        <f>IF('[2]BASE'!HS86=0,"",'[2]BASE'!HS86)</f>
        <v>1</v>
      </c>
      <c r="K85" s="491">
        <f>IF('[2]BASE'!HT86=0,"",'[2]BASE'!HT86)</f>
      </c>
      <c r="L85" s="491">
        <f>IF('[2]BASE'!HU86=0,"",'[2]BASE'!HU86)</f>
      </c>
      <c r="M85" s="491">
        <f>IF('[2]BASE'!HV86=0,"",'[2]BASE'!HV86)</f>
      </c>
      <c r="N85" s="491">
        <f>IF('[2]BASE'!HW86=0,"",'[2]BASE'!HW86)</f>
        <v>1</v>
      </c>
      <c r="O85" s="491">
        <f>IF('[2]BASE'!HX86=0,"",'[2]BASE'!HX86)</f>
        <v>1</v>
      </c>
      <c r="P85" s="491">
        <f>IF('[2]BASE'!HY86=0,"",'[2]BASE'!HY86)</f>
        <v>1</v>
      </c>
      <c r="Q85" s="491">
        <f>IF('[2]BASE'!HZ86=0,"",'[2]BASE'!HZ86)</f>
        <v>1</v>
      </c>
      <c r="R85" s="491">
        <f>IF('[2]BASE'!IA86=0,"",'[2]BASE'!IA86)</f>
      </c>
      <c r="S85" s="491">
        <f>IF('[2]BASE'!IB86=0,"",'[2]BASE'!IB86)</f>
      </c>
      <c r="T85" s="491">
        <f>IF('[2]BASE'!IC86=0,"",'[2]BASE'!IC86)</f>
      </c>
      <c r="U85" s="491">
        <f>IF('[2]BASE'!ID86=0,"",'[2]BASE'!ID86)</f>
      </c>
      <c r="V85" s="493"/>
      <c r="W85" s="489"/>
    </row>
    <row r="86" spans="2:23" s="483" customFormat="1" ht="15.75" customHeight="1">
      <c r="B86" s="484"/>
      <c r="C86" s="490">
        <f>IF('[2]BASE'!C87=0,"",'[1]BASE'!C87)</f>
        <v>93</v>
      </c>
      <c r="D86" s="490" t="str">
        <f>IF('[2]BASE'!D87=0,"",'[1]BASE'!D87)</f>
        <v>BOSQUES - QUILMES 2 </v>
      </c>
      <c r="E86" s="490">
        <f>IF('[2]BASE'!E87=0,"",'[1]BASE'!E87)</f>
        <v>512</v>
      </c>
      <c r="F86" s="490" t="str">
        <f>IF('[2]BASE'!F87=0,"",'[1]BASE'!F87)</f>
        <v>L</v>
      </c>
      <c r="G86" s="490">
        <f>IF('[2]BASE'!G87=0,"",'[1]BASE'!G87)</f>
        <v>100</v>
      </c>
      <c r="H86" s="490">
        <f>IF('[2]BASE'!H87=0,"",'[1]BASE'!H87)</f>
        <v>132</v>
      </c>
      <c r="I86" s="490">
        <f>IF('[2]BASE'!I87=0,"",'[1]BASE'!I87)</f>
        <v>16.8</v>
      </c>
      <c r="J86" s="491">
        <f>IF('[2]BASE'!HS87=0,"",'[2]BASE'!HS87)</f>
        <v>1</v>
      </c>
      <c r="K86" s="491">
        <f>IF('[2]BASE'!HT87=0,"",'[2]BASE'!HT87)</f>
      </c>
      <c r="L86" s="491">
        <f>IF('[2]BASE'!HU87=0,"",'[2]BASE'!HU87)</f>
      </c>
      <c r="M86" s="491">
        <f>IF('[2]BASE'!HV87=0,"",'[2]BASE'!HV87)</f>
      </c>
      <c r="N86" s="491">
        <f>IF('[2]BASE'!HW87=0,"",'[2]BASE'!HW87)</f>
        <v>1</v>
      </c>
      <c r="O86" s="491">
        <f>IF('[2]BASE'!HX87=0,"",'[2]BASE'!HX87)</f>
      </c>
      <c r="P86" s="491">
        <f>IF('[2]BASE'!HY87=0,"",'[2]BASE'!HY87)</f>
      </c>
      <c r="Q86" s="491">
        <f>IF('[2]BASE'!HZ87=0,"",'[2]BASE'!HZ87)</f>
      </c>
      <c r="R86" s="491">
        <f>IF('[2]BASE'!IA87=0,"",'[2]BASE'!IA87)</f>
        <v>1</v>
      </c>
      <c r="S86" s="491">
        <f>IF('[2]BASE'!IB87=0,"",'[2]BASE'!IB87)</f>
      </c>
      <c r="T86" s="491">
        <f>IF('[2]BASE'!IC87=0,"",'[2]BASE'!IC87)</f>
      </c>
      <c r="U86" s="491">
        <f>IF('[2]BASE'!ID87=0,"",'[2]BASE'!ID87)</f>
        <v>1</v>
      </c>
      <c r="V86" s="493"/>
      <c r="W86" s="489"/>
    </row>
    <row r="87" spans="2:23" s="483" customFormat="1" ht="15.75" customHeight="1">
      <c r="B87" s="484"/>
      <c r="C87" s="490">
        <f>IF('[2]BASE'!C88=0,"",'[1]BASE'!C88)</f>
        <v>74</v>
      </c>
      <c r="D87" s="490" t="str">
        <f>IF('[2]BASE'!D88=0,"",'[1]BASE'!D88)</f>
        <v>EZEIZA - SPEGAZZINI 1</v>
      </c>
      <c r="E87" s="490">
        <f>IF('[2]BASE'!E88=0,"",'[1]BASE'!E88)</f>
        <v>545</v>
      </c>
      <c r="F87" s="490" t="str">
        <f>IF('[2]BASE'!F88=0,"",'[1]BASE'!F88)</f>
        <v>L</v>
      </c>
      <c r="G87" s="490">
        <f>IF('[2]BASE'!G88=0,"",'[1]BASE'!G88)</f>
        <v>100</v>
      </c>
      <c r="H87" s="490">
        <f>IF('[2]BASE'!H88=0,"",'[1]BASE'!H88)</f>
        <v>132</v>
      </c>
      <c r="I87" s="490">
        <f>IF('[2]BASE'!I88=0,"",'[1]BASE'!I88)</f>
        <v>12.6</v>
      </c>
      <c r="J87" s="491">
        <f>IF('[2]BASE'!HS88=0,"",'[2]BASE'!HS88)</f>
        <v>1</v>
      </c>
      <c r="K87" s="491">
        <f>IF('[2]BASE'!HT88=0,"",'[2]BASE'!HT88)</f>
      </c>
      <c r="L87" s="491">
        <f>IF('[2]BASE'!HU88=0,"",'[2]BASE'!HU88)</f>
      </c>
      <c r="M87" s="491">
        <f>IF('[2]BASE'!HV88=0,"",'[2]BASE'!HV88)</f>
      </c>
      <c r="N87" s="491">
        <f>IF('[2]BASE'!HW88=0,"",'[2]BASE'!HW88)</f>
      </c>
      <c r="O87" s="491">
        <f>IF('[2]BASE'!HX88=0,"",'[2]BASE'!HX88)</f>
      </c>
      <c r="P87" s="491">
        <f>IF('[2]BASE'!HY88=0,"",'[2]BASE'!HY88)</f>
      </c>
      <c r="Q87" s="491">
        <f>IF('[2]BASE'!HZ88=0,"",'[2]BASE'!HZ88)</f>
      </c>
      <c r="R87" s="491">
        <f>IF('[2]BASE'!IA88=0,"",'[2]BASE'!IA88)</f>
        <v>1</v>
      </c>
      <c r="S87" s="491">
        <f>IF('[2]BASE'!IB88=0,"",'[2]BASE'!IB88)</f>
      </c>
      <c r="T87" s="491">
        <f>IF('[2]BASE'!IC88=0,"",'[2]BASE'!IC88)</f>
      </c>
      <c r="U87" s="491">
        <f>IF('[2]BASE'!ID88=0,"",'[2]BASE'!ID88)</f>
      </c>
      <c r="V87" s="493"/>
      <c r="W87" s="489"/>
    </row>
    <row r="88" spans="2:23" s="483" customFormat="1" ht="15.75" customHeight="1">
      <c r="B88" s="484"/>
      <c r="C88" s="490">
        <f>IF('[2]BASE'!C89=0,"",'[1]BASE'!C89)</f>
        <v>75</v>
      </c>
      <c r="D88" s="490" t="str">
        <f>IF('[2]BASE'!D89=0,"",'[1]BASE'!D89)</f>
        <v>EZEIZA - SPEGAZZINI 2</v>
      </c>
      <c r="E88" s="490">
        <f>IF('[2]BASE'!E89=0,"",'[1]BASE'!E89)</f>
        <v>546</v>
      </c>
      <c r="F88" s="490" t="str">
        <f>IF('[2]BASE'!F89=0,"",'[1]BASE'!F89)</f>
        <v>L</v>
      </c>
      <c r="G88" s="490">
        <f>IF('[2]BASE'!G89=0,"",'[1]BASE'!G89)</f>
        <v>100</v>
      </c>
      <c r="H88" s="490">
        <f>IF('[2]BASE'!H89=0,"",'[1]BASE'!H89)</f>
        <v>132</v>
      </c>
      <c r="I88" s="490">
        <f>IF('[2]BASE'!I89=0,"",'[1]BASE'!I89)</f>
        <v>12.6</v>
      </c>
      <c r="J88" s="491">
        <f>IF('[2]BASE'!HS89=0,"",'[2]BASE'!HS89)</f>
      </c>
      <c r="K88" s="491">
        <f>IF('[2]BASE'!HT89=0,"",'[2]BASE'!HT89)</f>
      </c>
      <c r="L88" s="491">
        <f>IF('[2]BASE'!HU89=0,"",'[2]BASE'!HU89)</f>
        <v>1</v>
      </c>
      <c r="M88" s="491">
        <f>IF('[2]BASE'!HV89=0,"",'[2]BASE'!HV89)</f>
      </c>
      <c r="N88" s="491">
        <f>IF('[2]BASE'!HW89=0,"",'[2]BASE'!HW89)</f>
      </c>
      <c r="O88" s="491">
        <f>IF('[2]BASE'!HX89=0,"",'[2]BASE'!HX89)</f>
      </c>
      <c r="P88" s="491">
        <f>IF('[2]BASE'!HY89=0,"",'[2]BASE'!HY89)</f>
      </c>
      <c r="Q88" s="491">
        <f>IF('[2]BASE'!HZ89=0,"",'[2]BASE'!HZ89)</f>
      </c>
      <c r="R88" s="491">
        <f>IF('[2]BASE'!IA89=0,"",'[2]BASE'!IA89)</f>
        <v>1</v>
      </c>
      <c r="S88" s="491">
        <f>IF('[2]BASE'!IB89=0,"",'[2]BASE'!IB89)</f>
        <v>1</v>
      </c>
      <c r="T88" s="491">
        <f>IF('[2]BASE'!IC89=0,"",'[2]BASE'!IC89)</f>
        <v>1</v>
      </c>
      <c r="U88" s="491">
        <f>IF('[2]BASE'!ID89=0,"",'[2]BASE'!ID89)</f>
        <v>1</v>
      </c>
      <c r="V88" s="493"/>
      <c r="W88" s="489"/>
    </row>
    <row r="89" spans="2:23" s="483" customFormat="1" ht="15.75" customHeight="1">
      <c r="B89" s="484"/>
      <c r="C89" s="490">
        <f>IF('[2]BASE'!C90=0,"",'[1]BASE'!C90)</f>
        <v>94</v>
      </c>
      <c r="D89" s="490" t="str">
        <f>IF('[2]BASE'!D90=0,"",'[1]BASE'!D90)</f>
        <v>ALTE. BROWN - GLEW 1 </v>
      </c>
      <c r="E89" s="490">
        <f>IF('[2]BASE'!E90=0,"",'[1]BASE'!E90)</f>
        <v>547</v>
      </c>
      <c r="F89" s="490" t="str">
        <f>IF('[2]BASE'!F90=0,"",'[1]BASE'!F90)</f>
        <v>C</v>
      </c>
      <c r="G89" s="490">
        <f>IF('[2]BASE'!G90=0,"",'[1]BASE'!G90)</f>
      </c>
      <c r="H89" s="490">
        <f>IF('[2]BASE'!H90=0,"",'[1]BASE'!H90)</f>
        <v>132</v>
      </c>
      <c r="I89" s="490">
        <f>IF('[2]BASE'!I90=0,"",'[1]BASE'!I90)</f>
        <v>7.5</v>
      </c>
      <c r="J89" s="491">
        <f>IF('[2]BASE'!HS90=0,"",'[2]BASE'!HS90)</f>
      </c>
      <c r="K89" s="491">
        <f>IF('[2]BASE'!HT90=0,"",'[2]BASE'!HT90)</f>
      </c>
      <c r="L89" s="491">
        <f>IF('[2]BASE'!HU90=0,"",'[2]BASE'!HU90)</f>
      </c>
      <c r="M89" s="491">
        <f>IF('[2]BASE'!HV90=0,"",'[2]BASE'!HV90)</f>
      </c>
      <c r="N89" s="491">
        <f>IF('[2]BASE'!HW90=0,"",'[2]BASE'!HW90)</f>
      </c>
      <c r="O89" s="491">
        <f>IF('[2]BASE'!HX90=0,"",'[2]BASE'!HX90)</f>
      </c>
      <c r="P89" s="491">
        <f>IF('[2]BASE'!HY90=0,"",'[2]BASE'!HY90)</f>
      </c>
      <c r="Q89" s="491">
        <f>IF('[2]BASE'!HZ90=0,"",'[2]BASE'!HZ90)</f>
      </c>
      <c r="R89" s="491">
        <f>IF('[2]BASE'!IA90=0,"",'[2]BASE'!IA90)</f>
      </c>
      <c r="S89" s="491">
        <f>IF('[2]BASE'!IB90=0,"",'[2]BASE'!IB90)</f>
      </c>
      <c r="T89" s="491">
        <f>IF('[2]BASE'!IC90=0,"",'[2]BASE'!IC90)</f>
      </c>
      <c r="U89" s="491">
        <f>IF('[2]BASE'!ID90=0,"",'[2]BASE'!ID90)</f>
      </c>
      <c r="V89" s="493"/>
      <c r="W89" s="489"/>
    </row>
    <row r="90" spans="2:23" s="483" customFormat="1" ht="15.75" customHeight="1">
      <c r="B90" s="484"/>
      <c r="C90" s="490">
        <f>IF('[2]BASE'!C91=0,"",'[1]BASE'!C91)</f>
        <v>95</v>
      </c>
      <c r="D90" s="490" t="str">
        <f>IF('[2]BASE'!D91=0,"",'[1]BASE'!D91)</f>
        <v>ALTE. BROWN - GLEW 2 </v>
      </c>
      <c r="E90" s="490">
        <f>IF('[2]BASE'!E91=0,"",'[1]BASE'!E91)</f>
        <v>548</v>
      </c>
      <c r="F90" s="490" t="str">
        <f>IF('[2]BASE'!F91=0,"",'[1]BASE'!F91)</f>
        <v>C</v>
      </c>
      <c r="G90" s="490">
        <f>IF('[2]BASE'!G91=0,"",'[1]BASE'!G91)</f>
      </c>
      <c r="H90" s="490">
        <f>IF('[2]BASE'!H91=0,"",'[1]BASE'!H91)</f>
        <v>132</v>
      </c>
      <c r="I90" s="490">
        <f>IF('[2]BASE'!I91=0,"",'[1]BASE'!I91)</f>
        <v>7.5</v>
      </c>
      <c r="J90" s="491">
        <f>IF('[2]BASE'!HS91=0,"",'[2]BASE'!HS91)</f>
      </c>
      <c r="K90" s="491">
        <f>IF('[2]BASE'!HT91=0,"",'[2]BASE'!HT91)</f>
      </c>
      <c r="L90" s="491">
        <f>IF('[2]BASE'!HU91=0,"",'[2]BASE'!HU91)</f>
      </c>
      <c r="M90" s="491">
        <f>IF('[2]BASE'!HV91=0,"",'[2]BASE'!HV91)</f>
      </c>
      <c r="N90" s="491">
        <f>IF('[2]BASE'!HW91=0,"",'[2]BASE'!HW91)</f>
      </c>
      <c r="O90" s="491">
        <f>IF('[2]BASE'!HX91=0,"",'[2]BASE'!HX91)</f>
      </c>
      <c r="P90" s="491">
        <f>IF('[2]BASE'!HY91=0,"",'[2]BASE'!HY91)</f>
      </c>
      <c r="Q90" s="491">
        <f>IF('[2]BASE'!HZ91=0,"",'[2]BASE'!HZ91)</f>
      </c>
      <c r="R90" s="491">
        <f>IF('[2]BASE'!IA91=0,"",'[2]BASE'!IA91)</f>
      </c>
      <c r="S90" s="491">
        <f>IF('[2]BASE'!IB91=0,"",'[2]BASE'!IB91)</f>
      </c>
      <c r="T90" s="491">
        <f>IF('[2]BASE'!IC91=0,"",'[2]BASE'!IC91)</f>
      </c>
      <c r="U90" s="491">
        <f>IF('[2]BASE'!ID91=0,"",'[2]BASE'!ID91)</f>
      </c>
      <c r="V90" s="493"/>
      <c r="W90" s="489"/>
    </row>
    <row r="91" spans="2:23" s="483" customFormat="1" ht="15.75" customHeight="1">
      <c r="B91" s="484"/>
      <c r="C91" s="490">
        <f>IF('[2]BASE'!C92=0,"",'[1]BASE'!C92)</f>
        <v>52</v>
      </c>
      <c r="D91" s="490" t="str">
        <f>IF('[2]BASE'!D92=0,"",'[1]BASE'!D92)</f>
        <v>BOSQUES - MONTE CHINGOLO 1 </v>
      </c>
      <c r="E91" s="490">
        <f>IF('[2]BASE'!E92=0,"",'[1]BASE'!E92)</f>
        <v>553</v>
      </c>
      <c r="F91" s="490" t="str">
        <f>IF('[2]BASE'!F92=0,"",'[1]BASE'!F92)</f>
        <v>L</v>
      </c>
      <c r="G91" s="490">
        <f>IF('[2]BASE'!G92=0,"",'[1]BASE'!G92)</f>
        <v>100</v>
      </c>
      <c r="H91" s="490">
        <f>IF('[2]BASE'!H92=0,"",'[1]BASE'!H92)</f>
        <v>132</v>
      </c>
      <c r="I91" s="490">
        <f>IF('[2]BASE'!I92=0,"",'[1]BASE'!I92)</f>
        <v>20.6</v>
      </c>
      <c r="J91" s="491">
        <f>IF('[2]BASE'!HS92=0,"",'[2]BASE'!HS92)</f>
      </c>
      <c r="K91" s="491">
        <f>IF('[2]BASE'!HT92=0,"",'[2]BASE'!HT92)</f>
      </c>
      <c r="L91" s="491">
        <f>IF('[2]BASE'!HU92=0,"",'[2]BASE'!HU92)</f>
      </c>
      <c r="M91" s="491">
        <f>IF('[2]BASE'!HV92=0,"",'[2]BASE'!HV92)</f>
      </c>
      <c r="N91" s="491">
        <f>IF('[2]BASE'!HW92=0,"",'[2]BASE'!HW92)</f>
        <v>1</v>
      </c>
      <c r="O91" s="491">
        <f>IF('[2]BASE'!HX92=0,"",'[2]BASE'!HX92)</f>
      </c>
      <c r="P91" s="491">
        <f>IF('[2]BASE'!HY92=0,"",'[2]BASE'!HY92)</f>
      </c>
      <c r="Q91" s="491">
        <f>IF('[2]BASE'!HZ92=0,"",'[2]BASE'!HZ92)</f>
      </c>
      <c r="R91" s="491">
        <f>IF('[2]BASE'!IA92=0,"",'[2]BASE'!IA92)</f>
      </c>
      <c r="S91" s="491">
        <f>IF('[2]BASE'!IB92=0,"",'[2]BASE'!IB92)</f>
      </c>
      <c r="T91" s="491">
        <f>IF('[2]BASE'!IC92=0,"",'[2]BASE'!IC92)</f>
      </c>
      <c r="U91" s="491">
        <f>IF('[2]BASE'!ID92=0,"",'[2]BASE'!ID92)</f>
      </c>
      <c r="V91" s="493"/>
      <c r="W91" s="489"/>
    </row>
    <row r="92" spans="2:23" s="483" customFormat="1" ht="15.75" customHeight="1">
      <c r="B92" s="484"/>
      <c r="C92" s="490">
        <f>IF('[2]BASE'!C93=0,"",'[1]BASE'!C93)</f>
        <v>53</v>
      </c>
      <c r="D92" s="490" t="str">
        <f>IF('[2]BASE'!D93=0,"",'[1]BASE'!D93)</f>
        <v>BOSQUES - MONTE CHINGOLO 2 </v>
      </c>
      <c r="E92" s="490">
        <f>IF('[2]BASE'!E93=0,"",'[1]BASE'!E93)</f>
        <v>554</v>
      </c>
      <c r="F92" s="490" t="str">
        <f>IF('[2]BASE'!F93=0,"",'[1]BASE'!F93)</f>
        <v>L</v>
      </c>
      <c r="G92" s="490">
        <f>IF('[2]BASE'!G93=0,"",'[1]BASE'!G93)</f>
        <v>100</v>
      </c>
      <c r="H92" s="490">
        <f>IF('[2]BASE'!H93=0,"",'[1]BASE'!H93)</f>
        <v>132</v>
      </c>
      <c r="I92" s="490">
        <f>IF('[2]BASE'!I93=0,"",'[1]BASE'!I93)</f>
        <v>20.4</v>
      </c>
      <c r="J92" s="491">
        <f>IF('[2]BASE'!HS93=0,"",'[2]BASE'!HS93)</f>
      </c>
      <c r="K92" s="491">
        <f>IF('[2]BASE'!HT93=0,"",'[2]BASE'!HT93)</f>
      </c>
      <c r="L92" s="491">
        <f>IF('[2]BASE'!HU93=0,"",'[2]BASE'!HU93)</f>
      </c>
      <c r="M92" s="491">
        <f>IF('[2]BASE'!HV93=0,"",'[2]BASE'!HV93)</f>
      </c>
      <c r="N92" s="491">
        <f>IF('[2]BASE'!HW93=0,"",'[2]BASE'!HW93)</f>
        <v>1</v>
      </c>
      <c r="O92" s="491">
        <f>IF('[2]BASE'!HX93=0,"",'[2]BASE'!HX93)</f>
      </c>
      <c r="P92" s="491">
        <f>IF('[2]BASE'!HY93=0,"",'[2]BASE'!HY93)</f>
      </c>
      <c r="Q92" s="491">
        <f>IF('[2]BASE'!HZ93=0,"",'[2]BASE'!HZ93)</f>
      </c>
      <c r="R92" s="491">
        <f>IF('[2]BASE'!IA93=0,"",'[2]BASE'!IA93)</f>
      </c>
      <c r="S92" s="491">
        <f>IF('[2]BASE'!IB93=0,"",'[2]BASE'!IB93)</f>
      </c>
      <c r="T92" s="491">
        <f>IF('[2]BASE'!IC93=0,"",'[2]BASE'!IC93)</f>
      </c>
      <c r="U92" s="491">
        <f>IF('[2]BASE'!ID93=0,"",'[2]BASE'!ID93)</f>
      </c>
      <c r="V92" s="493"/>
      <c r="W92" s="489"/>
    </row>
    <row r="93" spans="2:23" s="483" customFormat="1" ht="15.75" customHeight="1">
      <c r="B93" s="484"/>
      <c r="C93" s="490">
        <f>IF('[2]BASE'!C94=0,"",'[1]BASE'!C94)</f>
        <v>54</v>
      </c>
      <c r="D93" s="490" t="str">
        <f>IF('[2]BASE'!D94=0,"",'[1]BASE'!D94)</f>
        <v>ESCALADA - GERLI 1</v>
      </c>
      <c r="E93" s="490">
        <f>IF('[2]BASE'!E94=0,"",'[1]BASE'!E94)</f>
        <v>555</v>
      </c>
      <c r="F93" s="490" t="str">
        <f>IF('[2]BASE'!F94=0,"",'[1]BASE'!F94)</f>
        <v>C</v>
      </c>
      <c r="G93" s="490">
        <f>IF('[2]BASE'!G94=0,"",'[1]BASE'!G94)</f>
      </c>
      <c r="H93" s="490">
        <f>IF('[2]BASE'!H94=0,"",'[1]BASE'!H94)</f>
        <v>132</v>
      </c>
      <c r="I93" s="490">
        <f>IF('[2]BASE'!I94=0,"",'[1]BASE'!I94)</f>
        <v>4.8</v>
      </c>
      <c r="J93" s="491">
        <f>IF('[2]BASE'!HS94=0,"",'[2]BASE'!HS94)</f>
      </c>
      <c r="K93" s="491">
        <f>IF('[2]BASE'!HT94=0,"",'[2]BASE'!HT94)</f>
      </c>
      <c r="L93" s="491">
        <f>IF('[2]BASE'!HU94=0,"",'[2]BASE'!HU94)</f>
      </c>
      <c r="M93" s="491">
        <f>IF('[2]BASE'!HV94=0,"",'[2]BASE'!HV94)</f>
      </c>
      <c r="N93" s="491">
        <f>IF('[2]BASE'!HW94=0,"",'[2]BASE'!HW94)</f>
      </c>
      <c r="O93" s="491">
        <f>IF('[2]BASE'!HX94=0,"",'[2]BASE'!HX94)</f>
      </c>
      <c r="P93" s="491">
        <f>IF('[2]BASE'!HY94=0,"",'[2]BASE'!HY94)</f>
      </c>
      <c r="Q93" s="491">
        <f>IF('[2]BASE'!HZ94=0,"",'[2]BASE'!HZ94)</f>
      </c>
      <c r="R93" s="491">
        <f>IF('[2]BASE'!IA94=0,"",'[2]BASE'!IA94)</f>
      </c>
      <c r="S93" s="491">
        <f>IF('[2]BASE'!IB94=0,"",'[2]BASE'!IB94)</f>
      </c>
      <c r="T93" s="491">
        <f>IF('[2]BASE'!IC94=0,"",'[2]BASE'!IC94)</f>
      </c>
      <c r="U93" s="491">
        <f>IF('[2]BASE'!ID94=0,"",'[2]BASE'!ID94)</f>
        <v>1</v>
      </c>
      <c r="V93" s="493"/>
      <c r="W93" s="489"/>
    </row>
    <row r="94" spans="2:23" s="483" customFormat="1" ht="15.75" customHeight="1">
      <c r="B94" s="484"/>
      <c r="C94" s="490">
        <f>IF('[2]BASE'!C95=0,"",'[1]BASE'!C95)</f>
        <v>55</v>
      </c>
      <c r="D94" s="490" t="str">
        <f>IF('[2]BASE'!D95=0,"",'[1]BASE'!D95)</f>
        <v>ESCALADA - GERLI 2 </v>
      </c>
      <c r="E94" s="490">
        <f>IF('[2]BASE'!E95=0,"",'[1]BASE'!E95)</f>
        <v>556</v>
      </c>
      <c r="F94" s="490" t="str">
        <f>IF('[2]BASE'!F95=0,"",'[1]BASE'!F95)</f>
        <v>C</v>
      </c>
      <c r="G94" s="490">
        <f>IF('[2]BASE'!G95=0,"",'[1]BASE'!G95)</f>
      </c>
      <c r="H94" s="490">
        <f>IF('[2]BASE'!H95=0,"",'[1]BASE'!H95)</f>
        <v>132</v>
      </c>
      <c r="I94" s="490">
        <f>IF('[2]BASE'!I95=0,"",'[1]BASE'!I95)</f>
        <v>4.8</v>
      </c>
      <c r="J94" s="491">
        <f>IF('[2]BASE'!HS95=0,"",'[2]BASE'!HS95)</f>
      </c>
      <c r="K94" s="491">
        <f>IF('[2]BASE'!HT95=0,"",'[2]BASE'!HT95)</f>
      </c>
      <c r="L94" s="491">
        <f>IF('[2]BASE'!HU95=0,"",'[2]BASE'!HU95)</f>
      </c>
      <c r="M94" s="491">
        <f>IF('[2]BASE'!HV95=0,"",'[2]BASE'!HV95)</f>
      </c>
      <c r="N94" s="491">
        <f>IF('[2]BASE'!HW95=0,"",'[2]BASE'!HW95)</f>
      </c>
      <c r="O94" s="491">
        <f>IF('[2]BASE'!HX95=0,"",'[2]BASE'!HX95)</f>
      </c>
      <c r="P94" s="491">
        <f>IF('[2]BASE'!HY95=0,"",'[2]BASE'!HY95)</f>
      </c>
      <c r="Q94" s="491">
        <f>IF('[2]BASE'!HZ95=0,"",'[2]BASE'!HZ95)</f>
      </c>
      <c r="R94" s="491">
        <f>IF('[2]BASE'!IA95=0,"",'[2]BASE'!IA95)</f>
      </c>
      <c r="S94" s="491">
        <f>IF('[2]BASE'!IB95=0,"",'[2]BASE'!IB95)</f>
        <v>1</v>
      </c>
      <c r="T94" s="491">
        <f>IF('[2]BASE'!IC95=0,"",'[2]BASE'!IC95)</f>
      </c>
      <c r="U94" s="491">
        <f>IF('[2]BASE'!ID95=0,"",'[2]BASE'!ID95)</f>
        <v>1</v>
      </c>
      <c r="V94" s="493"/>
      <c r="W94" s="489"/>
    </row>
    <row r="95" spans="2:23" s="483" customFormat="1" ht="15.75" customHeight="1">
      <c r="B95" s="484"/>
      <c r="C95" s="490">
        <f>IF('[2]BASE'!C96=0,"",'[1]BASE'!C96)</f>
        <v>56</v>
      </c>
      <c r="D95" s="490" t="str">
        <f>IF('[2]BASE'!D96=0,"",'[1]BASE'!D96)</f>
        <v>CORINA - ESCALADA </v>
      </c>
      <c r="E95" s="490">
        <f>IF('[2]BASE'!E96=0,"",'[1]BASE'!E96)</f>
        <v>574</v>
      </c>
      <c r="F95" s="490" t="str">
        <f>IF('[2]BASE'!F96=0,"",'[1]BASE'!F96)</f>
        <v>C</v>
      </c>
      <c r="G95" s="490">
        <f>IF('[2]BASE'!G96=0,"",'[1]BASE'!G96)</f>
      </c>
      <c r="H95" s="490">
        <f>IF('[2]BASE'!H96=0,"",'[1]BASE'!H96)</f>
        <v>132</v>
      </c>
      <c r="I95" s="490">
        <f>IF('[2]BASE'!I96=0,"",'[1]BASE'!I96)</f>
        <v>3.6</v>
      </c>
      <c r="J95" s="491">
        <f>IF('[2]BASE'!HS96=0,"",'[2]BASE'!HS96)</f>
      </c>
      <c r="K95" s="491">
        <f>IF('[2]BASE'!HT96=0,"",'[2]BASE'!HT96)</f>
      </c>
      <c r="L95" s="491">
        <f>IF('[2]BASE'!HU96=0,"",'[2]BASE'!HU96)</f>
      </c>
      <c r="M95" s="491">
        <f>IF('[2]BASE'!HV96=0,"",'[2]BASE'!HV96)</f>
      </c>
      <c r="N95" s="491">
        <f>IF('[2]BASE'!HW96=0,"",'[2]BASE'!HW96)</f>
      </c>
      <c r="O95" s="491">
        <f>IF('[2]BASE'!HX96=0,"",'[2]BASE'!HX96)</f>
      </c>
      <c r="P95" s="491">
        <f>IF('[2]BASE'!HY96=0,"",'[2]BASE'!HY96)</f>
      </c>
      <c r="Q95" s="491">
        <f>IF('[2]BASE'!HZ96=0,"",'[2]BASE'!HZ96)</f>
      </c>
      <c r="R95" s="491">
        <f>IF('[2]BASE'!IA96=0,"",'[2]BASE'!IA96)</f>
      </c>
      <c r="S95" s="491">
        <f>IF('[2]BASE'!IB96=0,"",'[2]BASE'!IB96)</f>
      </c>
      <c r="T95" s="491">
        <f>IF('[2]BASE'!IC96=0,"",'[2]BASE'!IC96)</f>
      </c>
      <c r="U95" s="491">
        <f>IF('[2]BASE'!ID96=0,"",'[2]BASE'!ID96)</f>
      </c>
      <c r="V95" s="493"/>
      <c r="W95" s="489"/>
    </row>
    <row r="96" spans="2:23" s="483" customFormat="1" ht="15.75" customHeight="1">
      <c r="B96" s="484"/>
      <c r="C96" s="490">
        <f>IF('[2]BASE'!C97=0,"",'[1]BASE'!C97)</f>
        <v>57</v>
      </c>
      <c r="D96" s="490" t="str">
        <f>IF('[2]BASE'!D97=0,"",'[1]BASE'!D97)</f>
        <v>V. ALSINA - 9 DE JULIO </v>
      </c>
      <c r="E96" s="490">
        <f>IF('[2]BASE'!E97=0,"",'[1]BASE'!E97)</f>
        <v>577</v>
      </c>
      <c r="F96" s="490" t="str">
        <f>IF('[2]BASE'!F97=0,"",'[1]BASE'!F97)</f>
        <v>C</v>
      </c>
      <c r="G96" s="490">
        <f>IF('[2]BASE'!G97=0,"",'[1]BASE'!G97)</f>
      </c>
      <c r="H96" s="490">
        <f>IF('[2]BASE'!H97=0,"",'[1]BASE'!H97)</f>
        <v>132</v>
      </c>
      <c r="I96" s="490">
        <f>IF('[2]BASE'!I97=0,"",'[1]BASE'!I97)</f>
        <v>8.1</v>
      </c>
      <c r="J96" s="491">
        <f>IF('[2]BASE'!HS97=0,"",'[2]BASE'!HS97)</f>
      </c>
      <c r="K96" s="491">
        <f>IF('[2]BASE'!HT97=0,"",'[2]BASE'!HT97)</f>
      </c>
      <c r="L96" s="491">
        <f>IF('[2]BASE'!HU97=0,"",'[2]BASE'!HU97)</f>
      </c>
      <c r="M96" s="491">
        <f>IF('[2]BASE'!HV97=0,"",'[2]BASE'!HV97)</f>
      </c>
      <c r="N96" s="491">
        <f>IF('[2]BASE'!HW97=0,"",'[2]BASE'!HW97)</f>
      </c>
      <c r="O96" s="491">
        <f>IF('[2]BASE'!HX97=0,"",'[2]BASE'!HX97)</f>
      </c>
      <c r="P96" s="491">
        <f>IF('[2]BASE'!HY97=0,"",'[2]BASE'!HY97)</f>
        <v>1</v>
      </c>
      <c r="Q96" s="491">
        <f>IF('[2]BASE'!HZ97=0,"",'[2]BASE'!HZ97)</f>
      </c>
      <c r="R96" s="491">
        <f>IF('[2]BASE'!IA97=0,"",'[2]BASE'!IA97)</f>
      </c>
      <c r="S96" s="491">
        <f>IF('[2]BASE'!IB97=0,"",'[2]BASE'!IB97)</f>
      </c>
      <c r="T96" s="491">
        <f>IF('[2]BASE'!IC97=0,"",'[2]BASE'!IC97)</f>
      </c>
      <c r="U96" s="491">
        <f>IF('[2]BASE'!ID97=0,"",'[2]BASE'!ID97)</f>
      </c>
      <c r="V96" s="493"/>
      <c r="W96" s="489"/>
    </row>
    <row r="97" spans="2:23" s="483" customFormat="1" ht="15.75" customHeight="1">
      <c r="B97" s="484"/>
      <c r="C97" s="490">
        <f>IF('[2]BASE'!C98=0,"",'[1]BASE'!C98)</f>
        <v>58</v>
      </c>
      <c r="D97" s="490" t="str">
        <f>IF('[2]BASE'!D98=0,"",'[1]BASE'!D98)</f>
        <v>V. ALSINA - ESCALADA </v>
      </c>
      <c r="E97" s="490">
        <f>IF('[2]BASE'!E98=0,"",'[1]BASE'!E98)</f>
        <v>578</v>
      </c>
      <c r="F97" s="490" t="str">
        <f>IF('[2]BASE'!F98=0,"",'[1]BASE'!F98)</f>
        <v>C</v>
      </c>
      <c r="G97" s="490">
        <f>IF('[2]BASE'!G98=0,"",'[1]BASE'!G98)</f>
      </c>
      <c r="H97" s="490">
        <f>IF('[2]BASE'!H98=0,"",'[1]BASE'!H98)</f>
        <v>132</v>
      </c>
      <c r="I97" s="490">
        <f>IF('[2]BASE'!I98=0,"",'[1]BASE'!I98)</f>
        <v>6.6</v>
      </c>
      <c r="J97" s="491">
        <f>IF('[2]BASE'!HS98=0,"",'[2]BASE'!HS98)</f>
      </c>
      <c r="K97" s="491">
        <f>IF('[2]BASE'!HT98=0,"",'[2]BASE'!HT98)</f>
      </c>
      <c r="L97" s="491">
        <f>IF('[2]BASE'!HU98=0,"",'[2]BASE'!HU98)</f>
      </c>
      <c r="M97" s="491">
        <f>IF('[2]BASE'!HV98=0,"",'[2]BASE'!HV98)</f>
      </c>
      <c r="N97" s="491">
        <f>IF('[2]BASE'!HW98=0,"",'[2]BASE'!HW98)</f>
      </c>
      <c r="O97" s="491">
        <f>IF('[2]BASE'!HX98=0,"",'[2]BASE'!HX98)</f>
      </c>
      <c r="P97" s="491">
        <f>IF('[2]BASE'!HY98=0,"",'[2]BASE'!HY98)</f>
      </c>
      <c r="Q97" s="491">
        <f>IF('[2]BASE'!HZ98=0,"",'[2]BASE'!HZ98)</f>
      </c>
      <c r="R97" s="491">
        <f>IF('[2]BASE'!IA98=0,"",'[2]BASE'!IA98)</f>
      </c>
      <c r="S97" s="491">
        <f>IF('[2]BASE'!IB98=0,"",'[2]BASE'!IB98)</f>
      </c>
      <c r="T97" s="491">
        <f>IF('[2]BASE'!IC98=0,"",'[2]BASE'!IC98)</f>
      </c>
      <c r="U97" s="491">
        <f>IF('[2]BASE'!ID98=0,"",'[2]BASE'!ID98)</f>
      </c>
      <c r="V97" s="493"/>
      <c r="W97" s="489"/>
    </row>
    <row r="98" spans="2:23" s="483" customFormat="1" ht="15.75" customHeight="1">
      <c r="B98" s="484"/>
      <c r="C98" s="490">
        <f>IF('[2]BASE'!C99=0,"",'[1]BASE'!C99)</f>
        <v>59</v>
      </c>
      <c r="D98" s="490" t="str">
        <f>IF('[2]BASE'!D99=0,"",'[1]BASE'!D99)</f>
        <v>ALTE. BROWN - ESCALADA 1 </v>
      </c>
      <c r="E98" s="490">
        <f>IF('[2]BASE'!E99=0,"",'[1]BASE'!E99)</f>
        <v>579</v>
      </c>
      <c r="F98" s="490" t="str">
        <f>IF('[2]BASE'!F99=0,"",'[1]BASE'!F99)</f>
        <v>C</v>
      </c>
      <c r="G98" s="490">
        <f>IF('[2]BASE'!G99=0,"",'[1]BASE'!G99)</f>
      </c>
      <c r="H98" s="490">
        <f>IF('[2]BASE'!H99=0,"",'[1]BASE'!H99)</f>
        <v>132</v>
      </c>
      <c r="I98" s="490">
        <f>IF('[2]BASE'!I99=0,"",'[1]BASE'!I99)</f>
        <v>16.7</v>
      </c>
      <c r="J98" s="491">
        <f>IF('[2]BASE'!HS99=0,"",'[2]BASE'!HS99)</f>
      </c>
      <c r="K98" s="491">
        <f>IF('[2]BASE'!HT99=0,"",'[2]BASE'!HT99)</f>
        <v>1</v>
      </c>
      <c r="L98" s="491">
        <f>IF('[2]BASE'!HU99=0,"",'[2]BASE'!HU99)</f>
      </c>
      <c r="M98" s="491">
        <f>IF('[2]BASE'!HV99=0,"",'[2]BASE'!HV99)</f>
        <v>1</v>
      </c>
      <c r="N98" s="491">
        <f>IF('[2]BASE'!HW99=0,"",'[2]BASE'!HW99)</f>
      </c>
      <c r="O98" s="491">
        <f>IF('[2]BASE'!HX99=0,"",'[2]BASE'!HX99)</f>
      </c>
      <c r="P98" s="491">
        <f>IF('[2]BASE'!HY99=0,"",'[2]BASE'!HY99)</f>
      </c>
      <c r="Q98" s="491">
        <f>IF('[2]BASE'!HZ99=0,"",'[2]BASE'!HZ99)</f>
      </c>
      <c r="R98" s="491">
        <f>IF('[2]BASE'!IA99=0,"",'[2]BASE'!IA99)</f>
      </c>
      <c r="S98" s="491">
        <f>IF('[2]BASE'!IB99=0,"",'[2]BASE'!IB99)</f>
      </c>
      <c r="T98" s="491">
        <f>IF('[2]BASE'!IC99=0,"",'[2]BASE'!IC99)</f>
      </c>
      <c r="U98" s="491">
        <f>IF('[2]BASE'!ID99=0,"",'[2]BASE'!ID99)</f>
        <v>1</v>
      </c>
      <c r="V98" s="493"/>
      <c r="W98" s="489"/>
    </row>
    <row r="99" spans="2:23" s="483" customFormat="1" ht="15.75" customHeight="1">
      <c r="B99" s="484"/>
      <c r="C99" s="490">
        <f>IF('[2]BASE'!C100=0,"",'[1]BASE'!C100)</f>
        <v>60</v>
      </c>
      <c r="D99" s="490" t="str">
        <f>IF('[2]BASE'!D100=0,"",'[1]BASE'!D100)</f>
        <v>ALTE. BROWN - ESCALADA 2 </v>
      </c>
      <c r="E99" s="490">
        <f>IF('[2]BASE'!E100=0,"",'[1]BASE'!E100)</f>
        <v>580</v>
      </c>
      <c r="F99" s="490" t="str">
        <f>IF('[2]BASE'!F100=0,"",'[1]BASE'!F100)</f>
        <v>C</v>
      </c>
      <c r="G99" s="490">
        <f>IF('[2]BASE'!G100=0,"",'[1]BASE'!G100)</f>
      </c>
      <c r="H99" s="490">
        <f>IF('[2]BASE'!H100=0,"",'[1]BASE'!H100)</f>
        <v>132</v>
      </c>
      <c r="I99" s="490">
        <f>IF('[2]BASE'!I100=0,"",'[1]BASE'!I100)</f>
        <v>16.6</v>
      </c>
      <c r="J99" s="491">
        <f>IF('[2]BASE'!HS100=0,"",'[2]BASE'!HS100)</f>
      </c>
      <c r="K99" s="491">
        <f>IF('[2]BASE'!HT100=0,"",'[2]BASE'!HT100)</f>
      </c>
      <c r="L99" s="491">
        <f>IF('[2]BASE'!HU100=0,"",'[2]BASE'!HU100)</f>
      </c>
      <c r="M99" s="491">
        <f>IF('[2]BASE'!HV100=0,"",'[2]BASE'!HV100)</f>
      </c>
      <c r="N99" s="491">
        <f>IF('[2]BASE'!HW100=0,"",'[2]BASE'!HW100)</f>
      </c>
      <c r="O99" s="491">
        <f>IF('[2]BASE'!HX100=0,"",'[2]BASE'!HX100)</f>
        <v>1</v>
      </c>
      <c r="P99" s="491">
        <f>IF('[2]BASE'!HY100=0,"",'[2]BASE'!HY100)</f>
      </c>
      <c r="Q99" s="491">
        <f>IF('[2]BASE'!HZ100=0,"",'[2]BASE'!HZ100)</f>
      </c>
      <c r="R99" s="491">
        <f>IF('[2]BASE'!IA100=0,"",'[2]BASE'!IA100)</f>
      </c>
      <c r="S99" s="491">
        <f>IF('[2]BASE'!IB100=0,"",'[2]BASE'!IB100)</f>
      </c>
      <c r="T99" s="491">
        <f>IF('[2]BASE'!IC100=0,"",'[2]BASE'!IC100)</f>
      </c>
      <c r="U99" s="491">
        <f>IF('[2]BASE'!ID100=0,"",'[2]BASE'!ID100)</f>
      </c>
      <c r="V99" s="493"/>
      <c r="W99" s="489"/>
    </row>
    <row r="100" spans="2:23" s="483" customFormat="1" ht="15.75" customHeight="1">
      <c r="B100" s="484"/>
      <c r="C100" s="490">
        <f>IF('[2]BASE'!C101=0,"",'[1]BASE'!C101)</f>
        <v>61</v>
      </c>
      <c r="D100" s="490" t="str">
        <f>IF('[2]BASE'!D101=0,"",'[1]BASE'!D101)</f>
        <v>ALTE. BROWN - ECHEVERRÍA 1 </v>
      </c>
      <c r="E100" s="490">
        <f>IF('[2]BASE'!E101=0,"",'[1]BASE'!E101)</f>
        <v>581</v>
      </c>
      <c r="F100" s="490" t="str">
        <f>IF('[2]BASE'!F101=0,"",'[1]BASE'!F101)</f>
        <v>LC</v>
      </c>
      <c r="G100" s="490">
        <f>IF('[2]BASE'!G101=0,"",'[1]BASE'!G101)</f>
        <v>70.23</v>
      </c>
      <c r="H100" s="490">
        <f>IF('[2]BASE'!H101=0,"",'[1]BASE'!H101)</f>
        <v>132</v>
      </c>
      <c r="I100" s="490">
        <f>IF('[2]BASE'!I101=0,"",'[1]BASE'!I101)</f>
        <v>8.4</v>
      </c>
      <c r="J100" s="491" t="str">
        <f>IF('[2]BASE'!HS101=0,"",'[2]BASE'!HS101)</f>
        <v>XXXX</v>
      </c>
      <c r="K100" s="491" t="str">
        <f>IF('[2]BASE'!HT101=0,"",'[2]BASE'!HT101)</f>
        <v>XXXX</v>
      </c>
      <c r="L100" s="491" t="str">
        <f>IF('[2]BASE'!HU101=0,"",'[2]BASE'!HU101)</f>
        <v>XXXX</v>
      </c>
      <c r="M100" s="491" t="str">
        <f>IF('[2]BASE'!HV101=0,"",'[2]BASE'!HV101)</f>
        <v>XXXX</v>
      </c>
      <c r="N100" s="491" t="str">
        <f>IF('[2]BASE'!HW101=0,"",'[2]BASE'!HW101)</f>
        <v>XXXX</v>
      </c>
      <c r="O100" s="491" t="str">
        <f>IF('[2]BASE'!HX101=0,"",'[2]BASE'!HX101)</f>
        <v>XXXX</v>
      </c>
      <c r="P100" s="491" t="str">
        <f>IF('[2]BASE'!HY101=0,"",'[2]BASE'!HY101)</f>
        <v>XXXX</v>
      </c>
      <c r="Q100" s="491" t="str">
        <f>IF('[2]BASE'!HZ101=0,"",'[2]BASE'!HZ101)</f>
        <v>XXXX</v>
      </c>
      <c r="R100" s="491" t="str">
        <f>IF('[2]BASE'!IA101=0,"",'[2]BASE'!IA101)</f>
        <v>XXXX</v>
      </c>
      <c r="S100" s="491" t="str">
        <f>IF('[2]BASE'!IB101=0,"",'[2]BASE'!IB101)</f>
        <v>XXXX</v>
      </c>
      <c r="T100" s="491" t="str">
        <f>IF('[2]BASE'!IC101=0,"",'[2]BASE'!IC101)</f>
        <v>XXXX</v>
      </c>
      <c r="U100" s="491" t="str">
        <f>IF('[2]BASE'!ID101=0,"",'[2]BASE'!ID101)</f>
        <v>XXXX</v>
      </c>
      <c r="V100" s="493"/>
      <c r="W100" s="489"/>
    </row>
    <row r="101" spans="2:23" s="483" customFormat="1" ht="15.75" customHeight="1">
      <c r="B101" s="484"/>
      <c r="C101" s="490">
        <f>IF('[2]BASE'!C102=0,"",'[1]BASE'!C102)</f>
        <v>62</v>
      </c>
      <c r="D101" s="490" t="str">
        <f>IF('[2]BASE'!D102=0,"",'[1]BASE'!D102)</f>
        <v>ALTE. BROWN - ECHEVERRÍA 2 </v>
      </c>
      <c r="E101" s="490">
        <f>IF('[2]BASE'!E102=0,"",'[1]BASE'!E102)</f>
        <v>582</v>
      </c>
      <c r="F101" s="490" t="str">
        <f>IF('[2]BASE'!F102=0,"",'[1]BASE'!F102)</f>
        <v>LC</v>
      </c>
      <c r="G101" s="490">
        <f>IF('[2]BASE'!G102=0,"",'[1]BASE'!G102)</f>
        <v>88.46153846153845</v>
      </c>
      <c r="H101" s="490">
        <f>IF('[2]BASE'!H102=0,"",'[1]BASE'!H102)</f>
        <v>132</v>
      </c>
      <c r="I101" s="490">
        <f>IF('[2]BASE'!I102=0,"",'[1]BASE'!I102)</f>
        <v>7.800000000000001</v>
      </c>
      <c r="J101" s="491" t="str">
        <f>IF('[2]BASE'!HS102=0,"",'[2]BASE'!HS102)</f>
        <v>XXXX</v>
      </c>
      <c r="K101" s="491" t="str">
        <f>IF('[2]BASE'!HT102=0,"",'[2]BASE'!HT102)</f>
        <v>XXXX</v>
      </c>
      <c r="L101" s="491" t="str">
        <f>IF('[2]BASE'!HU102=0,"",'[2]BASE'!HU102)</f>
        <v>XXXX</v>
      </c>
      <c r="M101" s="491" t="str">
        <f>IF('[2]BASE'!HV102=0,"",'[2]BASE'!HV102)</f>
        <v>XXXX</v>
      </c>
      <c r="N101" s="491" t="str">
        <f>IF('[2]BASE'!HW102=0,"",'[2]BASE'!HW102)</f>
        <v>XXXX</v>
      </c>
      <c r="O101" s="491" t="str">
        <f>IF('[2]BASE'!HX102=0,"",'[2]BASE'!HX102)</f>
        <v>XXXX</v>
      </c>
      <c r="P101" s="491" t="str">
        <f>IF('[2]BASE'!HY102=0,"",'[2]BASE'!HY102)</f>
        <v>XXXX</v>
      </c>
      <c r="Q101" s="491" t="str">
        <f>IF('[2]BASE'!HZ102=0,"",'[2]BASE'!HZ102)</f>
        <v>XXXX</v>
      </c>
      <c r="R101" s="491" t="str">
        <f>IF('[2]BASE'!IA102=0,"",'[2]BASE'!IA102)</f>
        <v>XXXX</v>
      </c>
      <c r="S101" s="491" t="str">
        <f>IF('[2]BASE'!IB102=0,"",'[2]BASE'!IB102)</f>
        <v>XXXX</v>
      </c>
      <c r="T101" s="491" t="str">
        <f>IF('[2]BASE'!IC102=0,"",'[2]BASE'!IC102)</f>
        <v>XXXX</v>
      </c>
      <c r="U101" s="491" t="str">
        <f>IF('[2]BASE'!ID102=0,"",'[2]BASE'!ID102)</f>
        <v>XXXX</v>
      </c>
      <c r="V101" s="493"/>
      <c r="W101" s="489"/>
    </row>
    <row r="102" spans="2:23" s="483" customFormat="1" ht="15.75" customHeight="1">
      <c r="B102" s="484"/>
      <c r="C102" s="490">
        <f>IF('[2]BASE'!C103=0,"",'[1]BASE'!C103)</f>
        <v>98</v>
      </c>
      <c r="D102" s="490" t="str">
        <f>IF('[2]BASE'!D103=0,"",'[1]BASE'!D103)</f>
        <v>CALZADA - ALTE BROWN 1</v>
      </c>
      <c r="E102" s="490">
        <f>IF('[2]BASE'!E103=0,"",'[1]BASE'!E103)</f>
        <v>581</v>
      </c>
      <c r="F102" s="490" t="str">
        <f>IF('[2]BASE'!F103=0,"",'[1]BASE'!F103)</f>
        <v>LC</v>
      </c>
      <c r="G102" s="490">
        <f>IF('[2]BASE'!G103=0,"",'[1]BASE'!G103)</f>
        <v>84.52</v>
      </c>
      <c r="H102" s="490">
        <f>IF('[2]BASE'!H103=0,"",'[1]BASE'!H103)</f>
        <v>132</v>
      </c>
      <c r="I102" s="490">
        <f>IF('[2]BASE'!I103=0,"",'[1]BASE'!I103)</f>
        <v>8.4</v>
      </c>
      <c r="J102" s="491">
        <f>IF('[2]BASE'!HS103=0,"",'[2]BASE'!HS103)</f>
      </c>
      <c r="K102" s="491">
        <f>IF('[2]BASE'!HT103=0,"",'[2]BASE'!HT103)</f>
      </c>
      <c r="L102" s="491">
        <f>IF('[2]BASE'!HU103=0,"",'[2]BASE'!HU103)</f>
      </c>
      <c r="M102" s="491">
        <f>IF('[2]BASE'!HV103=0,"",'[2]BASE'!HV103)</f>
      </c>
      <c r="N102" s="491">
        <f>IF('[2]BASE'!HW103=0,"",'[2]BASE'!HW103)</f>
      </c>
      <c r="O102" s="491">
        <f>IF('[2]BASE'!HX103=0,"",'[2]BASE'!HX103)</f>
      </c>
      <c r="P102" s="491">
        <f>IF('[2]BASE'!HY103=0,"",'[2]BASE'!HY103)</f>
      </c>
      <c r="Q102" s="491">
        <f>IF('[2]BASE'!HZ103=0,"",'[2]BASE'!HZ103)</f>
      </c>
      <c r="R102" s="491">
        <f>IF('[2]BASE'!IA103=0,"",'[2]BASE'!IA103)</f>
      </c>
      <c r="S102" s="491">
        <f>IF('[2]BASE'!IB103=0,"",'[2]BASE'!IB103)</f>
      </c>
      <c r="T102" s="491">
        <f>IF('[2]BASE'!IC103=0,"",'[2]BASE'!IC103)</f>
      </c>
      <c r="U102" s="491">
        <f>IF('[2]BASE'!ID103=0,"",'[2]BASE'!ID103)</f>
      </c>
      <c r="V102" s="493"/>
      <c r="W102" s="489"/>
    </row>
    <row r="103" spans="2:23" s="483" customFormat="1" ht="15.75" customHeight="1">
      <c r="B103" s="484"/>
      <c r="C103" s="490">
        <f>IF('[2]BASE'!C104=0,"",'[1]BASE'!C104)</f>
        <v>99</v>
      </c>
      <c r="D103" s="490" t="str">
        <f>IF('[2]BASE'!D104=0,"",'[1]BASE'!D104)</f>
        <v>CALZADA - ALTE BROWN 2</v>
      </c>
      <c r="E103" s="490">
        <f>IF('[2]BASE'!E104=0,"",'[1]BASE'!E104)</f>
        <v>582</v>
      </c>
      <c r="F103" s="490" t="str">
        <f>IF('[2]BASE'!F104=0,"",'[1]BASE'!F104)</f>
        <v>LC</v>
      </c>
      <c r="G103" s="490">
        <f>IF('[2]BASE'!G104=0,"",'[1]BASE'!G104)</f>
        <v>88.46</v>
      </c>
      <c r="H103" s="490">
        <f>IF('[2]BASE'!H104=0,"",'[1]BASE'!H104)</f>
        <v>132</v>
      </c>
      <c r="I103" s="490">
        <f>IF('[2]BASE'!I104=0,"",'[1]BASE'!I104)</f>
        <v>7.8</v>
      </c>
      <c r="J103" s="491">
        <f>IF('[2]BASE'!HS104=0,"",'[2]BASE'!HS104)</f>
      </c>
      <c r="K103" s="491">
        <f>IF('[2]BASE'!HT104=0,"",'[2]BASE'!HT104)</f>
      </c>
      <c r="L103" s="491">
        <f>IF('[2]BASE'!HU104=0,"",'[2]BASE'!HU104)</f>
      </c>
      <c r="M103" s="491">
        <f>IF('[2]BASE'!HV104=0,"",'[2]BASE'!HV104)</f>
      </c>
      <c r="N103" s="491">
        <f>IF('[2]BASE'!HW104=0,"",'[2]BASE'!HW104)</f>
      </c>
      <c r="O103" s="491">
        <f>IF('[2]BASE'!HX104=0,"",'[2]BASE'!HX104)</f>
      </c>
      <c r="P103" s="491">
        <f>IF('[2]BASE'!HY104=0,"",'[2]BASE'!HY104)</f>
      </c>
      <c r="Q103" s="491">
        <f>IF('[2]BASE'!HZ104=0,"",'[2]BASE'!HZ104)</f>
      </c>
      <c r="R103" s="491">
        <f>IF('[2]BASE'!IA104=0,"",'[2]BASE'!IA104)</f>
      </c>
      <c r="S103" s="491">
        <f>IF('[2]BASE'!IB104=0,"",'[2]BASE'!IB104)</f>
      </c>
      <c r="T103" s="491">
        <f>IF('[2]BASE'!IC104=0,"",'[2]BASE'!IC104)</f>
      </c>
      <c r="U103" s="491">
        <f>IF('[2]BASE'!ID104=0,"",'[2]BASE'!ID104)</f>
      </c>
      <c r="V103" s="493"/>
      <c r="W103" s="489"/>
    </row>
    <row r="104" spans="2:23" s="483" customFormat="1" ht="15.75" customHeight="1">
      <c r="B104" s="484"/>
      <c r="C104" s="490">
        <f>IF('[2]BASE'!C105=0,"",'[1]BASE'!C105)</f>
        <v>63</v>
      </c>
      <c r="D104" s="490" t="str">
        <f>IF('[2]BASE'!D105=0,"",'[1]BASE'!D105)</f>
        <v>ALTE. BROWN - SANTA CATALINA 1 </v>
      </c>
      <c r="E104" s="490">
        <f>IF('[2]BASE'!E105=0,"",'[1]BASE'!E105)</f>
        <v>585</v>
      </c>
      <c r="F104" s="490" t="str">
        <f>IF('[2]BASE'!F105=0,"",'[1]BASE'!F105)</f>
        <v>L</v>
      </c>
      <c r="G104" s="490">
        <f>IF('[2]BASE'!G105=0,"",'[1]BASE'!G105)</f>
        <v>100</v>
      </c>
      <c r="H104" s="490">
        <f>IF('[2]BASE'!H105=0,"",'[1]BASE'!H105)</f>
        <v>132</v>
      </c>
      <c r="I104" s="490">
        <f>IF('[2]BASE'!I105=0,"",'[1]BASE'!I105)</f>
        <v>19.5</v>
      </c>
      <c r="J104" s="491" t="str">
        <f>IF('[2]BASE'!HS105=0,"",'[2]BASE'!HS105)</f>
        <v>XXXX</v>
      </c>
      <c r="K104" s="491" t="str">
        <f>IF('[2]BASE'!HT105=0,"",'[2]BASE'!HT105)</f>
        <v>XXXX</v>
      </c>
      <c r="L104" s="491" t="str">
        <f>IF('[2]BASE'!HU105=0,"",'[2]BASE'!HU105)</f>
        <v>XXXX</v>
      </c>
      <c r="M104" s="491" t="str">
        <f>IF('[2]BASE'!HV105=0,"",'[2]BASE'!HV105)</f>
        <v>XXXX</v>
      </c>
      <c r="N104" s="491" t="str">
        <f>IF('[2]BASE'!HW105=0,"",'[2]BASE'!HW105)</f>
        <v>XXXX</v>
      </c>
      <c r="O104" s="491" t="str">
        <f>IF('[2]BASE'!HX105=0,"",'[2]BASE'!HX105)</f>
        <v>XXXX</v>
      </c>
      <c r="P104" s="491" t="str">
        <f>IF('[2]BASE'!HY105=0,"",'[2]BASE'!HY105)</f>
        <v>XXXX</v>
      </c>
      <c r="Q104" s="491" t="str">
        <f>IF('[2]BASE'!HZ105=0,"",'[2]BASE'!HZ105)</f>
        <v>XXXX</v>
      </c>
      <c r="R104" s="491" t="str">
        <f>IF('[2]BASE'!IA105=0,"",'[2]BASE'!IA105)</f>
        <v>XXXX</v>
      </c>
      <c r="S104" s="491" t="str">
        <f>IF('[2]BASE'!IB105=0,"",'[2]BASE'!IB105)</f>
        <v>XXXX</v>
      </c>
      <c r="T104" s="491" t="str">
        <f>IF('[2]BASE'!IC105=0,"",'[2]BASE'!IC105)</f>
        <v>XXXX</v>
      </c>
      <c r="U104" s="491" t="str">
        <f>IF('[2]BASE'!ID105=0,"",'[2]BASE'!ID105)</f>
        <v>XXXX</v>
      </c>
      <c r="V104" s="493"/>
      <c r="W104" s="489"/>
    </row>
    <row r="105" spans="2:23" s="483" customFormat="1" ht="15.75" customHeight="1">
      <c r="B105" s="484"/>
      <c r="C105" s="490">
        <f>IF('[2]BASE'!C106=0,"",'[1]BASE'!C106)</f>
        <v>64</v>
      </c>
      <c r="D105" s="490" t="str">
        <f>IF('[2]BASE'!D106=0,"",'[1]BASE'!D106)</f>
        <v>ALTE. BROWN - SANTA CATALINA 2 </v>
      </c>
      <c r="E105" s="490">
        <f>IF('[2]BASE'!E106=0,"",'[1]BASE'!E106)</f>
        <v>586</v>
      </c>
      <c r="F105" s="490" t="str">
        <f>IF('[2]BASE'!F106=0,"",'[1]BASE'!F106)</f>
        <v>L</v>
      </c>
      <c r="G105" s="490">
        <f>IF('[2]BASE'!G106=0,"",'[1]BASE'!G106)</f>
        <v>100</v>
      </c>
      <c r="H105" s="490">
        <f>IF('[2]BASE'!H106=0,"",'[1]BASE'!H106)</f>
        <v>132</v>
      </c>
      <c r="I105" s="490">
        <f>IF('[2]BASE'!I106=0,"",'[1]BASE'!I106)</f>
        <v>20.6</v>
      </c>
      <c r="J105" s="491" t="str">
        <f>IF('[2]BASE'!HS106=0,"",'[2]BASE'!HS106)</f>
        <v>XXXX</v>
      </c>
      <c r="K105" s="491" t="str">
        <f>IF('[2]BASE'!HT106=0,"",'[2]BASE'!HT106)</f>
        <v>XXXX</v>
      </c>
      <c r="L105" s="491" t="str">
        <f>IF('[2]BASE'!HU106=0,"",'[2]BASE'!HU106)</f>
        <v>XXXX</v>
      </c>
      <c r="M105" s="491" t="str">
        <f>IF('[2]BASE'!HV106=0,"",'[2]BASE'!HV106)</f>
        <v>XXXX</v>
      </c>
      <c r="N105" s="491" t="str">
        <f>IF('[2]BASE'!HW106=0,"",'[2]BASE'!HW106)</f>
        <v>XXXX</v>
      </c>
      <c r="O105" s="491" t="str">
        <f>IF('[2]BASE'!HX106=0,"",'[2]BASE'!HX106)</f>
        <v>XXXX</v>
      </c>
      <c r="P105" s="491" t="str">
        <f>IF('[2]BASE'!HY106=0,"",'[2]BASE'!HY106)</f>
        <v>XXXX</v>
      </c>
      <c r="Q105" s="491" t="str">
        <f>IF('[2]BASE'!HZ106=0,"",'[2]BASE'!HZ106)</f>
        <v>XXXX</v>
      </c>
      <c r="R105" s="491" t="str">
        <f>IF('[2]BASE'!IA106=0,"",'[2]BASE'!IA106)</f>
        <v>XXXX</v>
      </c>
      <c r="S105" s="491" t="str">
        <f>IF('[2]BASE'!IB106=0,"",'[2]BASE'!IB106)</f>
        <v>XXXX</v>
      </c>
      <c r="T105" s="491" t="str">
        <f>IF('[2]BASE'!IC106=0,"",'[2]BASE'!IC106)</f>
        <v>XXXX</v>
      </c>
      <c r="U105" s="491" t="str">
        <f>IF('[2]BASE'!ID106=0,"",'[2]BASE'!ID106)</f>
        <v>XXXX</v>
      </c>
      <c r="V105" s="493"/>
      <c r="W105" s="489"/>
    </row>
    <row r="106" spans="2:23" s="483" customFormat="1" ht="15.75" customHeight="1">
      <c r="B106" s="484"/>
      <c r="C106" s="490">
        <f>IF('[2]BASE'!C107=0,"",'[1]BASE'!C107)</f>
        <v>96</v>
      </c>
      <c r="D106" s="490" t="str">
        <f>IF('[2]BASE'!D107=0,"",'[1]BASE'!D107)</f>
        <v>ALTE. BROWN - TRANSRADIO 1 </v>
      </c>
      <c r="E106" s="490">
        <f>IF('[2]BASE'!E107=0,"",'[1]BASE'!E107)</f>
        <v>585</v>
      </c>
      <c r="F106" s="490" t="str">
        <f>IF('[2]BASE'!F107=0,"",'[1]BASE'!F107)</f>
        <v>LC</v>
      </c>
      <c r="G106" s="490">
        <f>IF('[2]BASE'!G107=0,"",'[1]BASE'!G107)</f>
        <v>79.59183673469387</v>
      </c>
      <c r="H106" s="490">
        <f>IF('[2]BASE'!H107=0,"",'[1]BASE'!H107)</f>
        <v>132</v>
      </c>
      <c r="I106" s="490">
        <f>IF('[2]BASE'!I107=0,"",'[1]BASE'!I107)</f>
        <v>24.5</v>
      </c>
      <c r="J106" s="491">
        <f>IF('[2]BASE'!HS107=0,"",'[2]BASE'!HS107)</f>
      </c>
      <c r="K106" s="491">
        <f>IF('[2]BASE'!HT107=0,"",'[2]BASE'!HT107)</f>
      </c>
      <c r="L106" s="491">
        <f>IF('[2]BASE'!HU107=0,"",'[2]BASE'!HU107)</f>
      </c>
      <c r="M106" s="491">
        <f>IF('[2]BASE'!HV107=0,"",'[2]BASE'!HV107)</f>
      </c>
      <c r="N106" s="491">
        <f>IF('[2]BASE'!HW107=0,"",'[2]BASE'!HW107)</f>
      </c>
      <c r="O106" s="491">
        <f>IF('[2]BASE'!HX107=0,"",'[2]BASE'!HX107)</f>
      </c>
      <c r="P106" s="491">
        <f>IF('[2]BASE'!HY107=0,"",'[2]BASE'!HY107)</f>
      </c>
      <c r="Q106" s="491">
        <f>IF('[2]BASE'!HZ107=0,"",'[2]BASE'!HZ107)</f>
      </c>
      <c r="R106" s="491">
        <f>IF('[2]BASE'!IA107=0,"",'[2]BASE'!IA107)</f>
      </c>
      <c r="S106" s="491">
        <f>IF('[2]BASE'!IB107=0,"",'[2]BASE'!IB107)</f>
        <v>1</v>
      </c>
      <c r="T106" s="491">
        <f>IF('[2]BASE'!IC107=0,"",'[2]BASE'!IC107)</f>
        <v>1</v>
      </c>
      <c r="U106" s="491">
        <f>IF('[2]BASE'!ID107=0,"",'[2]BASE'!ID107)</f>
      </c>
      <c r="V106" s="493"/>
      <c r="W106" s="489"/>
    </row>
    <row r="107" spans="2:23" s="483" customFormat="1" ht="15.75" customHeight="1">
      <c r="B107" s="484"/>
      <c r="C107" s="490">
        <f>IF('[2]BASE'!C108=0,"",'[1]BASE'!C108)</f>
        <v>97</v>
      </c>
      <c r="D107" s="490" t="str">
        <f>IF('[2]BASE'!D108=0,"",'[1]BASE'!D108)</f>
        <v>ALTE. BROWN - TRANSRADIO 2 </v>
      </c>
      <c r="E107" s="490">
        <f>IF('[2]BASE'!E108=0,"",'[1]BASE'!E108)</f>
        <v>586</v>
      </c>
      <c r="F107" s="490" t="str">
        <f>IF('[2]BASE'!F108=0,"",'[1]BASE'!F108)</f>
        <v>LC</v>
      </c>
      <c r="G107" s="490">
        <f>IF('[2]BASE'!G108=0,"",'[1]BASE'!G108)</f>
        <v>80.47</v>
      </c>
      <c r="H107" s="490">
        <f>IF('[2]BASE'!H108=0,"",'[1]BASE'!H108)</f>
        <v>132</v>
      </c>
      <c r="I107" s="490">
        <f>IF('[2]BASE'!I108=0,"",'[1]BASE'!I108)</f>
        <v>25.6</v>
      </c>
      <c r="J107" s="491">
        <f>IF('[2]BASE'!HS108=0,"",'[2]BASE'!HS108)</f>
      </c>
      <c r="K107" s="491">
        <f>IF('[2]BASE'!HT108=0,"",'[2]BASE'!HT108)</f>
      </c>
      <c r="L107" s="491">
        <f>IF('[2]BASE'!HU108=0,"",'[2]BASE'!HU108)</f>
      </c>
      <c r="M107" s="491">
        <f>IF('[2]BASE'!HV108=0,"",'[2]BASE'!HV108)</f>
      </c>
      <c r="N107" s="491">
        <f>IF('[2]BASE'!HW108=0,"",'[2]BASE'!HW108)</f>
      </c>
      <c r="O107" s="491">
        <f>IF('[2]BASE'!HX108=0,"",'[2]BASE'!HX108)</f>
        <v>1</v>
      </c>
      <c r="P107" s="491">
        <f>IF('[2]BASE'!HY108=0,"",'[2]BASE'!HY108)</f>
      </c>
      <c r="Q107" s="491">
        <f>IF('[2]BASE'!HZ108=0,"",'[2]BASE'!HZ108)</f>
      </c>
      <c r="R107" s="491">
        <f>IF('[2]BASE'!IA108=0,"",'[2]BASE'!IA108)</f>
      </c>
      <c r="S107" s="491">
        <f>IF('[2]BASE'!IB108=0,"",'[2]BASE'!IB108)</f>
        <v>2</v>
      </c>
      <c r="T107" s="491">
        <f>IF('[2]BASE'!IC108=0,"",'[2]BASE'!IC108)</f>
        <v>2</v>
      </c>
      <c r="U107" s="491">
        <f>IF('[2]BASE'!ID108=0,"",'[2]BASE'!ID108)</f>
      </c>
      <c r="V107" s="493"/>
      <c r="W107" s="489"/>
    </row>
    <row r="108" spans="2:23" s="483" customFormat="1" ht="12.75">
      <c r="B108" s="484"/>
      <c r="C108" s="490">
        <f>IF('[2]BASE'!C109=0,"",'[1]BASE'!C109)</f>
        <v>65</v>
      </c>
      <c r="D108" s="490" t="str">
        <f>IF('[2]BASE'!D109=0,"",'[1]BASE'!D109)</f>
        <v>BOSQUES - SOBRAL 1 </v>
      </c>
      <c r="E108" s="490">
        <f>IF('[2]BASE'!E109=0,"",'[1]BASE'!E109)</f>
        <v>587</v>
      </c>
      <c r="F108" s="490" t="str">
        <f>IF('[2]BASE'!F109=0,"",'[1]BASE'!F109)</f>
        <v>L</v>
      </c>
      <c r="G108" s="490">
        <f>IF('[2]BASE'!G109=0,"",'[1]BASE'!G109)</f>
        <v>100</v>
      </c>
      <c r="H108" s="490">
        <f>IF('[2]BASE'!H109=0,"",'[1]BASE'!H109)</f>
        <v>132</v>
      </c>
      <c r="I108" s="490">
        <f>IF('[2]BASE'!I109=0,"",'[1]BASE'!I109)</f>
        <v>17.4</v>
      </c>
      <c r="J108" s="491" t="str">
        <f>IF('[2]BASE'!HS109=0,"",'[2]BASE'!HS109)</f>
        <v>XXXX</v>
      </c>
      <c r="K108" s="491" t="str">
        <f>IF('[2]BASE'!HT109=0,"",'[2]BASE'!HT109)</f>
        <v>XXXX</v>
      </c>
      <c r="L108" s="491" t="str">
        <f>IF('[2]BASE'!HU109=0,"",'[2]BASE'!HU109)</f>
        <v>XXXX</v>
      </c>
      <c r="M108" s="491" t="str">
        <f>IF('[2]BASE'!HV109=0,"",'[2]BASE'!HV109)</f>
        <v>XXXX</v>
      </c>
      <c r="N108" s="491" t="str">
        <f>IF('[2]BASE'!HW109=0,"",'[2]BASE'!HW109)</f>
        <v>XXXX</v>
      </c>
      <c r="O108" s="491" t="str">
        <f>IF('[2]BASE'!HX109=0,"",'[2]BASE'!HX109)</f>
        <v>XXXX</v>
      </c>
      <c r="P108" s="491" t="str">
        <f>IF('[2]BASE'!HY109=0,"",'[2]BASE'!HY109)</f>
        <v>XXXX</v>
      </c>
      <c r="Q108" s="491" t="str">
        <f>IF('[2]BASE'!HZ109=0,"",'[2]BASE'!HZ109)</f>
        <v>XXXX</v>
      </c>
      <c r="R108" s="491" t="str">
        <f>IF('[2]BASE'!IA109=0,"",'[2]BASE'!IA109)</f>
        <v>XXXX</v>
      </c>
      <c r="S108" s="491" t="str">
        <f>IF('[2]BASE'!IB109=0,"",'[2]BASE'!IB109)</f>
        <v>XXXX</v>
      </c>
      <c r="T108" s="491" t="str">
        <f>IF('[2]BASE'!IC109=0,"",'[2]BASE'!IC109)</f>
        <v>XXXX</v>
      </c>
      <c r="U108" s="491" t="str">
        <f>IF('[2]BASE'!ID109=0,"",'[2]BASE'!ID109)</f>
        <v>XXXX</v>
      </c>
      <c r="V108" s="493"/>
      <c r="W108" s="489"/>
    </row>
    <row r="109" spans="2:23" s="483" customFormat="1" ht="12.75">
      <c r="B109" s="484"/>
      <c r="C109" s="490">
        <f>IF('[2]BASE'!C110=0,"",'[1]BASE'!C110)</f>
        <v>66</v>
      </c>
      <c r="D109" s="490" t="str">
        <f>IF('[2]BASE'!D110=0,"",'[1]BASE'!D110)</f>
        <v>BOSQUES - SOBRAL 2 </v>
      </c>
      <c r="E109" s="490">
        <f>IF('[2]BASE'!E110=0,"",'[1]BASE'!E110)</f>
        <v>588</v>
      </c>
      <c r="F109" s="490" t="str">
        <f>IF('[2]BASE'!F110=0,"",'[1]BASE'!F110)</f>
        <v>L</v>
      </c>
      <c r="G109" s="490">
        <f>IF('[2]BASE'!G110=0,"",'[1]BASE'!G110)</f>
        <v>100</v>
      </c>
      <c r="H109" s="490">
        <f>IF('[2]BASE'!H110=0,"",'[1]BASE'!H110)</f>
        <v>132</v>
      </c>
      <c r="I109" s="490">
        <f>IF('[2]BASE'!I110=0,"",'[1]BASE'!I110)</f>
        <v>17.4</v>
      </c>
      <c r="J109" s="491" t="str">
        <f>IF('[2]BASE'!HS110=0,"",'[2]BASE'!HS110)</f>
        <v>XXXX</v>
      </c>
      <c r="K109" s="491" t="str">
        <f>IF('[2]BASE'!HT110=0,"",'[2]BASE'!HT110)</f>
        <v>XXXX</v>
      </c>
      <c r="L109" s="491" t="str">
        <f>IF('[2]BASE'!HU110=0,"",'[2]BASE'!HU110)</f>
        <v>XXXX</v>
      </c>
      <c r="M109" s="491" t="str">
        <f>IF('[2]BASE'!HV110=0,"",'[2]BASE'!HV110)</f>
        <v>XXXX</v>
      </c>
      <c r="N109" s="491" t="str">
        <f>IF('[2]BASE'!HW110=0,"",'[2]BASE'!HW110)</f>
        <v>XXXX</v>
      </c>
      <c r="O109" s="491" t="str">
        <f>IF('[2]BASE'!HX110=0,"",'[2]BASE'!HX110)</f>
        <v>XXXX</v>
      </c>
      <c r="P109" s="491" t="str">
        <f>IF('[2]BASE'!HY110=0,"",'[2]BASE'!HY110)</f>
        <v>XXXX</v>
      </c>
      <c r="Q109" s="491" t="str">
        <f>IF('[2]BASE'!HZ110=0,"",'[2]BASE'!HZ110)</f>
        <v>XXXX</v>
      </c>
      <c r="R109" s="491" t="str">
        <f>IF('[2]BASE'!IA110=0,"",'[2]BASE'!IA110)</f>
        <v>XXXX</v>
      </c>
      <c r="S109" s="491" t="str">
        <f>IF('[2]BASE'!IB110=0,"",'[2]BASE'!IB110)</f>
        <v>XXXX</v>
      </c>
      <c r="T109" s="491" t="str">
        <f>IF('[2]BASE'!IC110=0,"",'[2]BASE'!IC110)</f>
        <v>XXXX</v>
      </c>
      <c r="U109" s="491" t="str">
        <f>IF('[2]BASE'!ID110=0,"",'[2]BASE'!ID110)</f>
        <v>XXXX</v>
      </c>
      <c r="V109" s="493"/>
      <c r="W109" s="489"/>
    </row>
    <row r="110" spans="2:23" s="483" customFormat="1" ht="15.75" customHeight="1">
      <c r="B110" s="484"/>
      <c r="C110" s="490">
        <f>IF('[2]BASE'!C111=0,"",'[1]BASE'!C111)</f>
        <v>67</v>
      </c>
      <c r="D110" s="490" t="str">
        <f>IF('[2]BASE'!D111=0,"",'[1]BASE'!D111)</f>
        <v>PERITO MORENO - AUTODROMO 1</v>
      </c>
      <c r="E110" s="490">
        <f>IF('[2]BASE'!E111=0,"",'[1]BASE'!E111)</f>
        <v>648</v>
      </c>
      <c r="F110" s="490" t="str">
        <f>IF('[2]BASE'!F111=0,"",'[1]BASE'!F111)</f>
        <v>C</v>
      </c>
      <c r="G110" s="490">
        <f>IF('[2]BASE'!G111=0,"",'[1]BASE'!G111)</f>
      </c>
      <c r="H110" s="490">
        <f>IF('[2]BASE'!H111=0,"",'[1]BASE'!H111)</f>
        <v>132</v>
      </c>
      <c r="I110" s="490">
        <f>IF('[2]BASE'!I111=0,"",'[1]BASE'!I111)</f>
        <v>5.4</v>
      </c>
      <c r="J110" s="491" t="str">
        <f>IF('[2]BASE'!HS111=0,"",'[2]BASE'!HS111)</f>
        <v>XXXX</v>
      </c>
      <c r="K110" s="491" t="str">
        <f>IF('[2]BASE'!HT111=0,"",'[2]BASE'!HT111)</f>
        <v>XXXX</v>
      </c>
      <c r="L110" s="491" t="str">
        <f>IF('[2]BASE'!HU111=0,"",'[2]BASE'!HU111)</f>
        <v>XXXX</v>
      </c>
      <c r="M110" s="491" t="str">
        <f>IF('[2]BASE'!HV111=0,"",'[2]BASE'!HV111)</f>
        <v>XXXX</v>
      </c>
      <c r="N110" s="491" t="str">
        <f>IF('[2]BASE'!HW111=0,"",'[2]BASE'!HW111)</f>
        <v>XXXX</v>
      </c>
      <c r="O110" s="491" t="str">
        <f>IF('[2]BASE'!HX111=0,"",'[2]BASE'!HX111)</f>
        <v>XXXX</v>
      </c>
      <c r="P110" s="491" t="str">
        <f>IF('[2]BASE'!HY111=0,"",'[2]BASE'!HY111)</f>
        <v>XXXX</v>
      </c>
      <c r="Q110" s="491" t="str">
        <f>IF('[2]BASE'!HZ111=0,"",'[2]BASE'!HZ111)</f>
        <v>XXXX</v>
      </c>
      <c r="R110" s="491" t="str">
        <f>IF('[2]BASE'!IA111=0,"",'[2]BASE'!IA111)</f>
        <v>XXXX</v>
      </c>
      <c r="S110" s="491" t="str">
        <f>IF('[2]BASE'!IB111=0,"",'[2]BASE'!IB111)</f>
        <v>XXXX</v>
      </c>
      <c r="T110" s="491" t="str">
        <f>IF('[2]BASE'!IC111=0,"",'[2]BASE'!IC111)</f>
        <v>XXXX</v>
      </c>
      <c r="U110" s="491" t="str">
        <f>IF('[2]BASE'!ID111=0,"",'[2]BASE'!ID111)</f>
        <v>XXXX</v>
      </c>
      <c r="V110" s="493"/>
      <c r="W110" s="489"/>
    </row>
    <row r="111" spans="2:23" s="483" customFormat="1" ht="15.75" customHeight="1">
      <c r="B111" s="484"/>
      <c r="C111" s="490">
        <f>IF('[2]BASE'!C112=0,"",'[1]BASE'!C112)</f>
        <v>68</v>
      </c>
      <c r="D111" s="490" t="str">
        <f>IF('[2]BASE'!D112=0,"",'[1]BASE'!D112)</f>
        <v>PERITO MORENO - AUTODROMO 2 </v>
      </c>
      <c r="E111" s="490">
        <f>IF('[2]BASE'!E112=0,"",'[1]BASE'!E112)</f>
        <v>649</v>
      </c>
      <c r="F111" s="490" t="str">
        <f>IF('[2]BASE'!F112=0,"",'[1]BASE'!F112)</f>
        <v>C</v>
      </c>
      <c r="G111" s="490">
        <f>IF('[2]BASE'!G112=0,"",'[1]BASE'!G112)</f>
      </c>
      <c r="H111" s="490">
        <f>IF('[2]BASE'!H112=0,"",'[1]BASE'!H112)</f>
        <v>132</v>
      </c>
      <c r="I111" s="490">
        <f>IF('[2]BASE'!I112=0,"",'[1]BASE'!I112)</f>
        <v>5.5</v>
      </c>
      <c r="J111" s="491" t="str">
        <f>IF('[2]BASE'!HS112=0,"",'[2]BASE'!HS112)</f>
        <v>XXXX</v>
      </c>
      <c r="K111" s="491" t="str">
        <f>IF('[2]BASE'!HT112=0,"",'[2]BASE'!HT112)</f>
        <v>XXXX</v>
      </c>
      <c r="L111" s="491" t="str">
        <f>IF('[2]BASE'!HU112=0,"",'[2]BASE'!HU112)</f>
        <v>XXXX</v>
      </c>
      <c r="M111" s="491" t="str">
        <f>IF('[2]BASE'!HV112=0,"",'[2]BASE'!HV112)</f>
        <v>XXXX</v>
      </c>
      <c r="N111" s="491" t="str">
        <f>IF('[2]BASE'!HW112=0,"",'[2]BASE'!HW112)</f>
        <v>XXXX</v>
      </c>
      <c r="O111" s="491" t="str">
        <f>IF('[2]BASE'!HX112=0,"",'[2]BASE'!HX112)</f>
        <v>XXXX</v>
      </c>
      <c r="P111" s="491" t="str">
        <f>IF('[2]BASE'!HY112=0,"",'[2]BASE'!HY112)</f>
        <v>XXXX</v>
      </c>
      <c r="Q111" s="491" t="str">
        <f>IF('[2]BASE'!HZ112=0,"",'[2]BASE'!HZ112)</f>
        <v>XXXX</v>
      </c>
      <c r="R111" s="491" t="str">
        <f>IF('[2]BASE'!IA112=0,"",'[2]BASE'!IA112)</f>
        <v>XXXX</v>
      </c>
      <c r="S111" s="491" t="str">
        <f>IF('[2]BASE'!IB112=0,"",'[2]BASE'!IB112)</f>
        <v>XXXX</v>
      </c>
      <c r="T111" s="491" t="str">
        <f>IF('[2]BASE'!IC112=0,"",'[2]BASE'!IC112)</f>
        <v>XXXX</v>
      </c>
      <c r="U111" s="491" t="str">
        <f>IF('[2]BASE'!ID112=0,"",'[2]BASE'!ID112)</f>
        <v>XXXX</v>
      </c>
      <c r="V111" s="493"/>
      <c r="W111" s="489"/>
    </row>
    <row r="112" spans="2:23" s="483" customFormat="1" ht="15.75" customHeight="1">
      <c r="B112" s="484"/>
      <c r="C112" s="490">
        <f>IF('[2]BASE'!C113=0,"",'[1]BASE'!C113)</f>
        <v>100</v>
      </c>
      <c r="D112" s="490" t="str">
        <f>IF('[2]BASE'!D113=0,"",'[1]BASE'!D113)</f>
        <v>PERITO MORENO - MATANZA 1</v>
      </c>
      <c r="E112" s="490">
        <f>IF('[2]BASE'!E113=0,"",'[1]BASE'!E113)</f>
        <v>648</v>
      </c>
      <c r="F112" s="490" t="str">
        <f>IF('[2]BASE'!F113=0,"",'[1]BASE'!F113)</f>
        <v>C</v>
      </c>
      <c r="G112" s="490">
        <f>IF('[2]BASE'!G113=0,"",'[1]BASE'!G113)</f>
      </c>
      <c r="H112" s="490">
        <f>IF('[2]BASE'!H113=0,"",'[1]BASE'!H113)</f>
        <v>132</v>
      </c>
      <c r="I112" s="490">
        <f>IF('[2]BASE'!I113=0,"",'[1]BASE'!I113)</f>
        <v>10.2</v>
      </c>
      <c r="J112" s="491">
        <f>IF('[2]BASE'!HS113=0,"",'[2]BASE'!HS113)</f>
      </c>
      <c r="K112" s="491">
        <f>IF('[2]BASE'!HT113=0,"",'[2]BASE'!HT113)</f>
      </c>
      <c r="L112" s="491">
        <f>IF('[2]BASE'!HU113=0,"",'[2]BASE'!HU113)</f>
      </c>
      <c r="M112" s="491">
        <f>IF('[2]BASE'!HV113=0,"",'[2]BASE'!HV113)</f>
      </c>
      <c r="N112" s="491">
        <f>IF('[2]BASE'!HW113=0,"",'[2]BASE'!HW113)</f>
      </c>
      <c r="O112" s="491">
        <f>IF('[2]BASE'!HX113=0,"",'[2]BASE'!HX113)</f>
      </c>
      <c r="P112" s="491">
        <f>IF('[2]BASE'!HY113=0,"",'[2]BASE'!HY113)</f>
      </c>
      <c r="Q112" s="491">
        <f>IF('[2]BASE'!HZ113=0,"",'[2]BASE'!HZ113)</f>
      </c>
      <c r="R112" s="491">
        <f>IF('[2]BASE'!IA113=0,"",'[2]BASE'!IA113)</f>
      </c>
      <c r="S112" s="491">
        <f>IF('[2]BASE'!IB113=0,"",'[2]BASE'!IB113)</f>
      </c>
      <c r="T112" s="491">
        <f>IF('[2]BASE'!IC113=0,"",'[2]BASE'!IC113)</f>
      </c>
      <c r="U112" s="491">
        <f>IF('[2]BASE'!ID113=0,"",'[2]BASE'!ID113)</f>
      </c>
      <c r="V112" s="493"/>
      <c r="W112" s="489"/>
    </row>
    <row r="113" spans="2:23" s="483" customFormat="1" ht="15.75" customHeight="1">
      <c r="B113" s="484"/>
      <c r="C113" s="490">
        <f>IF('[2]BASE'!C114=0,"",'[1]BASE'!C114)</f>
        <v>101</v>
      </c>
      <c r="D113" s="490" t="str">
        <f>IF('[2]BASE'!D114=0,"",'[1]BASE'!D114)</f>
        <v>PERITO MORENO - MATANZA 2 </v>
      </c>
      <c r="E113" s="490">
        <f>IF('[2]BASE'!E114=0,"",'[1]BASE'!E114)</f>
        <v>649</v>
      </c>
      <c r="F113" s="490" t="str">
        <f>IF('[2]BASE'!F114=0,"",'[1]BASE'!F114)</f>
        <v>C</v>
      </c>
      <c r="G113" s="490">
        <f>IF('[2]BASE'!G114=0,"",'[1]BASE'!G114)</f>
      </c>
      <c r="H113" s="490">
        <f>IF('[2]BASE'!H114=0,"",'[1]BASE'!H114)</f>
        <v>132</v>
      </c>
      <c r="I113" s="490">
        <f>IF('[2]BASE'!I114=0,"",'[1]BASE'!I114)</f>
        <v>10.32</v>
      </c>
      <c r="J113" s="491">
        <f>IF('[2]BASE'!HS114=0,"",'[2]BASE'!HS114)</f>
      </c>
      <c r="K113" s="491">
        <f>IF('[2]BASE'!HT114=0,"",'[2]BASE'!HT114)</f>
      </c>
      <c r="L113" s="491">
        <f>IF('[2]BASE'!HU114=0,"",'[2]BASE'!HU114)</f>
      </c>
      <c r="M113" s="491">
        <f>IF('[2]BASE'!HV114=0,"",'[2]BASE'!HV114)</f>
      </c>
      <c r="N113" s="491">
        <f>IF('[2]BASE'!HW114=0,"",'[2]BASE'!HW114)</f>
      </c>
      <c r="O113" s="491">
        <f>IF('[2]BASE'!HX114=0,"",'[2]BASE'!HX114)</f>
      </c>
      <c r="P113" s="491">
        <f>IF('[2]BASE'!HY114=0,"",'[2]BASE'!HY114)</f>
      </c>
      <c r="Q113" s="491">
        <f>IF('[2]BASE'!HZ114=0,"",'[2]BASE'!HZ114)</f>
      </c>
      <c r="R113" s="491">
        <f>IF('[2]BASE'!IA114=0,"",'[2]BASE'!IA114)</f>
      </c>
      <c r="S113" s="491">
        <f>IF('[2]BASE'!IB114=0,"",'[2]BASE'!IB114)</f>
      </c>
      <c r="T113" s="491">
        <f>IF('[2]BASE'!IC114=0,"",'[2]BASE'!IC114)</f>
      </c>
      <c r="U113" s="491">
        <f>IF('[2]BASE'!ID114=0,"",'[2]BASE'!ID114)</f>
      </c>
      <c r="V113" s="493"/>
      <c r="W113" s="489"/>
    </row>
    <row r="114" spans="2:23" s="483" customFormat="1" ht="15.75" customHeight="1">
      <c r="B114" s="484"/>
      <c r="C114" s="490">
        <f>IF('[2]BASE'!C115=0,"",'[1]BASE'!C115)</f>
        <v>69</v>
      </c>
      <c r="D114" s="490" t="str">
        <f>IF('[2]BASE'!D115=0,"",'[1]BASE'!D115)</f>
        <v>NUEVO PUERTO - GALDOS 1</v>
      </c>
      <c r="E114" s="490">
        <f>IF('[2]BASE'!E115=0,"",'[1]BASE'!E115)</f>
        <v>727</v>
      </c>
      <c r="F114" s="490" t="str">
        <f>IF('[2]BASE'!F115=0,"",'[1]BASE'!F115)</f>
        <v>C</v>
      </c>
      <c r="G114" s="490">
        <f>IF('[2]BASE'!G115=0,"",'[1]BASE'!G115)</f>
      </c>
      <c r="H114" s="490">
        <f>IF('[2]BASE'!H115=0,"",'[1]BASE'!H115)</f>
        <v>28</v>
      </c>
      <c r="I114" s="490">
        <f>IF('[2]BASE'!I115=0,"",'[1]BASE'!I115)</f>
        <v>7.7</v>
      </c>
      <c r="J114" s="491" t="str">
        <f>IF('[2]BASE'!HS115=0,"",'[2]BASE'!HS115)</f>
        <v>XXXX</v>
      </c>
      <c r="K114" s="491" t="str">
        <f>IF('[2]BASE'!HT115=0,"",'[2]BASE'!HT115)</f>
        <v>XXXX</v>
      </c>
      <c r="L114" s="491" t="str">
        <f>IF('[2]BASE'!HU115=0,"",'[2]BASE'!HU115)</f>
        <v>XXXX</v>
      </c>
      <c r="M114" s="491" t="str">
        <f>IF('[2]BASE'!HV115=0,"",'[2]BASE'!HV115)</f>
        <v>XXXX</v>
      </c>
      <c r="N114" s="491" t="str">
        <f>IF('[2]BASE'!HW115=0,"",'[2]BASE'!HW115)</f>
        <v>XXXX</v>
      </c>
      <c r="O114" s="491" t="str">
        <f>IF('[2]BASE'!HX115=0,"",'[2]BASE'!HX115)</f>
        <v>XXXX</v>
      </c>
      <c r="P114" s="491" t="str">
        <f>IF('[2]BASE'!HY115=0,"",'[2]BASE'!HY115)</f>
        <v>XXXX</v>
      </c>
      <c r="Q114" s="491" t="str">
        <f>IF('[2]BASE'!HZ115=0,"",'[2]BASE'!HZ115)</f>
        <v>XXXX</v>
      </c>
      <c r="R114" s="491" t="str">
        <f>IF('[2]BASE'!IA115=0,"",'[2]BASE'!IA115)</f>
        <v>XXXX</v>
      </c>
      <c r="S114" s="491" t="str">
        <f>IF('[2]BASE'!IB115=0,"",'[2]BASE'!IB115)</f>
        <v>XXXX</v>
      </c>
      <c r="T114" s="491" t="str">
        <f>IF('[2]BASE'!IC115=0,"",'[2]BASE'!IC115)</f>
        <v>XXXX</v>
      </c>
      <c r="U114" s="491" t="str">
        <f>IF('[2]BASE'!ID115=0,"",'[2]BASE'!ID115)</f>
        <v>XXXX</v>
      </c>
      <c r="V114" s="493"/>
      <c r="W114" s="489"/>
    </row>
    <row r="115" spans="2:23" s="483" customFormat="1" ht="15.75" customHeight="1">
      <c r="B115" s="484"/>
      <c r="C115" s="490">
        <f>IF('[2]BASE'!C116=0,"",'[1]BASE'!C116)</f>
        <v>70</v>
      </c>
      <c r="D115" s="490" t="str">
        <f>IF('[2]BASE'!D116=0,"",'[1]BASE'!D116)</f>
        <v>NUEVO PUERTO - GALDOS 2 </v>
      </c>
      <c r="E115" s="490">
        <f>IF('[2]BASE'!E116=0,"",'[1]BASE'!E116)</f>
        <v>729</v>
      </c>
      <c r="F115" s="490" t="str">
        <f>IF('[2]BASE'!F116=0,"",'[1]BASE'!F116)</f>
        <v>C</v>
      </c>
      <c r="G115" s="490">
        <f>IF('[2]BASE'!G116=0,"",'[1]BASE'!G116)</f>
      </c>
      <c r="H115" s="490">
        <f>IF('[2]BASE'!H116=0,"",'[1]BASE'!H116)</f>
        <v>28</v>
      </c>
      <c r="I115" s="490">
        <f>IF('[2]BASE'!I116=0,"",'[1]BASE'!I116)</f>
        <v>7.8</v>
      </c>
      <c r="J115" s="491" t="str">
        <f>IF('[2]BASE'!HS116=0,"",'[2]BASE'!HS116)</f>
        <v>XXXX</v>
      </c>
      <c r="K115" s="491" t="str">
        <f>IF('[2]BASE'!HT116=0,"",'[2]BASE'!HT116)</f>
        <v>XXXX</v>
      </c>
      <c r="L115" s="491" t="str">
        <f>IF('[2]BASE'!HU116=0,"",'[2]BASE'!HU116)</f>
        <v>XXXX</v>
      </c>
      <c r="M115" s="491" t="str">
        <f>IF('[2]BASE'!HV116=0,"",'[2]BASE'!HV116)</f>
        <v>XXXX</v>
      </c>
      <c r="N115" s="491" t="str">
        <f>IF('[2]BASE'!HW116=0,"",'[2]BASE'!HW116)</f>
        <v>XXXX</v>
      </c>
      <c r="O115" s="491" t="str">
        <f>IF('[2]BASE'!HX116=0,"",'[2]BASE'!HX116)</f>
        <v>XXXX</v>
      </c>
      <c r="P115" s="491" t="str">
        <f>IF('[2]BASE'!HY116=0,"",'[2]BASE'!HY116)</f>
        <v>XXXX</v>
      </c>
      <c r="Q115" s="491" t="str">
        <f>IF('[2]BASE'!HZ116=0,"",'[2]BASE'!HZ116)</f>
        <v>XXXX</v>
      </c>
      <c r="R115" s="491" t="str">
        <f>IF('[2]BASE'!IA116=0,"",'[2]BASE'!IA116)</f>
        <v>XXXX</v>
      </c>
      <c r="S115" s="491" t="str">
        <f>IF('[2]BASE'!IB116=0,"",'[2]BASE'!IB116)</f>
        <v>XXXX</v>
      </c>
      <c r="T115" s="491" t="str">
        <f>IF('[2]BASE'!IC116=0,"",'[2]BASE'!IC116)</f>
        <v>XXXX</v>
      </c>
      <c r="U115" s="491" t="str">
        <f>IF('[2]BASE'!ID116=0,"",'[2]BASE'!ID116)</f>
        <v>XXXX</v>
      </c>
      <c r="V115" s="493"/>
      <c r="W115" s="489"/>
    </row>
    <row r="116" spans="2:23" s="483" customFormat="1" ht="15.75" customHeight="1">
      <c r="B116" s="484"/>
      <c r="C116" s="490">
        <f>IF('[2]BASE'!C117=0,"",'[1]BASE'!C117)</f>
        <v>71</v>
      </c>
      <c r="D116" s="490" t="str">
        <f>IF('[2]BASE'!D117=0,"",'[1]BASE'!D117)</f>
        <v>NUEVO PUERTO - GALDOS 3 </v>
      </c>
      <c r="E116" s="490">
        <f>IF('[2]BASE'!E117=0,"",'[1]BASE'!E117)</f>
        <v>731</v>
      </c>
      <c r="F116" s="490" t="str">
        <f>IF('[2]BASE'!F117=0,"",'[1]BASE'!F117)</f>
        <v>C</v>
      </c>
      <c r="G116" s="490">
        <f>IF('[2]BASE'!G117=0,"",'[1]BASE'!G117)</f>
      </c>
      <c r="H116" s="490">
        <f>IF('[2]BASE'!H117=0,"",'[1]BASE'!H117)</f>
        <v>37.4</v>
      </c>
      <c r="I116" s="490">
        <f>IF('[2]BASE'!I117=0,"",'[1]BASE'!I117)</f>
        <v>7.4</v>
      </c>
      <c r="J116" s="491" t="str">
        <f>IF('[2]BASE'!HS117=0,"",'[2]BASE'!HS117)</f>
        <v>XXXX</v>
      </c>
      <c r="K116" s="491" t="str">
        <f>IF('[2]BASE'!HT117=0,"",'[2]BASE'!HT117)</f>
        <v>XXXX</v>
      </c>
      <c r="L116" s="491" t="str">
        <f>IF('[2]BASE'!HU117=0,"",'[2]BASE'!HU117)</f>
        <v>XXXX</v>
      </c>
      <c r="M116" s="491" t="str">
        <f>IF('[2]BASE'!HV117=0,"",'[2]BASE'!HV117)</f>
        <v>XXXX</v>
      </c>
      <c r="N116" s="491" t="str">
        <f>IF('[2]BASE'!HW117=0,"",'[2]BASE'!HW117)</f>
        <v>XXXX</v>
      </c>
      <c r="O116" s="491" t="str">
        <f>IF('[2]BASE'!HX117=0,"",'[2]BASE'!HX117)</f>
        <v>XXXX</v>
      </c>
      <c r="P116" s="491" t="str">
        <f>IF('[2]BASE'!HY117=0,"",'[2]BASE'!HY117)</f>
        <v>XXXX</v>
      </c>
      <c r="Q116" s="491" t="str">
        <f>IF('[2]BASE'!HZ117=0,"",'[2]BASE'!HZ117)</f>
        <v>XXXX</v>
      </c>
      <c r="R116" s="491" t="str">
        <f>IF('[2]BASE'!IA117=0,"",'[2]BASE'!IA117)</f>
        <v>XXXX</v>
      </c>
      <c r="S116" s="491" t="str">
        <f>IF('[2]BASE'!IB117=0,"",'[2]BASE'!IB117)</f>
        <v>XXXX</v>
      </c>
      <c r="T116" s="491" t="str">
        <f>IF('[2]BASE'!IC117=0,"",'[2]BASE'!IC117)</f>
        <v>XXXX</v>
      </c>
      <c r="U116" s="491" t="str">
        <f>IF('[2]BASE'!ID117=0,"",'[2]BASE'!ID117)</f>
        <v>XXXX</v>
      </c>
      <c r="V116" s="493"/>
      <c r="W116" s="489"/>
    </row>
    <row r="117" spans="2:23" s="483" customFormat="1" ht="15.75" customHeight="1">
      <c r="B117" s="484"/>
      <c r="C117" s="490">
        <f>IF('[2]BASE'!C118=0,"",'[1]BASE'!C118)</f>
        <v>102</v>
      </c>
      <c r="D117" s="490" t="str">
        <f>IF('[2]BASE'!D118=0,"",'[1]BASE'!D118)</f>
        <v>BOSQUES - SOBRAL 1 </v>
      </c>
      <c r="E117" s="490">
        <f>IF('[2]BASE'!E118=0,"",'[1]BASE'!E118)</f>
        <v>587</v>
      </c>
      <c r="F117" s="490" t="str">
        <f>IF('[2]BASE'!F118=0,"",'[1]BASE'!F118)</f>
        <v>LC</v>
      </c>
      <c r="G117" s="490">
        <f>IF('[2]BASE'!G118=0,"",'[1]BASE'!G118)</f>
        <v>88.16</v>
      </c>
      <c r="H117" s="490">
        <f>IF('[2]BASE'!H118=0,"",'[1]BASE'!H118)</f>
        <v>132</v>
      </c>
      <c r="I117" s="490">
        <f>IF('[2]BASE'!I118=0,"",'[1]BASE'!I118)</f>
        <v>16.9</v>
      </c>
      <c r="J117" s="491">
        <f>IF('[2]BASE'!HS118=0,"",'[2]BASE'!HS118)</f>
      </c>
      <c r="K117" s="491">
        <f>IF('[2]BASE'!HT118=0,"",'[2]BASE'!HT118)</f>
      </c>
      <c r="L117" s="491">
        <f>IF('[2]BASE'!HU118=0,"",'[2]BASE'!HU118)</f>
      </c>
      <c r="M117" s="491">
        <f>IF('[2]BASE'!HV118=0,"",'[2]BASE'!HV118)</f>
      </c>
      <c r="N117" s="491">
        <f>IF('[2]BASE'!HW118=0,"",'[2]BASE'!HW118)</f>
      </c>
      <c r="O117" s="491">
        <f>IF('[2]BASE'!HX118=0,"",'[2]BASE'!HX118)</f>
      </c>
      <c r="P117" s="491">
        <f>IF('[2]BASE'!HY118=0,"",'[2]BASE'!HY118)</f>
      </c>
      <c r="Q117" s="491">
        <f>IF('[2]BASE'!HZ118=0,"",'[2]BASE'!HZ118)</f>
      </c>
      <c r="R117" s="491">
        <f>IF('[2]BASE'!IA118=0,"",'[2]BASE'!IA118)</f>
      </c>
      <c r="S117" s="491">
        <f>IF('[2]BASE'!IB118=0,"",'[2]BASE'!IB118)</f>
      </c>
      <c r="T117" s="491">
        <f>IF('[2]BASE'!IC118=0,"",'[2]BASE'!IC118)</f>
        <v>1</v>
      </c>
      <c r="U117" s="491">
        <f>IF('[2]BASE'!ID118=0,"",'[2]BASE'!ID118)</f>
      </c>
      <c r="V117" s="493"/>
      <c r="W117" s="489"/>
    </row>
    <row r="118" spans="2:23" s="483" customFormat="1" ht="15.75" customHeight="1">
      <c r="B118" s="484"/>
      <c r="C118" s="490">
        <f>IF('[2]BASE'!C119=0,"",'[1]BASE'!C119)</f>
        <v>103</v>
      </c>
      <c r="D118" s="490" t="str">
        <f>IF('[2]BASE'!D119=0,"",'[1]BASE'!D119)</f>
        <v>BOSQUES - SOBRAL 2 </v>
      </c>
      <c r="E118" s="490">
        <f>IF('[2]BASE'!E119=0,"",'[1]BASE'!E119)</f>
        <v>588</v>
      </c>
      <c r="F118" s="490" t="str">
        <f>IF('[2]BASE'!F119=0,"",'[1]BASE'!F119)</f>
        <v>LC</v>
      </c>
      <c r="G118" s="490">
        <f>IF('[2]BASE'!G119=0,"",'[1]BASE'!G119)</f>
        <v>88.16</v>
      </c>
      <c r="H118" s="490">
        <f>IF('[2]BASE'!H119=0,"",'[1]BASE'!H119)</f>
        <v>132</v>
      </c>
      <c r="I118" s="490">
        <f>IF('[2]BASE'!I119=0,"",'[1]BASE'!I119)</f>
        <v>16.9</v>
      </c>
      <c r="J118" s="491">
        <f>IF('[2]BASE'!HS119=0,"",'[2]BASE'!HS119)</f>
      </c>
      <c r="K118" s="491">
        <f>IF('[2]BASE'!HT119=0,"",'[2]BASE'!HT119)</f>
      </c>
      <c r="L118" s="491">
        <f>IF('[2]BASE'!HU119=0,"",'[2]BASE'!HU119)</f>
      </c>
      <c r="M118" s="491">
        <f>IF('[2]BASE'!HV119=0,"",'[2]BASE'!HV119)</f>
      </c>
      <c r="N118" s="491">
        <f>IF('[2]BASE'!HW119=0,"",'[2]BASE'!HW119)</f>
      </c>
      <c r="O118" s="491">
        <f>IF('[2]BASE'!HX119=0,"",'[2]BASE'!HX119)</f>
      </c>
      <c r="P118" s="491">
        <f>IF('[2]BASE'!HY119=0,"",'[2]BASE'!HY119)</f>
      </c>
      <c r="Q118" s="491">
        <f>IF('[2]BASE'!HZ119=0,"",'[2]BASE'!HZ119)</f>
      </c>
      <c r="R118" s="491">
        <f>IF('[2]BASE'!IA119=0,"",'[2]BASE'!IA119)</f>
      </c>
      <c r="S118" s="491">
        <f>IF('[2]BASE'!IB119=0,"",'[2]BASE'!IB119)</f>
      </c>
      <c r="T118" s="491">
        <f>IF('[2]BASE'!IC119=0,"",'[2]BASE'!IC119)</f>
      </c>
      <c r="U118" s="491">
        <f>IF('[2]BASE'!ID119=0,"",'[2]BASE'!ID119)</f>
      </c>
      <c r="V118" s="493"/>
      <c r="W118" s="489"/>
    </row>
    <row r="119" spans="2:23" s="483" customFormat="1" ht="15.75" customHeight="1">
      <c r="B119" s="484"/>
      <c r="C119" s="490">
        <f>IF('[2]BASE'!C120=0,"",'[1]BASE'!C120)</f>
        <v>104</v>
      </c>
      <c r="D119" s="490" t="str">
        <f>IF('[2]BASE'!D120=0,"",'[1]BASE'!D120)</f>
        <v>BOSQUES - HUDSON 1 </v>
      </c>
      <c r="E119" s="490">
        <f>IF('[2]BASE'!E120=0,"",'[1]BASE'!E120)</f>
        <v>30</v>
      </c>
      <c r="F119" s="490" t="str">
        <f>IF('[2]BASE'!F120=0,"",'[1]BASE'!F120)</f>
        <v>L</v>
      </c>
      <c r="G119" s="490">
        <f>IF('[2]BASE'!G120=0,"",'[1]BASE'!G120)</f>
        <v>100</v>
      </c>
      <c r="H119" s="490">
        <f>IF('[2]BASE'!H120=0,"",'[1]BASE'!H120)</f>
        <v>220</v>
      </c>
      <c r="I119" s="490">
        <f>IF('[2]BASE'!I120=0,"",'[1]BASE'!I120)</f>
        <v>10</v>
      </c>
      <c r="J119" s="491">
        <f>IF('[2]BASE'!HS120=0,"",'[2]BASE'!HS120)</f>
      </c>
      <c r="K119" s="491">
        <f>IF('[2]BASE'!HT120=0,"",'[2]BASE'!HT120)</f>
      </c>
      <c r="L119" s="491">
        <f>IF('[2]BASE'!HU120=0,"",'[2]BASE'!HU120)</f>
      </c>
      <c r="M119" s="491">
        <f>IF('[2]BASE'!HV120=0,"",'[2]BASE'!HV120)</f>
      </c>
      <c r="N119" s="491">
        <f>IF('[2]BASE'!HW120=0,"",'[2]BASE'!HW120)</f>
      </c>
      <c r="O119" s="491">
        <f>IF('[2]BASE'!HX120=0,"",'[2]BASE'!HX120)</f>
      </c>
      <c r="P119" s="491">
        <f>IF('[2]BASE'!HY120=0,"",'[2]BASE'!HY120)</f>
      </c>
      <c r="Q119" s="491">
        <f>IF('[2]BASE'!HZ120=0,"",'[2]BASE'!HZ120)</f>
      </c>
      <c r="R119" s="491">
        <f>IF('[2]BASE'!IA120=0,"",'[2]BASE'!IA120)</f>
      </c>
      <c r="S119" s="491">
        <f>IF('[2]BASE'!IB120=0,"",'[2]BASE'!IB120)</f>
      </c>
      <c r="T119" s="491">
        <f>IF('[2]BASE'!IC120=0,"",'[2]BASE'!IC120)</f>
      </c>
      <c r="U119" s="491">
        <f>IF('[2]BASE'!ID120=0,"",'[2]BASE'!ID120)</f>
      </c>
      <c r="V119" s="493"/>
      <c r="W119" s="489"/>
    </row>
    <row r="120" spans="2:23" s="483" customFormat="1" ht="15.75" customHeight="1">
      <c r="B120" s="484"/>
      <c r="C120" s="490">
        <f>IF('[2]BASE'!C121=0,"",'[1]BASE'!C121)</f>
        <v>105</v>
      </c>
      <c r="D120" s="490" t="str">
        <f>IF('[2]BASE'!D121=0,"",'[1]BASE'!D121)</f>
        <v>BOSQUES - HUDSON 2 </v>
      </c>
      <c r="E120" s="490">
        <f>IF('[2]BASE'!E121=0,"",'[1]BASE'!E121)</f>
        <v>31</v>
      </c>
      <c r="F120" s="490" t="str">
        <f>IF('[2]BASE'!F121=0,"",'[1]BASE'!F121)</f>
        <v>L</v>
      </c>
      <c r="G120" s="490">
        <f>IF('[2]BASE'!G121=0,"",'[1]BASE'!G121)</f>
      </c>
      <c r="H120" s="490">
        <f>IF('[2]BASE'!H121=0,"",'[1]BASE'!H121)</f>
        <v>220</v>
      </c>
      <c r="I120" s="490">
        <f>IF('[2]BASE'!I121=0,"",'[1]BASE'!I121)</f>
        <v>10</v>
      </c>
      <c r="J120" s="491">
        <f>IF('[2]BASE'!HS121=0,"",'[2]BASE'!HS121)</f>
      </c>
      <c r="K120" s="491">
        <f>IF('[2]BASE'!HT121=0,"",'[2]BASE'!HT121)</f>
      </c>
      <c r="L120" s="491">
        <f>IF('[2]BASE'!HU121=0,"",'[2]BASE'!HU121)</f>
        <v>1</v>
      </c>
      <c r="M120" s="491">
        <f>IF('[2]BASE'!HV121=0,"",'[2]BASE'!HV121)</f>
      </c>
      <c r="N120" s="491">
        <f>IF('[2]BASE'!HW121=0,"",'[2]BASE'!HW121)</f>
      </c>
      <c r="O120" s="491">
        <f>IF('[2]BASE'!HX121=0,"",'[2]BASE'!HX121)</f>
      </c>
      <c r="P120" s="491">
        <f>IF('[2]BASE'!HY121=0,"",'[2]BASE'!HY121)</f>
        <v>1</v>
      </c>
      <c r="Q120" s="491">
        <f>IF('[2]BASE'!HZ121=0,"",'[2]BASE'!HZ121)</f>
      </c>
      <c r="R120" s="491">
        <f>IF('[2]BASE'!IA121=0,"",'[2]BASE'!IA121)</f>
      </c>
      <c r="S120" s="491">
        <f>IF('[2]BASE'!IB121=0,"",'[2]BASE'!IB121)</f>
      </c>
      <c r="T120" s="491">
        <f>IF('[2]BASE'!IC121=0,"",'[2]BASE'!IC121)</f>
        <v>1</v>
      </c>
      <c r="U120" s="491">
        <f>IF('[2]BASE'!ID121=0,"",'[2]BASE'!ID121)</f>
        <v>1</v>
      </c>
      <c r="V120" s="493"/>
      <c r="W120" s="489"/>
    </row>
    <row r="121" spans="2:23" s="483" customFormat="1" ht="15.75" customHeight="1">
      <c r="B121" s="484"/>
      <c r="C121" s="490">
        <f>IF('[2]BASE'!C122=0,"",'[1]BASE'!C122)</f>
        <v>106</v>
      </c>
      <c r="D121" s="490" t="str">
        <f>IF('[2]BASE'!D122=0,"",'[1]BASE'!D122)</f>
        <v>HUDSON - COSTANERA 1</v>
      </c>
      <c r="E121" s="490">
        <f>IF('[2]BASE'!E122=0,"",'[1]BASE'!E122)</f>
        <v>50</v>
      </c>
      <c r="F121" s="490" t="str">
        <f>IF('[2]BASE'!F122=0,"",'[1]BASE'!F122)</f>
        <v>L</v>
      </c>
      <c r="G121" s="490">
        <f>IF('[2]BASE'!G122=0,"",'[1]BASE'!G122)</f>
      </c>
      <c r="H121" s="490">
        <f>IF('[2]BASE'!H122=0,"",'[1]BASE'!H122)</f>
        <v>220</v>
      </c>
      <c r="I121" s="490">
        <f>IF('[2]BASE'!I122=0,"",'[1]BASE'!I122)</f>
        <v>22.6</v>
      </c>
      <c r="J121" s="491">
        <f>IF('[2]BASE'!HS122=0,"",'[2]BASE'!HS122)</f>
      </c>
      <c r="K121" s="491">
        <f>IF('[2]BASE'!HT122=0,"",'[2]BASE'!HT122)</f>
      </c>
      <c r="L121" s="491">
        <f>IF('[2]BASE'!HU122=0,"",'[2]BASE'!HU122)</f>
      </c>
      <c r="M121" s="491">
        <f>IF('[2]BASE'!HV122=0,"",'[2]BASE'!HV122)</f>
      </c>
      <c r="N121" s="491">
        <f>IF('[2]BASE'!HW122=0,"",'[2]BASE'!HW122)</f>
      </c>
      <c r="O121" s="491">
        <f>IF('[2]BASE'!HX122=0,"",'[2]BASE'!HX122)</f>
      </c>
      <c r="P121" s="491">
        <f>IF('[2]BASE'!HY122=0,"",'[2]BASE'!HY122)</f>
      </c>
      <c r="Q121" s="491">
        <f>IF('[2]BASE'!HZ122=0,"",'[2]BASE'!HZ122)</f>
      </c>
      <c r="R121" s="491">
        <f>IF('[2]BASE'!IA122=0,"",'[2]BASE'!IA122)</f>
      </c>
      <c r="S121" s="491">
        <f>IF('[2]BASE'!IB122=0,"",'[2]BASE'!IB122)</f>
      </c>
      <c r="T121" s="491">
        <f>IF('[2]BASE'!IC122=0,"",'[2]BASE'!IC122)</f>
      </c>
      <c r="U121" s="491">
        <f>IF('[2]BASE'!ID122=0,"",'[2]BASE'!ID122)</f>
      </c>
      <c r="V121" s="493"/>
      <c r="W121" s="489"/>
    </row>
    <row r="122" spans="2:23" s="483" customFormat="1" ht="15.75" customHeight="1">
      <c r="B122" s="484"/>
      <c r="C122" s="490">
        <f>IF('[2]BASE'!C123=0,"",'[1]BASE'!C123)</f>
        <v>107</v>
      </c>
      <c r="D122" s="490" t="str">
        <f>IF('[2]BASE'!D123=0,"",'[1]BASE'!D123)</f>
        <v>HUDSON - COSTANERA 2</v>
      </c>
      <c r="E122" s="490">
        <f>IF('[2]BASE'!E123=0,"",'[1]BASE'!E123)</f>
        <v>51</v>
      </c>
      <c r="F122" s="490" t="str">
        <f>IF('[2]BASE'!F123=0,"",'[1]BASE'!F123)</f>
        <v>L</v>
      </c>
      <c r="G122" s="490">
        <f>IF('[2]BASE'!G123=0,"",'[1]BASE'!G123)</f>
      </c>
      <c r="H122" s="490">
        <f>IF('[2]BASE'!H123=0,"",'[1]BASE'!H123)</f>
        <v>220</v>
      </c>
      <c r="I122" s="490">
        <f>IF('[2]BASE'!I123=0,"",'[1]BASE'!I123)</f>
        <v>22.6</v>
      </c>
      <c r="J122" s="491">
        <f>IF('[2]BASE'!HS123=0,"",'[2]BASE'!HS123)</f>
      </c>
      <c r="K122" s="491">
        <f>IF('[2]BASE'!HT123=0,"",'[2]BASE'!HT123)</f>
      </c>
      <c r="L122" s="491">
        <f>IF('[2]BASE'!HU123=0,"",'[2]BASE'!HU123)</f>
      </c>
      <c r="M122" s="491">
        <f>IF('[2]BASE'!HV123=0,"",'[2]BASE'!HV123)</f>
      </c>
      <c r="N122" s="491">
        <f>IF('[2]BASE'!HW123=0,"",'[2]BASE'!HW123)</f>
      </c>
      <c r="O122" s="491">
        <f>IF('[2]BASE'!HX123=0,"",'[2]BASE'!HX123)</f>
      </c>
      <c r="P122" s="491">
        <f>IF('[2]BASE'!HY123=0,"",'[2]BASE'!HY123)</f>
      </c>
      <c r="Q122" s="491">
        <f>IF('[2]BASE'!HZ123=0,"",'[2]BASE'!HZ123)</f>
      </c>
      <c r="R122" s="491">
        <f>IF('[2]BASE'!IA123=0,"",'[2]BASE'!IA123)</f>
      </c>
      <c r="S122" s="491">
        <f>IF('[2]BASE'!IB123=0,"",'[2]BASE'!IB123)</f>
      </c>
      <c r="T122" s="491">
        <f>IF('[2]BASE'!IC123=0,"",'[2]BASE'!IC123)</f>
      </c>
      <c r="U122" s="491">
        <f>IF('[2]BASE'!ID123=0,"",'[2]BASE'!ID123)</f>
      </c>
      <c r="V122" s="493"/>
      <c r="W122" s="489"/>
    </row>
    <row r="123" spans="2:23" s="483" customFormat="1" ht="15.75" customHeight="1" thickBot="1">
      <c r="B123" s="484"/>
      <c r="C123" s="494"/>
      <c r="D123" s="495"/>
      <c r="E123" s="495"/>
      <c r="F123" s="496"/>
      <c r="G123" s="496"/>
      <c r="H123" s="495"/>
      <c r="I123" s="496"/>
      <c r="J123" s="497">
        <f>IF('[2]BASE'!HS120=0,"",'[2]BASE'!HS120)</f>
      </c>
      <c r="K123" s="497">
        <f>IF('[2]BASE'!HT120=0,"",'[2]BASE'!HT120)</f>
      </c>
      <c r="L123" s="497">
        <f>IF('[2]BASE'!HU120=0,"",'[2]BASE'!HU120)</f>
      </c>
      <c r="M123" s="497">
        <f>IF('[2]BASE'!HV120=0,"",'[2]BASE'!HV120)</f>
      </c>
      <c r="N123" s="497">
        <f>IF('[2]BASE'!HW120=0,"",'[2]BASE'!HW120)</f>
      </c>
      <c r="O123" s="497">
        <f>IF('[2]BASE'!HX120=0,"",'[2]BASE'!HX120)</f>
      </c>
      <c r="P123" s="497">
        <f>IF('[2]BASE'!HY120=0,"",'[2]BASE'!HY120)</f>
      </c>
      <c r="Q123" s="497">
        <f>IF('[2]BASE'!HZ120=0,"",'[2]BASE'!HZ120)</f>
      </c>
      <c r="R123" s="497">
        <f>IF('[2]BASE'!IA120=0,"",'[2]BASE'!IA120)</f>
      </c>
      <c r="S123" s="497">
        <f>IF('[2]BASE'!IB120=0,"",'[2]BASE'!IB120)</f>
      </c>
      <c r="T123" s="497">
        <f>IF('[2]BASE'!IC120=0,"",'[2]BASE'!IC120)</f>
      </c>
      <c r="U123" s="497">
        <f>IF('[2]BASE'!ID120=0,"",'[2]BASE'!ID120)</f>
      </c>
      <c r="V123" s="493"/>
      <c r="W123" s="489"/>
    </row>
    <row r="124" spans="2:23" s="483" customFormat="1" ht="18" customHeight="1" thickBot="1" thickTop="1">
      <c r="B124" s="484"/>
      <c r="C124" s="498"/>
      <c r="D124" s="499"/>
      <c r="E124" s="499"/>
      <c r="F124" s="500"/>
      <c r="G124" s="500"/>
      <c r="H124" s="501" t="s">
        <v>186</v>
      </c>
      <c r="I124" s="502">
        <f>SUM(I16:I123)-I16-I17-I20-I21-I28-I30-I32-I37-I83-I84-I100-I101-I104-I105-I108-I109-I110-I111-I114-I115-I116</f>
        <v>995.3</v>
      </c>
      <c r="J124" s="503"/>
      <c r="K124" s="503"/>
      <c r="L124" s="503"/>
      <c r="M124" s="503"/>
      <c r="N124" s="503"/>
      <c r="O124" s="503"/>
      <c r="P124" s="503"/>
      <c r="Q124" s="503"/>
      <c r="R124" s="503"/>
      <c r="S124" s="503"/>
      <c r="T124" s="503"/>
      <c r="U124" s="503"/>
      <c r="V124" s="493"/>
      <c r="W124" s="489"/>
    </row>
    <row r="125" spans="2:23" s="483" customFormat="1" ht="18" customHeight="1" thickBot="1" thickTop="1">
      <c r="B125" s="484"/>
      <c r="C125" s="498"/>
      <c r="D125" s="499"/>
      <c r="E125" s="499"/>
      <c r="F125" s="500"/>
      <c r="G125" s="500"/>
      <c r="H125" s="504"/>
      <c r="I125" s="505" t="s">
        <v>187</v>
      </c>
      <c r="J125" s="506">
        <f>SUM(J15:J123)</f>
        <v>12</v>
      </c>
      <c r="K125" s="506">
        <f>SUM(K15:K123)</f>
        <v>9</v>
      </c>
      <c r="L125" s="506">
        <f aca="true" t="shared" si="0" ref="L125:U125">SUM(L15:L123)</f>
        <v>15</v>
      </c>
      <c r="M125" s="506">
        <f t="shared" si="0"/>
        <v>5</v>
      </c>
      <c r="N125" s="506">
        <f t="shared" si="0"/>
        <v>15</v>
      </c>
      <c r="O125" s="506">
        <f t="shared" si="0"/>
        <v>9</v>
      </c>
      <c r="P125" s="506">
        <f t="shared" si="0"/>
        <v>13</v>
      </c>
      <c r="Q125" s="506">
        <f t="shared" si="0"/>
        <v>8</v>
      </c>
      <c r="R125" s="506">
        <f t="shared" si="0"/>
        <v>10</v>
      </c>
      <c r="S125" s="506">
        <f t="shared" si="0"/>
        <v>15</v>
      </c>
      <c r="T125" s="506">
        <f t="shared" si="0"/>
        <v>16</v>
      </c>
      <c r="U125" s="506">
        <f t="shared" si="0"/>
        <v>13</v>
      </c>
      <c r="V125" s="507"/>
      <c r="W125" s="489"/>
    </row>
    <row r="126" spans="2:23" ht="17.25" thickBot="1" thickTop="1">
      <c r="B126" s="475"/>
      <c r="C126" s="476"/>
      <c r="D126" s="508"/>
      <c r="E126" s="508"/>
      <c r="F126" s="509"/>
      <c r="G126" s="509"/>
      <c r="H126" s="508"/>
      <c r="I126" s="510" t="s">
        <v>188</v>
      </c>
      <c r="J126" s="511">
        <f>'[2]BASE'!HS127</f>
        <v>14.769416256405107</v>
      </c>
      <c r="K126" s="511">
        <f>'[2]BASE'!HT127</f>
        <v>15.07083291469909</v>
      </c>
      <c r="L126" s="511">
        <f>'[2]BASE'!HU127</f>
        <v>13.764694062091834</v>
      </c>
      <c r="M126" s="511">
        <f>'[2]BASE'!HV127</f>
        <v>14.367527378679798</v>
      </c>
      <c r="N126" s="511">
        <f>'[2]BASE'!HW127</f>
        <v>14.568471817542452</v>
      </c>
      <c r="O126" s="511">
        <f>'[2]BASE'!HX127</f>
        <v>15.874610670149705</v>
      </c>
      <c r="P126" s="511">
        <f>'[2]BASE'!HY127</f>
        <v>15.975082889581033</v>
      </c>
      <c r="Q126" s="511">
        <f>'[2]BASE'!HZ127</f>
        <v>15.171305134130417</v>
      </c>
      <c r="R126" s="511">
        <f>'[2]BASE'!IA127</f>
        <v>13.362805184366525</v>
      </c>
      <c r="S126" s="511">
        <f>'[2]BASE'!IB127</f>
        <v>13.56374962322918</v>
      </c>
      <c r="T126" s="511">
        <f>'[2]BASE'!IC127</f>
        <v>13.56374962322918</v>
      </c>
      <c r="U126" s="511">
        <f>'[2]BASE'!ID127</f>
        <v>13.965638500954489</v>
      </c>
      <c r="V126" s="511">
        <f>'[2]BASE'!IE127</f>
        <v>14.066110720385815</v>
      </c>
      <c r="W126" s="477"/>
    </row>
    <row r="127" spans="2:23" ht="18.75" customHeight="1" thickBot="1" thickTop="1">
      <c r="B127" s="475"/>
      <c r="C127" s="512"/>
      <c r="D127" s="513" t="s">
        <v>189</v>
      </c>
      <c r="E127" s="508"/>
      <c r="F127" s="509"/>
      <c r="G127" s="509"/>
      <c r="H127" s="508"/>
      <c r="I127" s="509"/>
      <c r="J127" s="476"/>
      <c r="K127" s="476"/>
      <c r="L127" s="476"/>
      <c r="M127" s="476"/>
      <c r="N127" s="476"/>
      <c r="O127" s="476"/>
      <c r="P127" s="476"/>
      <c r="Q127" s="476"/>
      <c r="R127" s="476"/>
      <c r="S127" s="476"/>
      <c r="T127" s="476"/>
      <c r="U127" s="476"/>
      <c r="V127" s="476"/>
      <c r="W127" s="477"/>
    </row>
    <row r="128" spans="2:23" ht="20.25" thickBot="1" thickTop="1">
      <c r="B128" s="475"/>
      <c r="C128" s="476"/>
      <c r="D128" s="508"/>
      <c r="E128" s="508"/>
      <c r="F128" s="509"/>
      <c r="J128" s="514"/>
      <c r="K128" s="515" t="s">
        <v>190</v>
      </c>
      <c r="L128" s="515"/>
      <c r="M128" s="516">
        <f>V126</f>
        <v>14.066110720385815</v>
      </c>
      <c r="N128" s="517" t="s">
        <v>191</v>
      </c>
      <c r="O128" s="517"/>
      <c r="P128" s="518"/>
      <c r="Q128" s="519"/>
      <c r="R128" s="476"/>
      <c r="S128" s="476"/>
      <c r="T128" s="476"/>
      <c r="U128" s="520"/>
      <c r="V128" s="521"/>
      <c r="W128" s="477"/>
    </row>
    <row r="129" spans="2:23" ht="18.75" customHeight="1" thickBot="1" thickTop="1">
      <c r="B129" s="522"/>
      <c r="C129" s="523"/>
      <c r="D129" s="524"/>
      <c r="E129" s="524"/>
      <c r="F129" s="525"/>
      <c r="G129" s="525"/>
      <c r="H129" s="524"/>
      <c r="I129" s="525"/>
      <c r="J129" s="523"/>
      <c r="K129" s="523"/>
      <c r="L129" s="523"/>
      <c r="M129" s="523"/>
      <c r="N129" s="523"/>
      <c r="O129" s="523"/>
      <c r="P129" s="523"/>
      <c r="Q129" s="523"/>
      <c r="R129" s="523"/>
      <c r="S129" s="523"/>
      <c r="T129" s="523"/>
      <c r="U129" s="523"/>
      <c r="V129" s="523"/>
      <c r="W129" s="526"/>
    </row>
    <row r="130" ht="13.5" thickTop="1"/>
  </sheetData>
  <sheetProtection/>
  <printOptions horizontalCentered="1" verticalCentered="1"/>
  <pageMargins left="0.3937007874015748" right="0.1968503937007874" top="0.7874015748031497" bottom="0.7874015748031497" header="0.5118110236220472" footer="0.5118110236220472"/>
  <pageSetup fitToHeight="1" fitToWidth="1" horizontalDpi="1200" verticalDpi="1200" orientation="landscape" paperSize="9" scale="2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3"/>
  <dimension ref="A1:AC21"/>
  <sheetViews>
    <sheetView zoomScale="85" zoomScaleNormal="85" zoomScalePageLayoutView="0" workbookViewId="0" topLeftCell="A1">
      <selection activeCell="E48" sqref="E48"/>
    </sheetView>
  </sheetViews>
  <sheetFormatPr defaultColWidth="11.421875" defaultRowHeight="12.75"/>
  <cols>
    <col min="1" max="1" width="21.7109375" style="428" customWidth="1"/>
    <col min="2" max="2" width="9.28125" style="428" customWidth="1"/>
    <col min="3" max="3" width="11.8515625" style="428" bestFit="1" customWidth="1"/>
    <col min="4" max="4" width="9.57421875" style="428" bestFit="1" customWidth="1"/>
    <col min="5" max="5" width="14.8515625" style="428" bestFit="1" customWidth="1"/>
    <col min="6" max="6" width="49.421875" style="428" bestFit="1" customWidth="1"/>
    <col min="7" max="16384" width="11.421875" style="428" customWidth="1"/>
  </cols>
  <sheetData>
    <row r="1" spans="1:8" ht="12.75">
      <c r="A1" s="427" t="s">
        <v>81</v>
      </c>
      <c r="B1" s="427" t="s">
        <v>81</v>
      </c>
      <c r="C1" s="427" t="s">
        <v>82</v>
      </c>
      <c r="D1" s="427" t="s">
        <v>83</v>
      </c>
      <c r="G1" s="442" t="s">
        <v>77</v>
      </c>
      <c r="H1" s="443"/>
    </row>
    <row r="2" spans="1:8" ht="12.75">
      <c r="A2" s="429" t="s">
        <v>35</v>
      </c>
      <c r="B2" s="430" t="s">
        <v>84</v>
      </c>
      <c r="C2" s="429">
        <v>31</v>
      </c>
      <c r="D2" s="429">
        <v>2006</v>
      </c>
      <c r="G2" s="444" t="s">
        <v>78</v>
      </c>
      <c r="H2" s="445"/>
    </row>
    <row r="3" spans="1:8" ht="12.75">
      <c r="A3" s="429" t="s">
        <v>36</v>
      </c>
      <c r="B3" s="430" t="s">
        <v>85</v>
      </c>
      <c r="C3" s="429">
        <f>IF(MOD(E14,4)=0,29,28)</f>
        <v>28</v>
      </c>
      <c r="D3" s="429">
        <f>+D2+1</f>
        <v>2007</v>
      </c>
      <c r="E3" s="428">
        <v>2</v>
      </c>
      <c r="F3" s="428" t="str">
        <f>CHOOSE(E3,"EDENOR","EDESUR","EDELAP","CCP")</f>
        <v>EDESUR</v>
      </c>
      <c r="G3" s="444" t="s">
        <v>47</v>
      </c>
      <c r="H3" s="445"/>
    </row>
    <row r="4" spans="1:8" ht="12.75">
      <c r="A4" s="429" t="s">
        <v>37</v>
      </c>
      <c r="B4" s="430" t="s">
        <v>86</v>
      </c>
      <c r="C4" s="429">
        <v>31</v>
      </c>
      <c r="D4" s="429">
        <v>2008</v>
      </c>
      <c r="F4" s="428" t="str">
        <f>CHOOSE(E3,"NOR","SUR","LAP","CCP")</f>
        <v>SUR</v>
      </c>
      <c r="G4" s="444" t="s">
        <v>48</v>
      </c>
      <c r="H4" s="445"/>
    </row>
    <row r="5" spans="1:8" ht="12.75">
      <c r="A5" s="429" t="s">
        <v>38</v>
      </c>
      <c r="B5" s="430" t="s">
        <v>87</v>
      </c>
      <c r="C5" s="429">
        <v>30</v>
      </c>
      <c r="D5" s="429">
        <v>2009</v>
      </c>
      <c r="F5" t="str">
        <f>CHOOSE(E3,"EDENOR S.A.","EDESUR S.A.","EDELAP S.A.","CENTRAL CASA DE PIEDRA")</f>
        <v>EDESUR S.A.</v>
      </c>
      <c r="G5" s="444" t="s">
        <v>131</v>
      </c>
      <c r="H5" s="445"/>
    </row>
    <row r="6" spans="1:8" ht="12.75">
      <c r="A6" s="429" t="s">
        <v>39</v>
      </c>
      <c r="B6" s="430" t="s">
        <v>88</v>
      </c>
      <c r="C6" s="429">
        <v>31</v>
      </c>
      <c r="D6" s="429">
        <v>2010</v>
      </c>
      <c r="G6" s="452"/>
      <c r="H6" s="453"/>
    </row>
    <row r="7" spans="1:8" ht="12.75">
      <c r="A7" s="429" t="s">
        <v>40</v>
      </c>
      <c r="B7" s="430" t="s">
        <v>89</v>
      </c>
      <c r="C7" s="429">
        <v>30</v>
      </c>
      <c r="D7" s="429">
        <v>2011</v>
      </c>
      <c r="G7" s="452"/>
      <c r="H7" s="453"/>
    </row>
    <row r="8" spans="1:8" ht="12.75">
      <c r="A8" s="429" t="s">
        <v>41</v>
      </c>
      <c r="B8" s="430" t="s">
        <v>90</v>
      </c>
      <c r="C8" s="429">
        <v>31</v>
      </c>
      <c r="D8" s="429">
        <v>2012</v>
      </c>
      <c r="G8" s="452"/>
      <c r="H8" s="453"/>
    </row>
    <row r="9" spans="1:8" ht="12.75">
      <c r="A9" s="429" t="s">
        <v>42</v>
      </c>
      <c r="B9" s="430" t="s">
        <v>91</v>
      </c>
      <c r="C9" s="429">
        <v>31</v>
      </c>
      <c r="D9" s="429">
        <v>2013</v>
      </c>
      <c r="G9" s="452"/>
      <c r="H9" s="453"/>
    </row>
    <row r="10" spans="1:8" ht="12.75">
      <c r="A10" s="429" t="s">
        <v>43</v>
      </c>
      <c r="B10" s="430" t="s">
        <v>92</v>
      </c>
      <c r="C10" s="429">
        <v>30</v>
      </c>
      <c r="D10" s="429">
        <v>2014</v>
      </c>
      <c r="G10" s="452"/>
      <c r="H10" s="453"/>
    </row>
    <row r="11" spans="1:8" ht="12.75">
      <c r="A11" s="429" t="s">
        <v>44</v>
      </c>
      <c r="B11" s="430" t="s">
        <v>93</v>
      </c>
      <c r="C11" s="429">
        <v>31</v>
      </c>
      <c r="D11" s="429"/>
      <c r="G11" s="452"/>
      <c r="H11" s="453"/>
    </row>
    <row r="12" spans="1:8" ht="12.75">
      <c r="A12" s="429" t="s">
        <v>45</v>
      </c>
      <c r="B12" s="430" t="s">
        <v>94</v>
      </c>
      <c r="C12" s="429">
        <v>30</v>
      </c>
      <c r="D12" s="429"/>
      <c r="G12" s="452"/>
      <c r="H12" s="453"/>
    </row>
    <row r="13" spans="1:9" ht="12.75">
      <c r="A13" s="429" t="s">
        <v>46</v>
      </c>
      <c r="B13" s="430" t="s">
        <v>95</v>
      </c>
      <c r="C13" s="429">
        <v>31</v>
      </c>
      <c r="D13" s="429"/>
      <c r="I13" s="431" t="s">
        <v>96</v>
      </c>
    </row>
    <row r="14" spans="1:9" ht="12.75">
      <c r="A14" s="432">
        <v>9</v>
      </c>
      <c r="B14" s="433">
        <v>3</v>
      </c>
      <c r="C14" s="432" t="str">
        <f ca="1">CELL("CONTENIDO",OFFSET(A1,B14,0))</f>
        <v>marzo</v>
      </c>
      <c r="D14" s="432">
        <f ca="1">CELL("CONTENIDO",OFFSET(C1,B14,0))</f>
        <v>31</v>
      </c>
      <c r="E14" s="446">
        <f ca="1">CELL("CONTENIDO",OFFSET(D1,A14,0))</f>
        <v>2014</v>
      </c>
      <c r="F14" s="432" t="str">
        <f>"Desde el 01 al "&amp;D14&amp;" de "&amp;C14&amp;" de "&amp;E14</f>
        <v>Desde el 01 al 31 de marzo de 2014</v>
      </c>
      <c r="G14" s="432" t="str">
        <f ca="1">CELL("CONTENIDO",OFFSET(B1,B14,0))</f>
        <v>03</v>
      </c>
      <c r="H14" s="432" t="str">
        <f>RIGHT(E14,2)</f>
        <v>14</v>
      </c>
      <c r="I14" s="434" t="s">
        <v>97</v>
      </c>
    </row>
    <row r="15" spans="1:8" ht="12.75">
      <c r="A15" s="432"/>
      <c r="B15" s="435" t="str">
        <f>"\\rugor\files\Transporte\Transporte\AA PROCESO AUT ARCHIVOS J\"&amp;F3&amp;"\"&amp;E14</f>
        <v>\\rugor\files\Transporte\Transporte\AA PROCESO AUT ARCHIVOS J\EDESUR\2014</v>
      </c>
      <c r="C15" s="432"/>
      <c r="D15" s="432"/>
      <c r="E15" s="432"/>
      <c r="F15" s="432"/>
      <c r="G15" s="432" t="str">
        <f>"J"&amp;H14&amp;G14&amp;F4</f>
        <v>J1403SUR</v>
      </c>
      <c r="H15" s="432"/>
    </row>
    <row r="16" spans="1:8" ht="12.75">
      <c r="A16" s="432"/>
      <c r="B16" s="435" t="str">
        <f>"\\rugor\files\Transporte\transporte\AA PROCESO AUT\INTERCAMBIO\"&amp;H14&amp;G14</f>
        <v>\\rugor\files\Transporte\transporte\AA PROCESO AUT\INTERCAMBIO\1403</v>
      </c>
      <c r="C16" s="432"/>
      <c r="D16" s="432"/>
      <c r="E16" s="432"/>
      <c r="F16" s="432"/>
      <c r="G16" s="432"/>
      <c r="H16" s="432"/>
    </row>
    <row r="17" spans="1:29" s="436" customFormat="1" ht="12.75">
      <c r="A17" s="427" t="s">
        <v>98</v>
      </c>
      <c r="B17" s="427" t="s">
        <v>99</v>
      </c>
      <c r="C17" s="427" t="s">
        <v>100</v>
      </c>
      <c r="D17" s="427" t="s">
        <v>101</v>
      </c>
      <c r="E17" s="427" t="s">
        <v>102</v>
      </c>
      <c r="F17" s="427" t="s">
        <v>103</v>
      </c>
      <c r="G17" s="427" t="s">
        <v>104</v>
      </c>
      <c r="H17" s="427" t="s">
        <v>105</v>
      </c>
      <c r="I17" s="427" t="s">
        <v>106</v>
      </c>
      <c r="J17" s="427" t="s">
        <v>107</v>
      </c>
      <c r="K17" s="427" t="s">
        <v>108</v>
      </c>
      <c r="L17" s="427" t="s">
        <v>109</v>
      </c>
      <c r="M17" s="427" t="s">
        <v>110</v>
      </c>
      <c r="N17" s="427" t="s">
        <v>111</v>
      </c>
      <c r="O17" s="427" t="s">
        <v>112</v>
      </c>
      <c r="P17" s="427" t="s">
        <v>113</v>
      </c>
      <c r="Q17" s="427" t="s">
        <v>114</v>
      </c>
      <c r="R17" s="427" t="s">
        <v>115</v>
      </c>
      <c r="S17" s="427" t="s">
        <v>116</v>
      </c>
      <c r="T17" s="427" t="s">
        <v>117</v>
      </c>
      <c r="U17" s="427" t="s">
        <v>118</v>
      </c>
      <c r="V17" s="427" t="s">
        <v>119</v>
      </c>
      <c r="W17" s="427" t="s">
        <v>120</v>
      </c>
      <c r="X17" s="427" t="s">
        <v>121</v>
      </c>
      <c r="Y17" s="427" t="s">
        <v>122</v>
      </c>
      <c r="Z17" s="427" t="s">
        <v>123</v>
      </c>
      <c r="AA17" s="427" t="s">
        <v>124</v>
      </c>
      <c r="AB17" s="427" t="s">
        <v>125</v>
      </c>
      <c r="AC17" s="427" t="s">
        <v>126</v>
      </c>
    </row>
    <row r="18" spans="1:29" ht="12.75">
      <c r="A18" s="437" t="s">
        <v>129</v>
      </c>
      <c r="B18" s="441">
        <v>23</v>
      </c>
      <c r="C18" s="441">
        <v>20</v>
      </c>
      <c r="D18" s="441">
        <v>14</v>
      </c>
      <c r="E18" s="437" t="str">
        <f>"LI-"&amp;$G$14</f>
        <v>LI-03</v>
      </c>
      <c r="F18" s="437" t="str">
        <f>F3&amp;"_INDISPONIBILIDADES_LINEAS_"&amp;F3&amp;"_PAFFT.XLS"</f>
        <v>EDESUR_INDISPONIBILIDADES_LINEAS_EDESUR_PAFFT.XLS</v>
      </c>
      <c r="G18" s="441">
        <v>3</v>
      </c>
      <c r="H18" s="449">
        <v>5</v>
      </c>
      <c r="I18" s="449">
        <v>4</v>
      </c>
      <c r="J18" s="441">
        <v>6</v>
      </c>
      <c r="K18" s="441">
        <v>7</v>
      </c>
      <c r="L18" s="441">
        <v>8</v>
      </c>
      <c r="M18" s="441">
        <v>9</v>
      </c>
      <c r="N18" s="441">
        <v>10</v>
      </c>
      <c r="O18" s="441">
        <v>11</v>
      </c>
      <c r="P18" s="441">
        <v>0</v>
      </c>
      <c r="Q18" s="441">
        <v>13</v>
      </c>
      <c r="R18" s="441">
        <v>14</v>
      </c>
      <c r="S18" s="441">
        <v>17</v>
      </c>
      <c r="T18" s="441">
        <v>0</v>
      </c>
      <c r="U18" s="441">
        <v>29</v>
      </c>
      <c r="V18" s="441">
        <v>18</v>
      </c>
      <c r="W18" s="441">
        <v>18</v>
      </c>
      <c r="X18" s="441">
        <v>10</v>
      </c>
      <c r="Y18" s="441">
        <v>44</v>
      </c>
      <c r="Z18" s="441">
        <v>30</v>
      </c>
      <c r="AA18" s="441">
        <v>21</v>
      </c>
      <c r="AB18" s="441">
        <v>30</v>
      </c>
      <c r="AC18" s="441">
        <v>17</v>
      </c>
    </row>
    <row r="19" spans="1:29" ht="12.75">
      <c r="A19" s="439" t="s">
        <v>128</v>
      </c>
      <c r="B19" s="441">
        <v>23</v>
      </c>
      <c r="C19" s="441">
        <v>20</v>
      </c>
      <c r="D19" s="439">
        <v>13</v>
      </c>
      <c r="E19" s="439" t="str">
        <f>"T-"&amp;$G$14</f>
        <v>T-03</v>
      </c>
      <c r="F19" s="437" t="str">
        <f>F3&amp;"_INDISPONIBILIDADES_TRAFOS_"&amp;F3&amp;"_PAFFT.XLS"</f>
        <v>EDESUR_INDISPONIBILIDADES_TRAFOS_EDESUR_PAFFT.XLS</v>
      </c>
      <c r="G19" s="437">
        <v>3</v>
      </c>
      <c r="H19" s="438">
        <v>5</v>
      </c>
      <c r="I19" s="438">
        <v>4</v>
      </c>
      <c r="J19" s="439">
        <v>6</v>
      </c>
      <c r="K19" s="441">
        <v>7</v>
      </c>
      <c r="L19" s="441">
        <v>8</v>
      </c>
      <c r="M19" s="441">
        <v>9</v>
      </c>
      <c r="N19" s="441">
        <v>11</v>
      </c>
      <c r="O19" s="441">
        <v>12</v>
      </c>
      <c r="P19" s="441">
        <v>15</v>
      </c>
      <c r="Q19" s="441">
        <v>16</v>
      </c>
      <c r="R19" s="441">
        <v>18</v>
      </c>
      <c r="S19" s="441">
        <v>28</v>
      </c>
      <c r="T19" s="441">
        <v>17</v>
      </c>
      <c r="U19" s="441">
        <v>0</v>
      </c>
      <c r="V19" s="441">
        <v>0</v>
      </c>
      <c r="W19" s="439">
        <v>22</v>
      </c>
      <c r="X19" s="437">
        <v>10</v>
      </c>
      <c r="Y19" s="441">
        <v>44</v>
      </c>
      <c r="Z19" s="439">
        <v>29</v>
      </c>
      <c r="AA19" s="441">
        <v>21</v>
      </c>
      <c r="AB19" s="439">
        <v>29</v>
      </c>
      <c r="AC19" s="439">
        <v>15</v>
      </c>
    </row>
    <row r="20" spans="1:29" ht="12.75">
      <c r="A20" s="437" t="s">
        <v>130</v>
      </c>
      <c r="B20" s="441">
        <v>23</v>
      </c>
      <c r="C20" s="441">
        <v>20</v>
      </c>
      <c r="D20" s="437">
        <v>10</v>
      </c>
      <c r="E20" s="437" t="str">
        <f>"SA-"&amp;$G$14</f>
        <v>SA-03</v>
      </c>
      <c r="F20" s="437" t="str">
        <f>F3&amp;"_INDISPONIBILIDADES_SALIDAS_"&amp;F3&amp;"_PAFFT.XLS"</f>
        <v>EDESUR_INDISPONIBILIDADES_SALIDAS_EDESUR_PAFFT.XLS</v>
      </c>
      <c r="G20" s="437">
        <v>3</v>
      </c>
      <c r="H20" s="438">
        <v>5</v>
      </c>
      <c r="I20" s="438">
        <v>4</v>
      </c>
      <c r="J20" s="437">
        <v>6</v>
      </c>
      <c r="K20" s="437">
        <v>7</v>
      </c>
      <c r="L20" s="437">
        <v>8</v>
      </c>
      <c r="M20" s="437">
        <v>10</v>
      </c>
      <c r="N20" s="437">
        <v>11</v>
      </c>
      <c r="O20" s="437">
        <v>14</v>
      </c>
      <c r="P20" s="437">
        <v>15</v>
      </c>
      <c r="Q20" s="437">
        <v>21</v>
      </c>
      <c r="R20" s="437">
        <v>0</v>
      </c>
      <c r="S20" s="437">
        <v>0</v>
      </c>
      <c r="T20" s="437">
        <v>0</v>
      </c>
      <c r="U20" s="437">
        <v>0</v>
      </c>
      <c r="V20" s="437">
        <v>0</v>
      </c>
      <c r="W20" s="437">
        <v>24</v>
      </c>
      <c r="X20" s="437">
        <v>10</v>
      </c>
      <c r="Y20" s="441">
        <v>44</v>
      </c>
      <c r="Z20" s="437">
        <v>22</v>
      </c>
      <c r="AA20" s="441">
        <v>21</v>
      </c>
      <c r="AB20" s="437">
        <v>22</v>
      </c>
      <c r="AC20" s="437">
        <v>14</v>
      </c>
    </row>
    <row r="21" spans="1:29" s="436" customFormat="1" ht="12.75">
      <c r="A21" s="440" t="s">
        <v>127</v>
      </c>
      <c r="B21" s="447">
        <v>19</v>
      </c>
      <c r="C21" s="447">
        <v>24</v>
      </c>
      <c r="D21" s="448">
        <v>4</v>
      </c>
      <c r="E21" s="440" t="str">
        <f>"CAUSAS-VST-"&amp;$G$14</f>
        <v>CAUSAS-VST-03</v>
      </c>
      <c r="F21" s="440" t="str">
        <f>F3&amp;"_PAFFT_CAUSAS_VST.XLS"</f>
        <v>EDESUR_PAFFT_CAUSAS_VST.XLS</v>
      </c>
      <c r="G21" s="447">
        <v>3</v>
      </c>
      <c r="H21" s="447">
        <v>4</v>
      </c>
      <c r="I21" s="447">
        <v>5</v>
      </c>
      <c r="J21" s="447">
        <v>6</v>
      </c>
      <c r="K21" s="447">
        <v>7</v>
      </c>
      <c r="L21" s="447">
        <v>0</v>
      </c>
      <c r="M21" s="447">
        <v>0</v>
      </c>
      <c r="N21" s="447">
        <v>0</v>
      </c>
      <c r="O21" s="447">
        <v>0</v>
      </c>
      <c r="P21" s="447">
        <v>0</v>
      </c>
      <c r="Q21" s="447">
        <v>0</v>
      </c>
      <c r="R21" s="447">
        <v>0</v>
      </c>
      <c r="S21" s="447">
        <v>0</v>
      </c>
      <c r="T21" s="447">
        <v>0</v>
      </c>
      <c r="U21" s="447">
        <v>0</v>
      </c>
      <c r="V21" s="447">
        <v>0</v>
      </c>
      <c r="W21" s="447">
        <v>999</v>
      </c>
      <c r="X21" s="447">
        <v>999</v>
      </c>
      <c r="Y21" s="447">
        <v>0</v>
      </c>
      <c r="Z21" s="447">
        <v>0</v>
      </c>
      <c r="AA21" s="447">
        <v>0</v>
      </c>
      <c r="AB21" s="447">
        <v>0</v>
      </c>
      <c r="AC21" s="447">
        <v>0</v>
      </c>
    </row>
  </sheetData>
  <sheetProtection/>
  <hyperlinks>
    <hyperlink ref="D5" r:id="rId1" display="\\fileserver\files\Transporte\transporte\AA PROCESO AUT\DISTROCUYO\FABIAN"/>
  </hyperlinks>
  <printOptions gridLines="1"/>
  <pageMargins left="0.75" right="0.75" top="1" bottom="1" header="0.511811024" footer="0.511811024"/>
  <pageSetup horizontalDpi="600" verticalDpi="600" orientation="landscape" paperSize="9" r:id="rId2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Hilda Antunez</cp:lastModifiedBy>
  <cp:lastPrinted>2016-07-07T18:57:40Z</cp:lastPrinted>
  <dcterms:created xsi:type="dcterms:W3CDTF">1999-04-29T21:02:14Z</dcterms:created>
  <dcterms:modified xsi:type="dcterms:W3CDTF">2016-07-19T16:07:56Z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